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2447BD31-064A-4749-B0EA-355B153A4CB7}"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T18" i="1"/>
  <c r="BT19"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T35" i="1"/>
  <c r="BF36" i="1"/>
  <c r="BT36" i="1"/>
  <c r="BF37" i="1"/>
  <c r="BT37" i="1"/>
  <c r="BF38" i="1"/>
  <c r="BT38" i="1"/>
  <c r="BF39" i="1"/>
  <c r="BT39" i="1"/>
  <c r="BF40" i="1"/>
  <c r="BT40" i="1"/>
  <c r="BF41" i="1"/>
  <c r="BT41" i="1"/>
  <c r="BF42" i="1"/>
  <c r="BT42" i="1"/>
  <c r="BF43" i="1"/>
  <c r="BT43" i="1"/>
  <c r="BF44" i="1"/>
  <c r="BT44" i="1"/>
  <c r="BF45" i="1"/>
  <c r="BT45"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T102" i="1"/>
  <c r="BF103" i="1"/>
  <c r="BT103" i="1"/>
  <c r="BF104" i="1"/>
  <c r="BT104" i="1"/>
  <c r="BF105" i="1"/>
  <c r="BT105" i="1"/>
  <c r="BF106" i="1"/>
  <c r="BT106" i="1"/>
  <c r="BF107" i="1"/>
  <c r="BT107" i="1"/>
  <c r="BT108" i="1"/>
  <c r="BT109" i="1"/>
  <c r="BT110" i="1"/>
  <c r="BT111" i="1"/>
  <c r="BT112"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T149"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T467" i="1"/>
  <c r="BF468" i="1"/>
  <c r="BT468" i="1"/>
  <c r="BF469" i="1"/>
  <c r="BT469"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F537" i="1"/>
  <c r="BT537" i="1"/>
  <c r="BT538" i="1"/>
  <c r="BT539"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T601" i="1"/>
  <c r="BT602"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T618" i="1"/>
  <c r="BF619" i="1"/>
  <c r="BT619" i="1"/>
  <c r="BF620" i="1"/>
  <c r="BT620" i="1"/>
  <c r="BF621" i="1"/>
  <c r="BT621"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T907" i="1"/>
  <c r="BF908" i="1"/>
  <c r="BT908" i="1"/>
  <c r="BF909" i="1"/>
  <c r="BT909" i="1"/>
  <c r="BF910" i="1"/>
  <c r="BT910" i="1"/>
  <c r="BF911" i="1"/>
  <c r="BT911"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T927" i="1"/>
  <c r="BF928" i="1"/>
  <c r="BT928" i="1"/>
  <c r="BF929" i="1"/>
  <c r="BT929" i="1"/>
  <c r="BF930" i="1"/>
  <c r="BT930" i="1"/>
  <c r="BF931" i="1"/>
  <c r="BT931"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<sst xmlns="http://schemas.openxmlformats.org/spreadsheetml/2006/main" count="59263" uniqueCount="18498">
  <si>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</si>
  <si>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</si>
  <si>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</si>
  <si>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</si>
  <si>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</si>
  <si>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</si>
  <si>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</si>
  <si>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</si>
  <si>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</si>
  <si>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</si>
  <si>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</si>
  <si>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</si>
  <si>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</si>
  <si>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</si>
  <si>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</si>
  <si>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</si>
  <si>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</si>
  <si>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</si>
  <si>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</si>
  <si>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</si>
  <si>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</si>
  <si>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</si>
  <si>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</si>
  <si>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</si>
  <si>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</si>
  <si>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</si>
  <si>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</si>
  <si>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</si>
  <si>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</si>
  <si>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</si>
  <si>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</si>
  <si>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</si>
  <si>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</si>
  <si>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</si>
  <si>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</si>
  <si>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</si>
  <si>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</si>
  <si>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</si>
  <si>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</si>
  <si>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</si>
  <si>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</si>
  <si>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</si>
  <si>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</si>
  <si>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</si>
  <si>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</si>
  <si>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</si>
  <si>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</si>
  <si>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</si>
  <si>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</si>
  <si>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</si>
  <si>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</si>
  <si>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</si>
  <si>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</si>
  <si>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</si>
  <si>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</si>
  <si>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</si>
  <si>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</si>
  <si>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</si>
  <si>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</si>
  <si>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</si>
  <si>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</si>
  <si>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</si>
  <si>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</si>
  <si>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</si>
  <si>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</si>
  <si>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</si>
  <si>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</si>
  <si>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</si>
  <si>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</si>
  <si>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</si>
  <si>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</si>
  <si>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</si>
  <si>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</si>
  <si>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Tucker, MA; Ord, TJ; Rogers, TL</t>
  </si>
  <si>
    <t/>
  </si>
  <si>
    <t>Tucker, Marlee A.; Ord, Terry J.; Rogers, Tracey L.</t>
  </si>
  <si>
    <t>Evolutionary predictors of mammalian home range size: body mass, diet and the environment</t>
  </si>
  <si>
    <t>GLOBAL ECOLOGY AND BIOGEOGRAPHY</t>
  </si>
  <si>
    <t>English</t>
  </si>
  <si>
    <t>Article</t>
  </si>
  <si>
    <t>evolutionary allometry; marine; phylogenetic comparative analysis; spatial behaviour; terrestrial</t>
  </si>
  <si>
    <t>MULTILOCUS PHYLOGENY; HERBIVOROUS MAMMALS; ARGOS LOCATIONS; DETERMINANTS; CONSTRAINTS; DELPHINIDAE; SELECTION; ACCURACY; DENSITY; ECOLOGY</t>
  </si>
  <si>
    <t>AimMammalian home range patterns provide information on spatial behaviour and ecological patterns, such as resource use, that is often used by conservation managers in a variety of contexts. However, there has been little research on home range patterns outside of the terrestrial environment, potentially limiting the relevance of current home range models for marine mammals, a group of particular conservation concern. To address this gap, we investigated how variation in mammalian home range size among marine and terrestrial species was related to diet, environment and body mass. LocationGlobal. MethodsWe compiled data on home range size, environment (marine and terrestrial), diet and body mass from the literature and empirical studies to obtain a dataset covering 462 mammalian species. We then used phylogenetic regression analyses (to address non-independence between species) to examine the relative contribution of these factors to variation of home range size among species. ResultsBody size explained the majority of the difference in home range size among species (53-85%), with larger species occupying larger home ranges. The type of food exploited by species was also an important predictor of home range size (an additional 15% of variation), as was the environment, but to a much lesser degree (1.7%). Main conclusionsThe factors contributing to the evolution of home ranges are more complex than has been assumed. We demonstrate that diet and body size both influence home range patterns but differ in their relative contribution, and show that colonization of the marine environment has resulted in the expansion of home range size. Broad-scale models are often used to inform conservation strategies. We propose that future integrative models should incorporate the possibility of phylogenetic effects and a range of ecological variables, and that they should include species representative of the diversity within a group.</t>
  </si>
  <si>
    <t>[Tucker, Marlee A.; Ord, Terry J.; Rogers, Tracey L.] Univ New S Wales, Sch Biol Earth &amp; Environm Sci, Evolut &amp; Ecol Res Ctr, Sydney, NSW 2052, Australia</t>
  </si>
  <si>
    <t>University of New South Wales Sydney</t>
  </si>
  <si>
    <t>Tucker, MA (corresponding author), Univ New S Wales, Sch Biol Earth &amp; Environm Sci, Sydney, NSW 2052, Australia.</t>
  </si>
  <si>
    <t>marlee.tucker@unsw.edu.au</t>
  </si>
  <si>
    <t>Ord, Terry J/C-6870-2009; Rogers, Tracey L/C-3419-2008; Tucker, Marlee/M-9546-2019</t>
  </si>
  <si>
    <t>Ord, Terry J/0000-0002-2608-2150; Tucker, Marlee/0000-0001-7535-3431; Rogers, Tracey/0000-0002-7141-4177</t>
  </si>
  <si>
    <t>Instituto Antartico Argentino (IAA); Australian Research Council (ARC) [LP0989933]; Australian Research Council [LP0989933] Funding Source: Australian Research Council</t>
  </si>
  <si>
    <t>Instituto Antartico Argentino (IAA); Australian Research Council (ARC)(Australian Research Council); Australian Research Council(Australian Research Council)</t>
  </si>
  <si>
    <t>We wish to thank two anonymous referees for their constructive suggestions that have strengthened the manuscript. We acknowledge and sincerely thank Horst Bornemann (Alfred Wegener Institute), Joachim Plotz (Alfred Wegener Institute), Nick Gales (Australian Antarctic Division), P.J. Nico deBruyn (University of Pretoria), Cheryl Tosh (University of Pretoria), Colin Southwell (Australian Antarctic Division), Iain Staniland (British Antarctic Survey), Douglas Kelt (UC Davis) and Dirk van Vuren (UC Davis) for their data contributions. Some of the data used within this paper were obtained from the Australian Antarctic Data Centre (IDN Node AMD/AU), part of the Australian Antarctic Division (Commonwealth of Australia). The data are described in the ARGOS satellite tracking record '1994 to 2000 - Antarctic Pack Ice Seals (APIS) Survey' (Southwell, 2007). We wish to thank the personnel from the Instituto Antartico Argentino at Primavera Station in the years 2007-11 for field work support. Logistics support provided by the grant from Instituto Antartico Argentino (IAA) to Alejandro Carlini, and the Australian Research Council (ARC) grant # LP0989933 to T.L.R.</t>
  </si>
  <si>
    <t>WILEY-BLACKWELL</t>
  </si>
  <si>
    <t>HOBOKEN</t>
  </si>
  <si>
    <t>111 RIVER ST, HOBOKEN 07030-5774, NJ USA</t>
  </si>
  <si>
    <t>1466-822X</t>
  </si>
  <si>
    <t>1466-8238</t>
  </si>
  <si>
    <t>GLOBAL ECOL BIOGEOGR</t>
  </si>
  <si>
    <t>Glob. Ecol. Biogeogr.</t>
  </si>
  <si>
    <t>OCT</t>
  </si>
  <si>
    <t>10.1111/geb.12194</t>
  </si>
  <si>
    <t>Ecology; Geography, Physical</t>
  </si>
  <si>
    <t>Science Citation Index Expanded (SCI-EXPANDED)</t>
  </si>
  <si>
    <t>Environmental Sciences &amp; Ecology; Physical Geography</t>
  </si>
  <si>
    <t>AP1IG</t>
  </si>
  <si>
    <t>2024-04-21</t>
  </si>
  <si>
    <t>WOS:000341821400005</t>
  </si>
  <si>
    <t>Kohli, GS; Murray, SA; Neilan, BA; Rhodes, LL; Harwood, DT; Smith, KF; Meyer, L; Capper, A; Brett, S; Hallegraeff, GM</t>
  </si>
  <si>
    <t>Kohli, Gurjeet S.; Murray, Shauna A.; Neilan, Brett A.; Rhodes, Lesley L.; Harwood, D. Tim; Smith, Kirsty F.; Meyer, Lauren; Capper, Angela; Brett, Steve; Hallegraeff, Gustaaf M.</t>
  </si>
  <si>
    <t>High abundance of the potentially maitotoxic dinoflagellate Gambierdiscus carpenteri in temperate waters of New South Wales, Australia</t>
  </si>
  <si>
    <t>HARMFUL ALGAE</t>
  </si>
  <si>
    <t>Ciguatera fish poisoning (CFP); Gambierdiscus; Temperate environment; Maitotoxin (MTX); Bloom; Pyrosequencing</t>
  </si>
  <si>
    <t>HARMFUL ALGAL BLOOMS; SP-NOV DINOPHYCEAE; BENTHIC DINOFLAGELLATE; AZASPIRACID TOXINS; CIGUATERA; DIVERSITY; TOXICITY; GENUS; GONYAULACALES; MANAGEMENT</t>
  </si>
  <si>
    <t>Species of the genus Gambierdiscus are epiphytic dinoflagellates well known from tropical coral reef areas at water temperatures from 24 to 29 degrees C. Gambierdiscus spp. are able to produce ciguatoxins (CTXs) known to bioaccumulate in fish, and the ingestion of tropical fish that accumulated CTXs and possibly also maitotoxins (MTXs) can cause ciguatera fish poisoning (CFP) in humans. In Australia, ciguatera poisonings have been reported in tropical parts of Queensland and the Northern Territory. Here, we report for the first time the seasonal abundance (April-May 2012/13) of Gambierdiscus spp. (up to 65658255 cells g(-1) wet weight algae) from Merimbula and Wagonga Inlets in temperate southern New South Wales, Australia (37 degrees S) at water temperatures of 16.5-17 degrees C. These are popular shellfish aquaculture and recreational fisheries areas with no reports of ciguatera poisoning. Sequencing of a region of the 28S rRNA gene led to the conclusive identification of Gambierdiscus carpenteri. The cells differed however from the Belize type description, including the absence of a thecal groove, dorsal rostrum and variable hatchet- to rectangular-shaped 2' plate, and were morphologically more similar to Gambierdiscus toxicus. To study the dinoflagellate community structure in detail, a pyrosequencing approach based on the 18S rRNA gene was applied, which confirmed the presence of a single Gambierdiscus species only. Neither CTXs nor MTXs were detected in natural bloom material by LC-MS/MS; however, the extracts were found to be toxic via mouse-bioassay, with symptoms suggestive of poisoning by MTX-like compounds. Understanding the abundance of Gambierdiscus populations in areas with no apparent human health impacts is important towards defining the alternate conditions where sparse populations can create ciguatera problems. (C) 2014 Elsevier B.V. All rights reserved.</t>
  </si>
  <si>
    <t>[Kohli, Gurjeet S.; Neilan, Brett A.] Univ New S Wales, Sch Biotechnol &amp; Biomol Sci, Sydney, NSW 2052, Australia; [Kohli, Gurjeet S.; Murray, Shauna A.] Univ Technol Sydney, Plant Funct Biol &amp; Climate Change Cluster, Broadway, NSW 2007, Australia; [Murray, Shauna A.] Sydney Inst Marine Sci, Sydney, NSW 2088, Australia; [Neilan, Brett A.] Univ New S Wales, Australian Ctr Astrobiol, Sydney, NSW 2052, Australia; [Rhodes, Lesley L.; Harwood, D. Tim; Smith, Kirsty F.] Cawthron Inst, Nelson 7010, New Zealand; [Meyer, Lauren; Capper, Angela] James Cook Univ, Sch Marine &amp; Trop Biol, Ctr Sustainable Trop Fisheries &amp; Aquaculture, Townsville, Qld 4811, Australia; [Brett, Steve] Microalgal Serv, Ormond, Vic 3204, Australia; [Hallegraeff, Gustaaf M.] Univ Tasmania, Inst Marine &amp; Antarctic Studies, Hobart, Tas, Australia</t>
  </si>
  <si>
    <t>University of New South Wales Sydney; University of Technology Sydney; Sydney Institute of Marine Science; University of New South Wales Sydney; Cawthron Institute; James Cook University; University of Tasmania</t>
  </si>
  <si>
    <t>Kohli, GS (corresponding author), Univ Technol Sydney, Plant Funct Biol &amp; Climate Change Cluster, POB 123, Broadway, NSW 2007, Australia.</t>
  </si>
  <si>
    <t>gurjeet.kohli@uts.edu.au; shauna.murray@uts.edu.au; b.neilan@unsw.edu.au; Lesley.Rhodes@cawthron.org.nz; tim.harwood@cawthron.org.nz; kirsty.smith@cawthron.org.nz; lauren.meyer@my.jcu.edu.au; angela.capper@jcu.edu.au; algae@bigpond.net.au; gustaaf.hallegraeff@utas.edu.au</t>
  </si>
  <si>
    <t>Murray, Shauna/K-5781-2015; Meyer, Lauren/B-1876-2019; Neilan, Brett A/I-5767-2012; Capper, Angela/B-4403-2012; Murray, Shauna/JAN-6668-2023; Kohli, Gurjeet Singh/G-7296-2016; Harwood, Tim/H-3636-2012; Hallegraeff, Gustaaf/C-8351-2013</t>
  </si>
  <si>
    <t>Murray, Shauna/0000-0001-7096-1307; Meyer, Lauren/0000-0003-0374-9941; Neilan, Brett A/0000-0001-6113-772X; Kohli, Gurjeet Singh/0000-0002-4578-2355; Hallegraeff, Gustaaf/0000-0001-8464-7343; Capper, Angela/0000-0002-4922-0253</t>
  </si>
  <si>
    <t>Australian Biological Resources Study [RFL21034]; Australian Research Council [DP130102859, FT120100704]; Linnean Society of New South Wales; Australian Research Council [FT120100704] Funding Source: Australian Research Council</t>
  </si>
  <si>
    <t>Australian Biological Resources Study; Australian Research Council(Australian Research Council); Linnean Society of New South Wales; Australian Research Council(Australian Research Council)</t>
  </si>
  <si>
    <t>All co-authors agree with the contents of the manuscript and there is no conflict of interest to be declared. The authors acknowledge technical support for computing infrastructure and software development from Intersect, and in particular assistance from Joachim Mai. Financial support to conduct this study was provided by the Australian Biological Resources Study (RFL21034), the Australian Research Council (DP130102859, FT120100704) and the Linnean Society of New South Wales (Joyce W. Vickery Research fund). The authors thank the staff of the Research and Testing Laboratory, Texas, for help in conducting the pyrosequencing assays and the Ramaciotti Centre for Genomics for conducting the Sanger sequencing. The authors would also like to thank Dr. Rex Munday from AgResearch, Hamilton, New Zealand for conducting all the mouse bioassays, John Dawson for collecting samples in Merimbula from May to December 2012, Jeroen van den Wildenberg from Federal Institute of Technology, Zurich, for collecting samples in Merimbula in May 2013 and Dr. Hazel Farrell and Dr. Anthony Zammit from New South Wales Food authority for collecting samples in Merimbula in May 2014.</t>
  </si>
  <si>
    <t>ELSEVIER SCIENCE BV</t>
  </si>
  <si>
    <t>AMSTERDAM</t>
  </si>
  <si>
    <t>PO BOX 211, 1000 AE AMSTERDAM, NETHERLANDS</t>
  </si>
  <si>
    <t>1568-9883</t>
  </si>
  <si>
    <t>1878-1470</t>
  </si>
  <si>
    <t>Harmful Algae</t>
  </si>
  <si>
    <t>10.1016/j.hal.2014.07.007</t>
  </si>
  <si>
    <t>Marine &amp; Freshwater Biology</t>
  </si>
  <si>
    <t>AU2SZ</t>
  </si>
  <si>
    <t>WOS:000345469100015</t>
  </si>
  <si>
    <t>Mahapatro, D; Behera, DP; Naik, S; Mishra, RK; Mishra, BN</t>
  </si>
  <si>
    <t>Mahapatro, Debasish; Behera, Durga Prasad; Naik, Subrat; Mishra, Rajani Kanta; Mishra, B. N.</t>
  </si>
  <si>
    <t>First record of Halophila ovalis in the Haripur creek, East Coast of India</t>
  </si>
  <si>
    <t>INDIAN JOURNAL OF GEO-MARINE SCIENCES</t>
  </si>
  <si>
    <t>First record; Halophila ovalis; Haripur creek; East coast of India</t>
  </si>
  <si>
    <t>Present study reports the first record of occurrence of a seagrass Halophila ovalis, family- Hydrocharitaceae and class-Liliopsida in the Haripur creek of the southern coast of Odisha. It was suggested that the shallow water region of this tidal creek provided a conducive environment for colonization of this particular sea grass species. This study also describes the morphological and habitat characteristics of the sea grass.</t>
  </si>
  <si>
    <t>[Mahapatro, Debasish; Behera, Durga Prasad; Naik, Subrat] Berhampur Univ, Dept Marine Sci, Odisha, India; [Mishra, Rajani Kanta] Natl Ctr Antarctic &amp; Ocean Res, Vasco Da Gama, Goa, India; [Mishra, B. N.] Rajiv Bhawan, OSDMA, Bhubaneswar, Odisha, India</t>
  </si>
  <si>
    <t>Berhampur University; Ministry of Earth Sciences (MoES) - India; National Centre for Polar and Ocean Research (NCPOR)</t>
  </si>
  <si>
    <t>Mishra, RK (corresponding author), Natl Ctr Antarctic &amp; Ocean Res, Vasco Da Gama, Goa, India.</t>
  </si>
  <si>
    <t>rajanimishra@yahoo.com</t>
  </si>
  <si>
    <t>Behera, Durga Prasad prasad/F-5361-2013; behera, Durga Prasad/R-2202-2019</t>
  </si>
  <si>
    <t>behera, Durga Prasad/0000-0002-3717-0113</t>
  </si>
  <si>
    <t>NATL INST SCIENCE COMMUNICATION-NISCAIR</t>
  </si>
  <si>
    <t>NEW DELHI</t>
  </si>
  <si>
    <t>DR K S KRISHNAN MARG, PUSA CAMPUS, NEW DELHI 110 012, INDIA</t>
  </si>
  <si>
    <t>0379-5136</t>
  </si>
  <si>
    <t>0975-1033</t>
  </si>
  <si>
    <t>INDIAN J GEO-MAR SCI</t>
  </si>
  <si>
    <t>Indian J. Geo-Mar. Sci.</t>
  </si>
  <si>
    <t>Oceanography</t>
  </si>
  <si>
    <t>V44MF</t>
  </si>
  <si>
    <t>WOS:000209752400015</t>
  </si>
  <si>
    <t>Grieger, J; Leckebusch, GC; Donat, MG; Schuster, M; Ulbrich, U</t>
  </si>
  <si>
    <t>Grieger, J.; Leckebusch, G. C.; Donat, M. G.; Schuster, M.; Ulbrich, U.</t>
  </si>
  <si>
    <t>Southern Hemisphere winter cyclone activity under recent and future climate conditions in multi-model AOGCM simulations</t>
  </si>
  <si>
    <t>INTERNATIONAL JOURNAL OF CLIMATOLOGY</t>
  </si>
  <si>
    <t>extratropical cyclones; climate change; ENSEMBLES; Southern Hemisphere; multi-model ensemble</t>
  </si>
  <si>
    <t>ENVIRONMENTAL-MODEL HADGEM1; PHYSICAL-PROPERTIES; NUMERICAL SCHEME; STORM TRACKS; DIGITAL DATA; CIRCULATION; ATMOSPHERE; ENSEMBLE; ERA-40; VARIABILITY</t>
  </si>
  <si>
    <t>This article investigates extratropical winter cyclone activity in the Southern Hemisphere (SH) in a multimodel ensemble (MME) of coupled atmosphere-ocean general circulation model (AOGCM) simulations of recent and potential future climate conditions. Most individual models and also the ensemble mean yield good reproductions of the typical cyclone characteristics found in reanalysis data, although some individual models show peculiarities, and a large inter-model spread in terms of quantity of identified cyclone tracks is found. We use a scaling approach to combine the cyclone statistics from different models into a MME. In the future climate simulations, the total number of SH cyclones is reduced, whereas an increased number of strong cyclones is found in most models and in the ensemble mean. The long term trend with respect to all cyclones is a robust feature throughout the simulations. It is associated with a general poleward shift, shown to be related to both tropical upper tropospheric warming and shifting meridional sea surface temperature gradients in the Southern Ocean. The magnitude of increased strong cyclone activity has a focus on the Eastern Hemisphere. It is clearly influenced by natural variability and thus depends on specific time periods considered.</t>
  </si>
  <si>
    <t>[Grieger, J.; Leckebusch, G. C.; Schuster, M.; Ulbrich, U.] Free Univ Berlin, Inst Meteorol, D-12165 Berlin, Germany; [Leckebusch, G. C.] Univ Birmingham, Sch Geog Earth &amp; Environm Sci, Birmingham B15 2TT, W Midlands, England; [Donat, M. G.] Univ New S Wales, Climate Change Res Ctr, Sydney, NSW, Australia; [Donat, M. G.] Univ New S Wales, ARC Ctr Excellence Climate Syst Sci, Sydney, NSW, Australia</t>
  </si>
  <si>
    <t>Free University of Berlin; University of Birmingham; University of New South Wales Sydney; University of New South Wales Sydney; ARC Centre of Excellence for Climate System Science</t>
  </si>
  <si>
    <t>Grieger, J (corresponding author), Free Univ Berlin, Inst Meteorol, D-12165 Berlin, Germany.</t>
  </si>
  <si>
    <t>jens.grieger@met.fu-berlin.de</t>
  </si>
  <si>
    <t>Donat, Markus/J-8331-2012; Leckebusch, Gregor/ABE-1058-2021; Ulbrich, Uwe/A-1070-2014; Grieger, Jens/A-1107-2014</t>
  </si>
  <si>
    <t>Donat, Markus/0000-0002-0608-7288; Leckebusch, Gregor/0000-0001-9242-7682; Ulbrich, Uwe/0000-0001-7558-6622; Grieger, Jens/0000-0003-0985-8479</t>
  </si>
  <si>
    <t>SACAI project - DFG Priority Programme 'Antarctic Research' [LE 1865/1-1, 1158]; European Commission [GOCECT-2003-505539]; Australian Research Council [LP100200690]</t>
  </si>
  <si>
    <t>SACAI project - DFG Priority Programme 'Antarctic Research'; European Commission(European Union (EU)European Commission Joint Research Centre); Australian Research Council(Australian Research Council)</t>
  </si>
  <si>
    <t>This work was supported by the SACAI project (LE 1865/1-1), funded by the DFG Priority Programme 1158 'Antarctic Research'. The model simulations were made available in the framework of the ENSEMBLES project, funded by the European Commission's 6th Framework Programme (contract number GOCECT-2003-505539). We thank ECMWF and DWD (German Weather Service) for ERA40 data use and availability. Markus Donat was partly supported by Australian Research Council grant LP100200690.</t>
  </si>
  <si>
    <t>WILEY</t>
  </si>
  <si>
    <t>0899-8418</t>
  </si>
  <si>
    <t>1097-0088</t>
  </si>
  <si>
    <t>INT J CLIMATOL</t>
  </si>
  <si>
    <t>Int. J. Climatol.</t>
  </si>
  <si>
    <t>10.1002/joc.3917</t>
  </si>
  <si>
    <t>Meteorology &amp; Atmospheric Sciences</t>
  </si>
  <si>
    <t>AQ5GM</t>
  </si>
  <si>
    <t>Bronze</t>
  </si>
  <si>
    <t>WOS:000342835200006</t>
  </si>
  <si>
    <t>Lee, JH; Park, H; Park, YH</t>
  </si>
  <si>
    <t>Lee, Jun Hyuck; Park, HaJeung; Park, Yong Ho</t>
  </si>
  <si>
    <t>Molecular Mechanisms of Host Cytoskeletal Rearrangements by Shigella Invasins</t>
  </si>
  <si>
    <t>INTERNATIONAL JOURNAL OF MOLECULAR SCIENCES</t>
  </si>
  <si>
    <t>Review</t>
  </si>
  <si>
    <t>actin; bacillary dysentery; bacterial proteins; invasin; review; Shigella</t>
  </si>
  <si>
    <t>VINCULIN BINDING-SITE; ACTIN CYTOSKELETON; F-ACTIN; STRUCTURAL BASIS; RHO-GTPASES; PHOSPHATIDYLINOSITOL 5-PHOSPHATE; BACTERIAL ENTRY; C-TERMINUS; SALMONELLA; PROTEIN</t>
  </si>
  <si>
    <t>Pathogen-induced reorganization of the host cell cytoskeleton is a common strategy utilized in host cell invasion by many facultative intracellular bacteria, such as Shigella, Listeria, enteroinvasive E. coli and Salmonella. Shigella is an enteroinvasive intracellular pathogen that preferentially infects human epithelial cells and causes bacillary dysentery. Invasion of Shigella into intestinal epithelial cells requires extensive remodeling of the actin cytoskeleton with the aid of pathogenic effector proteins injected into the host cell by the activity of the type III secretion system. These so-called Shigella invasins, including IpaA, IpaC, IpgB1, IpgB2 and IpgD, modulate the actin-regulatory system in a concerted manner to guarantee efficient entry of the bacteria into host cells.</t>
  </si>
  <si>
    <t>[Lee, Jun Hyuck] Korea Polar Res Inst, Div Polar Life Sci, Inchon 406840, South Korea; [Lee, Jun Hyuck] Univ Sci &amp; Technol, Dept Polar Sci, Inchon 406840, South Korea; [Park, HaJeung] Scripps Florida, Scripps Res Inst, Jupiter, FL 33458 USA; [Park, Yong Ho] Seoul Natl Univ, Coll Vet Med, Lab Vet Microbiol, Seoul 151742, South Korea</t>
  </si>
  <si>
    <t>Korea Institute of Ocean Science &amp; Technology (KIOST); Korea Polar Research Institute (KOPRI); State University System of Florida; University of Florida; Herbert Wertheim UF Scripps Institute for Biomedical Innovation &amp; Technology; Seoul National University (SNU)</t>
  </si>
  <si>
    <t>Lee, JH (corresponding author), Korea Polar Res Inst, Div Polar Life Sci, Inchon 406840, South Korea.</t>
  </si>
  <si>
    <t>junhyucklee@kopri.re.kr; hajpark@scripps.edu; yhp@snu.ac.kr</t>
  </si>
  <si>
    <t>Antarctic Organisms: Cold-Adaptation Mechanisms and its application grant funded by the Korea Polar Research Institute [PE14070]</t>
  </si>
  <si>
    <t>Antarctic Organisms: Cold-Adaptation Mechanisms and its application grant funded by the Korea Polar Research Institute</t>
  </si>
  <si>
    <t>We thank Hye Cheong Koo (SNU) and Ihn Kyung Jang (TSRI) for helpful comments on the manuscript. This work was supported by Antarctic Organisms: Cold-Adaptation Mechanisms and its application grant (PE14070) funded by the Korea Polar Research Institute.</t>
  </si>
  <si>
    <t>MDPI</t>
  </si>
  <si>
    <t>BASEL</t>
  </si>
  <si>
    <t>ST ALBAN-ANLAGE 66, CH-4052 BASEL, SWITZERLAND</t>
  </si>
  <si>
    <t>1422-0067</t>
  </si>
  <si>
    <t>INT J MOL SCI</t>
  </si>
  <si>
    <t>Int. J. Mol. Sci.</t>
  </si>
  <si>
    <t>10.3390/ijms151018253</t>
  </si>
  <si>
    <t>Biochemistry &amp; Molecular Biology; Chemistry, Multidisciplinary</t>
  </si>
  <si>
    <t>Biochemistry &amp; Molecular Biology; Chemistry</t>
  </si>
  <si>
    <t>AS7TI</t>
  </si>
  <si>
    <t>Green Published, gold</t>
  </si>
  <si>
    <t>WOS:000344457200037</t>
  </si>
  <si>
    <t>Mansilla, A; Rosenfeld, S; Rendoll, J; Murcia, S; Werlinger, C; Yokoya, NS; Terrados, J</t>
  </si>
  <si>
    <t>Mansilla, Andres; Rosenfeld, Sebastian; Rendoll, Javier; Murcia, Silvia; Werlinger, Camilo; Yokoya, Nair S.; Terrados, Jorge</t>
  </si>
  <si>
    <t>Tolerance response of Lessonia flavicans from the sub-Antarctic ecoregion of Magallanes under controlled environmental conditions</t>
  </si>
  <si>
    <t>JOURNAL OF APPLIED PHYCOLOGY</t>
  </si>
  <si>
    <t>Phaeophyceae; Environmental heterogeneity; Photoperiod; Salinity; Temperature</t>
  </si>
  <si>
    <t>MACROCYSTIS-PYRIFERA; TEMPERATURE; PHAEOPHYTA; MAGELLAN; GROWTH; RANGE; GAMETOGENESIS; LAMINARIALES; SALINITY; SEAWEEDS</t>
  </si>
  <si>
    <t>Environmental heterogeneity plays a key role in spatio-temporal distribution of organisms, their ecology and their evolutionary biology, with their physiological response, or tolerance to the environment defining their distributional range. The macroalgae of the sub-Antarctic ecoregion of Magallanes are subject to a wide range of environments, resulting from geomorphological processes (glacial erosion in the Quaternary), oceanographic gradients, and drastic seasonal variations of photoperiod and irradiance (winter &lt; 8 h of light, summer &gt; 17 h). We examined the tolerance response of the brown alga Lessonia flavicans to contrasting environments (three salinities, two temperatures, and two photoperiods) under controlled laboratory conditions. Our results suggest that L. flavicans has limited salinity tolerance that is affected by temperature and photoperiod. Summer temperature (9 A degrees C A +/- 0.02) and photoperiod (18:6 h L:D) and salinity 32 psu seem optimal conditions for L. flavicans sporophyte development. Results of the present study provide key information for culturing a species of high economic and biological value, and could aid in predicting the species potential tolerance response to environmental fluctuations in the wake of global changes.</t>
  </si>
  <si>
    <t>[Mansilla, Andres; Rosenfeld, Sebastian; Rendoll, Javier; Murcia, Silvia] Univ Magallanes, Lab Macroalgas Antarticas &amp; Subantarticas, Punta Arenas, Chile; [Mansilla, Andres; Rosenfeld, Sebastian] IEB, Santiago, Chile; [Werlinger, Camilo] Univ Concepcion, Dept Oceanog, Concepcion, Chile; [Yokoya, Nair S.] Inst Bot, Nucleo Pesquisa Ficol, BR-04301012 Sao Paulo, Brazil; [Terrados, Jorge] CSIC UIB, Inst Mediterraneo Estudios Avanzados IMEDEA, Mallorca, Spain</t>
  </si>
  <si>
    <t>Universidad de Magallanes; Universidad de Concepcion; Instituto de Botanica - Sao Paulo; University of Barcelona; Universitat de les Illes Balears; Consejo Superior de Investigaciones Cientificas (CSIC); ATTITUS Educacao</t>
  </si>
  <si>
    <t>Mansilla, A (corresponding author), Univ Magallanes, Lab Macroalgas Antarticas &amp; Subantarticas, Casilla 113-D, Punta Arenas, Chile.</t>
  </si>
  <si>
    <t>andres.mansilla@umag.cl</t>
  </si>
  <si>
    <t>Terrados, Jorge/B-1062-2008; Yokoya, Nair S/F-1571-2015; Fapesp, Biota/F-8655-2017</t>
  </si>
  <si>
    <t>Terrados, Jorge/0000-0002-0921-721X; Rosenfeld, Sebastian/0000-0002-4363-8018; Fapesp, Biota/0000-0002-9887-8449; Mansilla, Andres/0000-0003-3505-7018; Rendoll, Javier/0000-0003-1928-0914</t>
  </si>
  <si>
    <t>CONICYT-Chile (FONDECYT) [1110875]; Institute of Ecology and Biodiversity [ICMP05-002]; Master of Science Program in Conservations and Management of Natural Resources in Sub-Antarctic Ecosystems of the University of Magallanes; AM Millennium Scientific Initiative (Chile) [P05-002 ICM]; Basal Financing Program of the Comision Nacional de Investigacion Cientifica y Tecnologica (Chile) [PFB-23]</t>
  </si>
  <si>
    <t>CONICYT-Chile (FONDECYT)(Comision Nacional de Investigacion Cientifica y Tecnologica (CONICYT)CONICYT FONDECYT); Institute of Ecology and Biodiversity; Master of Science Program in Conservations and Management of Natural Resources in Sub-Antarctic Ecosystems of the University of Magallanes; AM Millennium Scientific Initiative (Chile); Basal Financing Program of the Comision Nacional de Investigacion Cientifica y Tecnologica (Chile)(Comision Nacional de Investigacion Cientifica y Tecnologica (CONICYT)CONICYT PIA/BASAL)</t>
  </si>
  <si>
    <t>The authors thank the support and funding of CONICYT-Chile (Program FONDECYT 1110875) for the collection of samples and the materials for experiments. Author SR would like to thank the Scholarship provided by the Institute of Ecology and Biodiversity (www.ieb.cl; Chile) (code ICMP05-002) and The Master of Science Program in Conservations and Management of Natural Resources in Sub-Antarctic Ecosystems of the University of Magallanes (www.umag.cl/postgrados/magister-ciencias/). Also the students of Magister program in Statistics at the University of Concepcion, Mr. Geovanni Moreno, Jose Salcedo and Alex Pereira for their help in the statistical analysis of experimental data. Finally the author would like to thank the AM Millennium Scientific Initiative (grant no. P05-002 ICM, Chile) and the Basal Financing Program of the Comision Nacional de Investigacion Cientifica y Tecnologica (grant no. PFB-23, Chile).</t>
  </si>
  <si>
    <t>SPRINGER</t>
  </si>
  <si>
    <t>DORDRECHT</t>
  </si>
  <si>
    <t>VAN GODEWIJCKSTRAAT 30, 3311 GZ DORDRECHT, NETHERLANDS</t>
  </si>
  <si>
    <t>0921-8971</t>
  </si>
  <si>
    <t>1573-5176</t>
  </si>
  <si>
    <t>J APPL PHYCOL</t>
  </si>
  <si>
    <t>J. Appl. Phycol.</t>
  </si>
  <si>
    <t>10.1007/s10811-014-0294-6</t>
  </si>
  <si>
    <t>Biotechnology &amp; Applied Microbiology; Marine &amp; Freshwater Biology</t>
  </si>
  <si>
    <t>AS0XF</t>
  </si>
  <si>
    <t>WOS:000343998400005</t>
  </si>
  <si>
    <t>Sato, K; Tsutsumi, M; Sato, T; Nakamura, T; Saito, A; Tomikawa, Y; Nishimura, K; Kohma, M; Yamagishi, H; Yamanouchi, T</t>
  </si>
  <si>
    <t>Sato, Kaoru; Tsutsumi, Masaki; Sato, Toru; Nakamura, Takuji; Saito, Akinori; Tomikawa, Yoshihiro; Nishimura, Koji; Kohma, Masashi; Yamagishi, Hisao; Yamanouchi, Takashi</t>
  </si>
  <si>
    <t>Program of the Antarctic Syowa MST/IS radar (PANSY)</t>
  </si>
  <si>
    <t>JOURNAL OF ATMOSPHERIC AND SOLAR-TERRESTRIAL PHYSICS</t>
  </si>
  <si>
    <t>MST radar; Antarctic atmosphere; Polar lows; Polar stratospheric clouds; Polar mesospheric clouds; Gravity waves; Tides; Turbulence; Tropopause; Ozone hole; Stratosphere; Mesosphere; Ionosphere; Polar mesosphere summer echo; The PANSY radar</t>
  </si>
  <si>
    <t>MESOSPHERE SUMMER ECHOES; UPPER-ATMOSPHERE RADAR; WAVE MOMENTUM FLUXES; MU RADAR; MIDDLE-ATMOSPHERE; CLIMATE MODELS; GRAVITY-WAVES; TEMPERATURE-FLUCTUATIONS; SOUTHERN-HEMISPHERE; NOCTILUCENT CLOUDS</t>
  </si>
  <si>
    <t>The PANSY radar is the first Mesosphere-Stratosphere-Troposphere/Incoherent Scatter (MST/IS) radar in the Antarctic region. It is a large VHF monostatic pulse Doppler radar operating at 47 MHz, consisting of an active phased array of 1045 Yagi antennas and an equivalent number of transmit-receive (TR) modules with a total peak output power of 500 kW. The first stage of the radar was installed at Syowa Station (69 degrees 00'S, 39 degrees 35'E) in early 2011, and is currently operating with 228 antennas and modules. This paper reports the project's scientific objectives, technical descriptions, and the preliminary results of observations made to date. The radar is designed to clarify the role of atmospheric gravity waves at high latitudes in the momentum budget of the global circulation in the troposphere, stratosphere and mesosphere, and to explore the dynamical aspects of unique polar phenomena such as polar mesospheric clouds (PMC) and polar stratospheric clouds (PSC). The katabatic winds as a branch of Antarctic tropospheric circulation and as an important source of gravity waves are also of special interest. Moreover, strong and sporadic energy inputs from the magnetosphere by energetic particles and field-aligned currents can be quantitatively assessed by the broad height coverage of the radar which extends from the lower troposphere to the upper ionosphere. From engineering points of view, the radar had to overcome restrictions related to the severe environments of Antarctic research, such as very strong winds, limited power availability, short construction periods, and limited manpower availability. We resolved these problems through the adoption of specially designed class-E amplifiers, light weight and tough antenna elements, and versatile antenna arrangements. Although the radar is currently operating with only about a quarter of its full designed system components, we have already obtained interesting results on the Antarctic troposphere, stratosphere and mesosphere, such as gravity waves, multiple tropopauses associated with a severe snow storm in the troposphere and stratosphere, and polar mesosphere summer echoes (PMSE). (C) 2013 Elsevier Ltd. All rights reserved.</t>
  </si>
  <si>
    <t>[Sato, Kaoru; Kohma, Masashi] Univ Tokyo, Dept Earth &amp; Planetary Sci, Tokyo 1130033, Japan; [Tsutsumi, Masaki; Nakamura, Takuji; Tomikawa, Yoshihiro; Nishimura, Koji; Yamagishi, Hisao; Yamanouchi, Takashi] Natl Inst Polar Res, Tachikawa, Tokyo, Japan; [Sato, Toru] Kyoto Univ, Dept Commun &amp; Comp Engn, Kyoto 6068501, Japan; [Saito, Akinori] Kyoto Univ, Dept Geophys, Kyoto 6068501, Japan</t>
  </si>
  <si>
    <t>University of Tokyo; Research Organization of Information &amp; Systems (ROIS); National Institute of Polar Research (NIPR) - Japan; Kyoto University; Kyoto University</t>
  </si>
  <si>
    <t>Sato, K (corresponding author), Univ Tokyo, Dept Earth &amp; Planetary Sci, Bunkyo Ku, 7-3-1 Hongo, Tokyo 1130033, Japan.</t>
  </si>
  <si>
    <t>kaoru@eps.s.u-tokyo.ac.jp</t>
  </si>
  <si>
    <t>Yamanouchi, Takashi/P-2041-2015; Tomikawa, Yoshihiro/D-5304-2012; Sato, Toru/F-3818-2012; Satoh, Kaoru/P-2047-2015; Kohma, Masashi/C-8055-2015; Sato, Kaoru/E-1693-2012</t>
  </si>
  <si>
    <t>Tomikawa, Yoshihiro/0000-0002-5652-3017; Kohma, Masashi/0000-0001-9875-3032; Sato, Kaoru/0000-0002-6225-6066; Nakamura, Takuji/0000-0002-3876-2946</t>
  </si>
  <si>
    <t>Grants-in-Aid for Scientific Research [25610145, 11J09377, 25247075] Funding Source: KAKEN</t>
  </si>
  <si>
    <t>Grants-in-Aid for Scientific Research(Ministry of Education, Culture, Sports, Science and Technology, Japan (MEXT)Japan Society for the Promotion of ScienceGrants-in-Aid for Scientific Research (KAKENHI))</t>
  </si>
  <si>
    <t>PERGAMON-ELSEVIER SCIENCE LTD</t>
  </si>
  <si>
    <t>OXFORD</t>
  </si>
  <si>
    <t>THE BOULEVARD, LANGFORD LANE, KIDLINGTON, OXFORD OX5 1GB, ENGLAND</t>
  </si>
  <si>
    <t>1364-6826</t>
  </si>
  <si>
    <t>1879-1824</t>
  </si>
  <si>
    <t>J ATMOS SOL-TERR PHY</t>
  </si>
  <si>
    <t>J. Atmos. Sol.-Terr. Phys.</t>
  </si>
  <si>
    <t>A</t>
  </si>
  <si>
    <t>SI</t>
  </si>
  <si>
    <t>10.1016/j.jastp.2013.08.022</t>
  </si>
  <si>
    <t>Geochemistry &amp; Geophysics; Meteorology &amp; Atmospheric Sciences</t>
  </si>
  <si>
    <t>AN1HH</t>
  </si>
  <si>
    <t>Green Submitted</t>
  </si>
  <si>
    <t>WOS:000340332800002</t>
  </si>
  <si>
    <t>Seviour, WJM; Hardiman, SC; Gray, LJ; Butchart, N; MacLachlan, C; Scaife, AA</t>
  </si>
  <si>
    <t>Seviour, William J. M.; Hardiman, Steven C.; Gray, Lesley J.; Butchart, Neal; MacLachlan, Craig; Scaife, Adam A.</t>
  </si>
  <si>
    <t>Skillful Seasonal Prediction of the Southern Annular Mode and Antarctic Ozone</t>
  </si>
  <si>
    <t>JOURNAL OF CLIMATE</t>
  </si>
  <si>
    <t>Southern Oscillation; Stratophere-troposphere coupling; Ozone; Seasonal forecasting</t>
  </si>
  <si>
    <t>STRATOSPHERIC SUDDEN WARMINGS; SURFACE-TEMPERATURE; SEPTEMBER 2002; PART I; HEMISPHERE; CLIMATE; TROPOSPHERE; FORECASTS; VORTEX; VARIABILITY</t>
  </si>
  <si>
    <t>Using a set of seasonal hindcast simulations produced by the Met Office Global Seasonal Forecast System, version 5 (GloSea5), significant predictability of the southern annular mode (SAM) is demonstrated during the austral spring. The correlation of the September-November mean SAM with observed values is 0.64, which is statistically significant at the 95% confidence level [confidence interval: (0.18, 0.92)], and is similar to that found recently for the North Atlantic Oscillation in the same system. Significant skill is also found in the prediction of the strength of the Antarctic stratospheric polar vortex at 1 month average lead times. Because of the observed strong correlation between interannual variability in the strength of the Antarctic stratospheric circulation and ozone concentrations, it is possible to make skillful predictions of Antarctic column ozone amounts. By studying the variation of forecast skill with time and height, it is shown that skillful predictions of the SAM are significantly influenced by stratospheric anomalies that descend with time and are coupled with the troposphere. This effect allows skillful statistical forecasts of the October mean SAM to be produced based only on midstratosphere anomalies on 1 August. Together, these results both demonstrate a significant advance in the skill of seasonal forecasts of the Southern Hemisphere and highlight the importance of accurate modeling and observation of the stratosphere in producing long-range forecasts.</t>
  </si>
  <si>
    <t>[Seviour, William J. M.; Gray, Lesley J.] Univ Oxford, Dept Phys, Oxford, England; [Hardiman, Steven C.; Butchart, Neal; MacLachlan, Craig; Scaife, Adam A.] Met Off Hadley Ctr, Exeter, Devon, England; [Gray, Lesley J.] Univ Oxford, Natl Ctr Atmospher Sci, Oxford, England</t>
  </si>
  <si>
    <t>University of Oxford; Met Office - UK; Hadley Centre; University of Oxford; UK Research &amp; Innovation (UKRI); Natural Environment Research Council (NERC); NERC National Centre for Atmospheric Science</t>
  </si>
  <si>
    <t>Seviour, WJM (corresponding author), Clarendon Lab, Parks Rd, Oxford OX1 3PU, England.</t>
  </si>
  <si>
    <t>seviour@atm.ox.ac.uk</t>
  </si>
  <si>
    <t>Gray, Lesley J/D-3610-2009; Hardiman, Steven/HDO-0165-2022</t>
  </si>
  <si>
    <t>MacLachlan, Craig/0000-0002-9151-9152; Gray, Lesley/0000-0002-7803-9277; Seviour, William/0000-0003-1622-0545</t>
  </si>
  <si>
    <t>3-yr CASE studentship from the Natural Environment Research Council (NERC) - Met Office; NERC National Centre for Atmospheric Science (NCAS); Joint DECC/Defra Met Office Hadley Centre Climate Programme [GA01101]; Natural Environment Research Council [ncas10009, 1088934] Funding Source: researchfish</t>
  </si>
  <si>
    <t>3-yr CASE studentship from the Natural Environment Research Council (NERC) - Met Office; NERC National Centre for Atmospheric Science (NCAS); Joint DECC/Defra Met Office Hadley Centre Climate Programme; Natural Environment Research Council(UK Research &amp; Innovation (UKRI)Natural Environment Research Council (NERC))</t>
  </si>
  <si>
    <t>WJMS was funded by a 3-yr CASE studentship from the Natural Environment Research Council (NERC), supported in part by the Met Office. LJG was supported by the NERC National Centre for Atmospheric Science (NCAS). The work of SCH, NB, CM, and AAS was supported by the Joint DECC/Defra Met Office Hadley Centre Climate Programme (GA01101). ERA-Interim data used in this study were obtained from the European Centre for Medium-Range Weather Forecasts data server and TOMS data were obtained from the British Atmospheric Data Centre. We are grateful to Harry Hendon and one anonymous reviewer for their helpful comments.</t>
  </si>
  <si>
    <t>AMER METEOROLOGICAL SOC</t>
  </si>
  <si>
    <t>BOSTON</t>
  </si>
  <si>
    <t>45 BEACON ST, BOSTON, MA 02108-3693 USA</t>
  </si>
  <si>
    <t>0894-8755</t>
  </si>
  <si>
    <t>1520-0442</t>
  </si>
  <si>
    <t>J CLIMATE</t>
  </si>
  <si>
    <t>J. Clim.</t>
  </si>
  <si>
    <t>10.1175/JCLI-D-14-00264.1</t>
  </si>
  <si>
    <t>AQ5ID</t>
  </si>
  <si>
    <t>hybrid</t>
  </si>
  <si>
    <t>WOS:000342840400018</t>
  </si>
  <si>
    <t>Benoit, JB; Hansen, IA; Szuter, EM; Drake, LL; Burnett, DL; Attardo, GM</t>
  </si>
  <si>
    <t>Benoit, Joshua B.; Hansen, Immo A.; Szuter, Elise M.; Drake, Lisa L.; Burnett, Denielle L.; Attardo, Geoffrey M.</t>
  </si>
  <si>
    <t>Emerging roles of aquaporins in relation to the physiology of blood-feeding arthropods</t>
  </si>
  <si>
    <t>JOURNAL OF COMPARATIVE PHYSIOLOGY B-BIOCHEMICAL SYSTEMS AND ENVIRONMENTAL PHYSIOLOGY</t>
  </si>
  <si>
    <t>Aquaporins; Hematophagy; Stress tolerance; Digestion; Saliva generation; Reproduction; Diuresis</t>
  </si>
  <si>
    <t>MULTIPLE PROTEIN-SEQUENCE; AEDES-AEGYPTI DIPTERA; WATER CHANNEL; FUNCTIONAL-CHARACTERIZATION; BIG-BRAIN; MOLECULAR-MECHANISMS; SALIVARY-GLAND; ANOPHELES-GAMBIAE; FREEZE TOLERANCE; ANTARCTIC MIDGE</t>
  </si>
  <si>
    <t>Aquaporins (AQPs) are proteins that span plasma membranes allowing the movement of water and small solutes into or out of cells. The type, expression levels and activity of AQPs play a major role in the relative permeability of each cell to water or other solutes. Research on arthropod AQPs has expanded in the last 10 years due to the completion of several arthropod genome projects and the increased availability of genetic information accessible through other resources such as de novo transcriptome assemblies. In particular, there has been significant advancement in elucidating the roles that AQPs serve in relation to the physiology of blood-feeding arthropods of medical importance. The focus of this review is upon the significance of AQPs in relation to hematophagy in arthropods. This will be accomplished via a narrative describing AQP functions during the life history of hematophagic arthropods that includes the following critical phases: (1) Saliva production necessary to blood feeding, (2) Intake and excretion of water during blood digestion, (3) Reproduction and egg development and (4) Off-host environmental stress tolerance. The concentration on these phases will highlight known vulnerabilities in the biology of hematophagic arthropods that could be used to develop novel control strategies as well as research topics that have yet to be examined.</t>
  </si>
  <si>
    <t>[Benoit, Joshua B.; Szuter, Elise M.; Burnett, Denielle L.] Univ Cincinnati, Dept Biol Sci, McMicken Coll Arts &amp; Sci, Cincinnati, OH 45221 USA; [Hansen, Immo A.; Drake, Lisa L.] New Mexico State Univ, Dept Biol, Inst Appl Biosci, Las Cruces, NM 88003 USA; [Attardo, Geoffrey M.] Yale Univ, Sch Publ Hlth, Dept Epidemiol Microbial Dis, New Haven, CT USA</t>
  </si>
  <si>
    <t>University System of Ohio; University of Cincinnati; New Mexico State University; Yale University</t>
  </si>
  <si>
    <t>Benoit, JB (corresponding author), Univ Cincinnati, Dept Biol Sci, McMicken Coll Arts &amp; Sci, Cincinnati, OH 45221 USA.</t>
  </si>
  <si>
    <t>joshua.benoit@uc.edu</t>
  </si>
  <si>
    <t>Attardo, Geoffrey Michael/I-3320-2019</t>
  </si>
  <si>
    <t>Attardo, Geoffrey Michael/0000-0001-6265-2969; Didion, Elise/0000-0002-4987-8901</t>
  </si>
  <si>
    <t>SPRINGER HEIDELBERG</t>
  </si>
  <si>
    <t>HEIDELBERG</t>
  </si>
  <si>
    <t>TIERGARTENSTRASSE 17, D-69121 HEIDELBERG, GERMANY</t>
  </si>
  <si>
    <t>0174-1578</t>
  </si>
  <si>
    <t>1432-136X</t>
  </si>
  <si>
    <t>J COMP PHYSIOL B</t>
  </si>
  <si>
    <t>J. Comp. Physiol. B-Biochem. Syst. Environ. Physiol.</t>
  </si>
  <si>
    <t>10.1007/s00360-014-0836-x</t>
  </si>
  <si>
    <t>Physiology; Zoology</t>
  </si>
  <si>
    <t>AP9WH</t>
  </si>
  <si>
    <t>WOS:000342431500001</t>
  </si>
  <si>
    <t>Menietti, JD; Averkamp, TF; Groene, JB; Horne, RB; Shprits, YY; Woodfield, EE; Hospodarsky, GB; Gurnett, DA</t>
  </si>
  <si>
    <t>Menietti, J. D.; Averkamp, T. F.; Groene, J. B.; Horne, R. B.; Shprits, Y. Y.; Woodfield, E. E.; Hospodarsky, G. B.; Gurnett, D. A.</t>
  </si>
  <si>
    <t>Survey analysis of chorus intensity at Saturn</t>
  </si>
  <si>
    <t>JOURNAL OF GEOPHYSICAL RESEARCH-SPACE PHYSICS</t>
  </si>
  <si>
    <t>Saturn; Chorus</t>
  </si>
  <si>
    <t>ZONAL HARMONIC MODEL; PLASMASPHERIC HISS; MAGNETIC-FIELD; ELECTRON ACCELERATION; RADIATION BELT; JUPITER; DIFFUSION; ORIGIN; STORM; TIME</t>
  </si>
  <si>
    <t>In order to conduct theoretical studies or modeling of pitch angle scattering of electrons by whistler mode chorus emission at Saturn, a knowledge of chorus occurrence and magnetic intensity levels, P-B, as well as the distribution of P-B relative to frequency and spatial parameters is essential. In this paper an extensive survey of whistler mode magnetic intensity levels at Saturn is carried out, and Gaussian fits of P-B are performed. We fit the spectrum of wave magnetic intensity between the lower hybrid frequency and f(ceq)/2 and for frequencies in the interval f(ceq)/2&lt;0.9 f(ceq), where f(ceq) is the cyclotron frequency mapped to the equator. Saturn chorus is observed over most local times, but is dominant on the nightside in the range of 4.5&lt;7.5, with minimum power at the equator and peak power in the range of 5 degrees&lt;&lt;10 degrees. Saturn wave magnetic intensity averaged in frequency bins peaks in the range of 10(-5)&lt;10(-4)nT(2) for 0.4&lt;&lt;0.5 (=f/f(ceq)). Gaussian fits of P-B with frequency and latitude are obtained for lower band chorus. Plasma injection regions are occasionally encountered with significant chorus power levels. Upper band chorus is seen almost exclusively within plasma injection regions, and the number of events is very limited, but when present, the average levels of P-B can be higher than the lower band chorus. The overall magnetic intensity contribution of the upper band, however, is insignificant relative to the lower band.</t>
  </si>
  <si>
    <t>[Menietti, J. D.; Averkamp, T. F.; Groene, J. B.; Hospodarsky, G. B.; Gurnett, D. A.] Univ Iowa, Dept Phys &amp; Astron, Iowa City, IA 52242 USA; [Horne, R. B.; Woodfield, E. E.] British Antarctic Survey, Cambridge CB3 0ET, England; [Shprits, Y. Y.] Univ Calif Los Angeles, Dept Earth &amp; Space Sci, Los Angeles, CA 90024 USA; [Shprits, Y. Y.] MIT, Dept Earth Atmospher &amp; Planetary Sci, Cambridge, MA USA; [Shprits, Y. Y.] Skolkovo Inst Sci &amp; Technol, Moscow, Russia</t>
  </si>
  <si>
    <t>University of Iowa; UK Research &amp; Innovation (UKRI); Natural Environment Research Council (NERC); NERC British Antarctic Survey; University of California System; University of California Los Angeles; Massachusetts Institute of Technology (MIT); Skolkovo Institute of Science &amp; Technology</t>
  </si>
  <si>
    <t>Menietti, JD (corresponding author), Univ Iowa, Dept Phys &amp; Astron, Iowa City, IA 52242 USA.</t>
  </si>
  <si>
    <t>john-menietti@uiowa.edu</t>
  </si>
  <si>
    <t>Shprits, Yuri Y/I-2174-2014; Horne, Richard B/U-3764-2019; Hospodarsky, George/A-7996-2015; Woodfield, Emma/B-5313-2014</t>
  </si>
  <si>
    <t>Horne, Richard B/0000-0002-0412-6407; Shprits, Yuri/0000-0002-9625-0834; Menietti, J. Douglas/0000-0001-6737-251X; Hospodarsky, George/0000-0001-9200-9878; Woodfield, Emma/0000-0002-0531-8814</t>
  </si>
  <si>
    <t>JPL [1415150]; NASA [NNX11AM36G]; STFC [ST/1001727/1]; NERC; NERC [bas0100023] Funding Source: UKRI; STFC [ST/I001727/1] Funding Source: UKRI; Natural Environment Research Council [bas0100023] Funding Source: researchfish; Science and Technology Facilities Council [ST/I001727/1] Funding Source: researchfish</t>
  </si>
  <si>
    <t>JPL; NASA(National Aeronautics &amp; Space Administration (NASA)); STFC(UK Research &amp; Innovation (UKRI)Science &amp; Technology Facilities Council (STFC)); NERC(UK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</si>
  <si>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We wish to thank J. Barnholdt for the administrative assistance and J. Chrisinger for the help with several figures. J. D. M. acknowledges support from JPL contract 1415150 and NASA grant NNX11AM36G. R. B. H. and E. E. W. are funded through STFC grant ST/1001727/1. R. B. H. is funded in the UK by NERC. Cassini RPWS data are archived in calibrated, full resolution at the NASA Planetary Data System website: http://pds.nasa.gov/ds-view/pds/viewDataset.jsp?dsid=CO-V/E/J/S/SS-RPWS-3-RDR-LRFULL-V1.0. The calibrated, full resolution WFR data are located at the same site: http://pds.nasa.gov/ds-view/pds/viewDataset.jsp?dsid=CO-V/E/J/S/SS-RPWS-2-REFDR-WFRFULL-V1.0.</t>
  </si>
  <si>
    <t>AMER GEOPHYSICAL UNION</t>
  </si>
  <si>
    <t>WASHINGTON</t>
  </si>
  <si>
    <t>2000 FLORIDA AVE NW, WASHINGTON, DC 20009 USA</t>
  </si>
  <si>
    <t>2169-9380</t>
  </si>
  <si>
    <t>2169-9402</t>
  </si>
  <si>
    <t>J GEOPHYS RES-SPACE</t>
  </si>
  <si>
    <t>J. Geophys. Res-Space Phys.</t>
  </si>
  <si>
    <t>10.1002/2014JA020523</t>
  </si>
  <si>
    <t>Astronomy &amp; Astrophysics</t>
  </si>
  <si>
    <t>AU2JW</t>
  </si>
  <si>
    <t>Green Accepted, Bronze</t>
  </si>
  <si>
    <t>WOS:000345445400031</t>
  </si>
  <si>
    <t>Cnossen, I; Franzke, C</t>
  </si>
  <si>
    <t>Cnossen, Ingrid; Franzke, Christian</t>
  </si>
  <si>
    <t>The role of the Sun in long-term change in the F2 peak ionosphere: New insights from EEMD and numerical modeling</t>
  </si>
  <si>
    <t>long-term trend; Ensemble Empirical Mode Decomposition; hmF2; foF2; F2 peak; ionosphere</t>
  </si>
  <si>
    <t>EARTHS MAGNETIC-FIELD; RANGE DEPENDENCE; UPPER-ATMOSPHERE; TRENDS; DECOMPOSITION</t>
  </si>
  <si>
    <t>We applied Ensemble Empirical Mode Decomposition (EEMD) for the first time to ionosonde data to study trends in the critical frequency of the F-2 peak, f(o)F(2), and its height, h(m)F(2), from 1959 to 2005. EEMD decomposes a time series into several quasi-cyclical components, called Intrinsic Mode Functions, and a residual, which can be interpreted as a long-term trend. In contrast to the more commonly used linear regression-based trend analysis, EEMD makes no assumptions on the functional form of the trend and no separate correction for the influence of solar activity variations is needed. We also adopted a more rigorous significance testing procedure with less restrictive underlying assumptions than the F test, which is normally used as part of a linear regression-based trend analysis. EEMD analysis shows that trends in h(m)F(2) and f(o)F(2) between 1959 and 2005 are mostly highly linear, but the F test tends to overestimate the significance of trends in h(m)F(2) and f(o)F(2) in 30% and 25% of cases, respectively. EEMD-based trends are consistently more negative than linear regression-based trends, by 30-35% for h(m)F(2) and about 50% for f(o)F(2). This may be due to the different treatment of the influence of a long-term decrease in solar activity from 1959 to 2005. We estimate the effect of this decrease in solar activity with two different data-based methods as well as using numerical model simulations. While these estimates vary, all three methods demonstrate a larger relative influence of the Sun on trends in f(o)F(2) than on trends in h(m)F(2).</t>
  </si>
  <si>
    <t>[Cnossen, Ingrid] British Antarctic Survey, Cambridge CB3 0ET, England; [Franzke, Christian] Univ Hamburg, Inst Meteorol, Ctr Earth Syst Sci &amp; Sustainabil, Hamburg, Germany</t>
  </si>
  <si>
    <t>UK Research &amp; Innovation (UKRI); Natural Environment Research Council (NERC); NERC British Antarctic Survey; University of Hamburg</t>
  </si>
  <si>
    <t>Cnossen, I (corresponding author), British Antarctic Survey, Cambridge CB3 0ET, England.</t>
  </si>
  <si>
    <t>inos@bas.ac.uk</t>
  </si>
  <si>
    <t>Cnossen, Ingrid/E-5809-2010; Franzke, Christian/A-6191-2012</t>
  </si>
  <si>
    <t>Cnossen, Ingrid/0000-0001-6469-7861; Franzke, Christian/0000-0003-4111-1228</t>
  </si>
  <si>
    <t>Natural Environment Research Council (NERC) [NE/J018058/1]; German Research Foundation (DFG) through the cluster of excellence Climate System Analysis and Prediction (CliSAP); National Science Foundation; Natural Environment Research Council [bas0100023, NE/J018058/1] Funding Source: researchfish; NERC [bas0100023, NE/J018058/1] Funding Source: UKRI</t>
  </si>
  <si>
    <t>Natural Environment Research Council (NERC)(UK Research &amp; Innovation (UKRI)Natural Environment Research Council (NERC)); German Research Foundation (DFG) through the cluster of excellence Climate System Analysis and Prediction (CliSAP)(German Research Foundation (DFG)); National Science Foundation(National Science Foundation (NSF));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</si>
  <si>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Ingrid Cnossen was sponsored by Natural Environment Research Council (NERC) fellowship NE/J018058/1. Christian Franzke was supported by the German Research Foundation (DFG) through the cluster of excellence Climate System Analysis and Prediction (CliSAP). The TIE-GCM simulations used in this study were performed on the Yellowstone high-performance computing facility (ark:/85065/d7wd3xhc) provided by NCAR's Computational and Information Systems Laboratory, sponsored by the National Science Foundation. Simulation results will be made freely available on request (contact the corresponding author if interested). We are grateful for the efforts of the ionosonde stations in collecting the data which made this study possible.</t>
  </si>
  <si>
    <t>10.1002/2014JA020048</t>
  </si>
  <si>
    <t>Green Accepted</t>
  </si>
  <si>
    <t>WOS:000345445400045</t>
  </si>
  <si>
    <t>van der Meeren, C; Oksavik, K; Lorentzen, D; Moen, JI; Romano, V</t>
  </si>
  <si>
    <t>van der Meeren, Christer; Oksavik, Kjellmar; Lorentzen, Dag; Moen, Joran Idar; Romano, Vincenzo</t>
  </si>
  <si>
    <t>GPS scintillation and irregularities at the front of an ionization tongue in the nightside polar ionosphere</t>
  </si>
  <si>
    <t>scintillations; GPS; tongue of ionization (TOI); polar cap; EISCAT; airglow</t>
  </si>
  <si>
    <t>INTERPLANETARY MAGNETIC-FIELD; HIGH-LATITUDES; PHASE-SCINTILLATION; MAGNETOPAUSE RECONNECTION; SOLAR MINIMUM; F-REGION; CAP; PATCHES; CONVECTION; DYNAMICS</t>
  </si>
  <si>
    <t>In this paper we study a tongue of ionization (TOI) on 31 October 2011 which stretched across the polar cap from the Canadian dayside sector to Svalbard in the nightside ionosphere. The TOI front arrived over Svalbard around 1930 UT. We have investigated GPS scintillation and irregularities in relation to this TOI front. This is the first study presenting such detailed multi-instrument data of scintillation and irregularities in relation to a TOI front. Combining data from an all-sky imager, the European Incoherent Scatter Svalbard Radar, the Super Dual Auroral Radar Network Hankasalmi radar, and three GPS scintillation and total electron content (TEC) monitors in Longyearbyen and Ny-angstrom lesund, we observe bursts of phase scintillation and no amplitude scintillation in relation to the leading gradient of the TOI. Spectrograms of 50Hz phase measurements show highly localized and variable structuring of the TOI leading gradient, with no structuring or scintillation within the TOI or ahead of the TOI.</t>
  </si>
  <si>
    <t>[van der Meeren, Christer; Oksavik, Kjellmar] Univ Bergen, Dept Phys &amp; Technol, Birkeland Ctr Space Sci, Bergen, Norway; [Oksavik, Kjellmar; Lorentzen, Dag; Moen, Joran Idar] Univ Ctr Svalbard, Longyearbyen, Norway; [Lorentzen, Dag] Univ Ctr Svalbard, Birkeland Ctr Space Sci, Longyearbyen, Norway; [Moen, Joran Idar] Univ Oslo, Dept Phys, Oslo, Norway; [Romano, Vincenzo] Ist Nazl Geofis &amp; Vulcanol, Rome, Italy</t>
  </si>
  <si>
    <t>University of Bergen; University Centre Svalbard (UNIS); University Centre Svalbard (UNIS); University of Oslo; Istituto Nazionale Geofisica e Vulcanologia (INGV)</t>
  </si>
  <si>
    <t>van der Meeren, C (corresponding author), Univ Bergen, Dept Phys &amp; Technol, Birkeland Ctr Space Sci, Bergen, Norway.</t>
  </si>
  <si>
    <t>christer.meeren@ift.uib.no</t>
  </si>
  <si>
    <t>Oksavik, Kjellmar/GWZ-7781-2022; Romano, Vincenzo/HKV-6552-2023</t>
  </si>
  <si>
    <t>Oksavik, Kjellmar/0000-0003-4312-6992; Romano, Vincenzo/0000-0002-7532-4507</t>
  </si>
  <si>
    <t>Research Council of Norway [223252/F50, 212014/F50, 208006/F50, 230935/F50, 230996/F50]; China (CRIRP); Finland (SA); Japan (NIPR); Japan (STEL); Norway (NFR); Sweden (VR); United Kingdom (NERC)</t>
  </si>
  <si>
    <t>Research Council of Norway(Research Council of Norway); China (CRIRP); Finland (SA); Japan (NIPR); Japan (STEL); Norway (NFR)(Research Council of Norway); Sweden (VR)(Swedish Research Council); United Kingdom (NERC)(UK Research &amp; Innovation (UKRI)Natural Environment Research Council (NERC))</t>
  </si>
  <si>
    <t>The EISCAT data are available from http://eiscat.se. The UiO ASI data are available at http://tid.uio.no/plasma/aurora. The IMF and solar wind data were provided by the NASA OMNIWeb service (http://omniweb.gsfc.nasa.gov). The AE index was retrieved from the World Data Center for Geomagnetism, Kyoto (http://wdc.kugi.kyoto-u.ac.jp). Figure 2 was made using the tools at the Virginia Tech SuperDARN website (http://vt.superdarn.org/tiki-index.php). The website also provides information for SuperDARN data access. The GPS data can be made available upon request from the author. This study was supported by the Research Council of Norway under contracts 223252/F50, 212014/F50, 208006/F50, 230935/F50, and 230996/F50. EISCAT is an international association supported by research organizations in China (CRIRP), Finland (SA), Japan (NIPR and STEL), Norway (NFR), Sweden (VR), and the United Kingdom (NERC). The Hankasalmi SuperDARN radar is operated by the Radio and Space Physics Plasma Group at the University of Leicester in conjunction with the Finnish Meteorological Institute, Helsinki. We thank PNRA (Italian National Program for Antarctic Researches) and POLARNET-CNR for supporting the ISACCO GNSS network. We would especially like to thank Kshitija Deshpande at Virginia Tech for fruitful discussions at the 2014 CEDAR workshop and Bjorn Lybekk at the University of Oslo for providing the UiO GPS data.</t>
  </si>
  <si>
    <t>10.1002/2014JA020114</t>
  </si>
  <si>
    <t>Green Submitted, Green Accepted, Green Published, hybrid</t>
  </si>
  <si>
    <t>WOS:000345445400046</t>
  </si>
  <si>
    <t>Zheng, F; Li, JP; Liu, T</t>
  </si>
  <si>
    <t>Zheng Fei; Li Jianping; Liu Ting</t>
  </si>
  <si>
    <t>Some advances in studies of the climatic impacts of the Southern Hemisphere annular mode</t>
  </si>
  <si>
    <t>JOURNAL OF METEOROLOGICAL RESEARCH</t>
  </si>
  <si>
    <t>Southern Hemisphere annular mode (SAM); monsoon; climatic impact; climate change; interaction between the Northern and Southern Hemispheres</t>
  </si>
  <si>
    <t>SEA-SURFACE TEMPERATURE; TROPICAL CYCLONE ACTIVITY; ZONAL WIND VACILLATION; YANGTZE-RIVER VALLEY; ANTARCTIC OSCILLATION; AUSTRALIAN RAINFALL; INTERANNUAL VARIABILITY; GEOPOTENTIAL HEIGHT; EXTRATROPICAL CIRCULATION; ATMOSPHERIC CIRCULATION</t>
  </si>
  <si>
    <t>The Southern Hemisphere (SH) annular mode (SAM) is the dominant mode of atmospheric circulation in the SH extratropics. The SAM regulates climate in many regions due to its large spatial scale. Exploration of the climatic impacts of the SAM is a new research field that has developed rapidly in recent years. This paper reviews studies of the climatic impact of the SAM on the SH and the Northern Hemisphere (NH), emphasizing linkages between the SAM and climate in China. Studies relating the SAM to climate change are also discussed. A general survey of these studies shows that signals of the SAM in the SH climate have been systematically investigated. On interannual scales, the SAM can influence the position of storm tracks and the vertical circulation, and modulate the dynamic and thermodynamic driving effects of the surface wind on the underlying surface, thus influencing the SH air-sea-ice coupled system. These influences generally show zonally symmetrical characteristics, but with local features. On climate change scales, the impacts of the SAM on SH climate change show a similar spatial distribution to those on interannual scales. There are also meaningful results on the relationship between the SAM and the NH climate. The SAM is known to affect the East Asian, West African, and North American summer monsoons, as well as the winter monsoon in China. Air-sea interaction plays an important role in these connections in terms of the storage of the SAM signal and its propagation from the SH to the NH. However, compared with the considerable knowledge of the impact of the SAM on the SH climate, the response of the NH climate to the SAM deserves further study, including both a deep understanding of the propagation mechanism of the SAM signal from the SH to the NH and the establishment of a seasonal prediction model based on the SAM.</t>
  </si>
  <si>
    <t>[Zheng Fei; Li Jianping; Liu Ting] Chinese Acad Sci, Inst Atmospher Phys, State Key Lab Numer Modeling Atmospher Sci &amp; Geop, Beijing 100029, Peoples R China; [Li Jianping] Beijing Normal Univ, Coll Global Change &amp; Earth Syst Sci, Beijing 100875, Peoples R China; [Liu Ting] Univ Chinese Acad Sci, Beijing 100049, Peoples R China</t>
  </si>
  <si>
    <t>Chinese Academy of Sciences; Institute of Atmospheric Physics, CAS; Beijing Normal University; Chinese Academy of Sciences; University of Chinese Academy of Sciences, CAS</t>
  </si>
  <si>
    <t>Li, JP (corresponding author), Beijing Normal Univ, Coll Global Change &amp; Earth Syst Sci, Beijing 100875, Peoples R China.</t>
  </si>
  <si>
    <t>ljp@bnu.edu.cn</t>
  </si>
  <si>
    <t>Li, Jianping/I-2661-2012; Zheng, Fei/AAQ-4559-2020; Zheng, Fei/AAV-7512-2021; Zheng, Fei/K-7257-2012</t>
  </si>
  <si>
    <t>Zheng, Fei/0000-0001-6135-6148; Zheng, Fei/0000-0001-6135-6148;</t>
  </si>
  <si>
    <t>National Basic Research and Development (973) Program of China [2013CB430200]; National Natural Science Foundation of China [41030961]; China Meteorological Administration Special Public Welfare Research Fund [GYHY201306031]</t>
  </si>
  <si>
    <t>National Basic Research and Development (973) Program of China(National Basic Research Program of China); National Natural Science Foundation of China(National Natural Science Foundation of China (NSFC)); China Meteorological Administration Special Public Welfare Research Fund</t>
  </si>
  <si>
    <t>Supported by the National Basic Research and Development (973) Program of China (2013CB430200), National Natural Science Foundation of China (41030961), and China Meteorological Administration Special Public Welfare Research Fund (GYHY201306031).</t>
  </si>
  <si>
    <t>2095-6037</t>
  </si>
  <si>
    <t>2198-0934</t>
  </si>
  <si>
    <t>J METEOROL RES-PRC</t>
  </si>
  <si>
    <t>J. Meteorol. Res.</t>
  </si>
  <si>
    <t>10.1007/s13351-014-4079-2</t>
  </si>
  <si>
    <t>AS1ZD</t>
  </si>
  <si>
    <t>WOS:000344078000010</t>
  </si>
  <si>
    <t>Green, DH; Hibberson, WO; Rosenthal, A; Kovács, I; Yaxley, GM; Falloon, TJ; Brink, F</t>
  </si>
  <si>
    <t>Green, David H.; Hibberson, William O.; Rosenthal, Anja; Kovacs, Istvan; Yaxley, Gregory M.; Falloon, Trevor J.; Brink, Frank</t>
  </si>
  <si>
    <t>Experimental Study of the Influence of Water on Melting and Phase Assemblages in the Upper Mantle</t>
  </si>
  <si>
    <t>JOURNAL OF PETROLOGY</t>
  </si>
  <si>
    <t>experimental petrology; hydrous mineral phases pargasite and phlogopite; nominally anhydrous minerals; upper mantle melting; water in the upper mantle; lithosphere; asthenosphere</t>
  </si>
  <si>
    <t>HYDROUS MANTLE; HIGH-PRESSURES; OXYGEN FUGACITY; CRYSTALLIZATION TEMPERATURES; ELECTRICAL-CONDUCTIVITY; EXPERIMENTAL PETROLOGY; HAWAIIAN THOLEIITES; CARBONATITE MELTS; GARNET PERIDOTITE; PARENTAL LIQUIDS</t>
  </si>
  <si>
    <t>The role of water in the uppermost mantle has been explored to 6 GPa (similar to 200 km) by a novel experimental approach in which the silicate melting solidus, the stability of hydrous phases and the 1120 contents in nominally anhydrous minerals (NA11,15) were determined, The composition studied is a fertile Iherzolite modelled as a source for mid-ocean ridge basalts (moRB). The use of crushed olivine as traps for melt or fluid inclusions allows a distinction to be made between quenched hydrous silicate melt and quench material tram water-rich vapour phase. The vapor-saturated solidus (water-rich vapor) of fertile Iherzolite increases in temperature (E) from a minimum of 970 C at 1.56Pa, (similar to 50 km) to 1375 C at 6 GPa. The Ca-rich amphibole pargasite is, stable to the vapour-saturated,solidus to 3 GPa similar to 100 km). Based on normative components, at GPa the near-solidus melt (1-27%) in mantle with very low 1190 content is transitional between sodic-dolomitic carbonatite and olivine melilitite, With lugher melt fraction () at higher Tar higher H2O content it is olivine-rich basanite. Both immediately below and above the solidus, the 1190 content in residual the zolite is 200 ppm retained in Mills at 2.5 and 4 GPa. The experimentally determined vapour-saturated solidus corrects recent numerical models of melting of therzolite + H2O based on inferred high solubilities of H2O in MAL and accounts for a discrepant cxperimental determination of the vapour-saturated solidus in which very high water/rock ratios were used. At 2.5 GPa, the water content of experimental charges was varied from 0.05 to 11.5 wt %. Below the solidus and with increasing water content from 0.05 to 2.9 wt %. pargasite decreases in K2O inch Na2O content and is absent in experiments with 7.25 and 11.5 wt % 1120. Also with increasing water content from 0.05 to 11.5 tot hi H20, the.,,Na2O content of clinopyroxene decreases from 1.6wt % to below the limit of detection (0.2 wt %). The destabilization of pargasite and change of clinopyroxene composition at 2.5 GPa and 100020 are attributed to the leaching role (,NU:,,0 and 1X20 particularly) of the water-rich vapour at high water/rock ratios, The hydrous mineral pargasite is the major site of 1120 storage in fertile uppermost mantle lherzolite but pargasite is unstable at pressures. ( P) &gt; 3GPa (similar to 100 km depth.), causing a sharp drop in the water storage capacity of the upper mantle from &gt;2000 to 200 ppm. Far small H2O contents (&lt;2000 ppm, approximately), the temperature of the vapour-undersaturated solidus of fertile upper mantle thergolite decreases sharply with increasing P at similar to 90 km depth The negative df/dY for the vapour-undersaturated solidus has important Theological and geodynamic consequences. In oceanic intraplate settings, the geotherm passes from, subsolidus pargasite-bearing therzolite to garnet thero lite with. incipient melting, creating the Theological boundary at 90 km depth, between lithosphere and dsthenosphere. The intrablate sphere becomes geochemically zoned with the 'enriched intraplale basalt source (&gt;500 ppm 1120) overlying the `depleted Holm source (similar to 200 ppm H2O) in the deeper asthenosphere. Water also significance role at convergent margins, where hydrous melting in the mantle wedge is initiated at the vapour-saturated solidus. Melting of therzolite at or near the vapour-saturated solidus does not fully dehydrate residual therzolite or harzburgite. Residual lithosphere returned to the upper mantle may curly similar to 100-200 ppm H2O. At 6 GM the low lij..Ya model mantle composition (MORB-source mantle) with &gt;200 ppm H2O has normal rather than super-critical melting behaviour with the solidus at 1375 degrees C, which is similar to 350 degrees C below the C 11-free solidus</t>
  </si>
  <si>
    <t>[Green, David H.; Falloon, Trevor J.] Univ Tasmania, Sch Earth Sci, Hobart, Tas 7001, Australia; [Green, David H.] Univ Tasmania, Ctr Ore Deposit Studies, Hobart, Tas 7001, Australia; [Green, David H.; Hibberson, William O.; Rosenthal, Anja; Kovacs, Istvan; Yaxley, Gregory M.] Australian Natl Univ, Res Sch Earth Sci, Canberra, ACT 0200, Australia; [Rosenthal, Anja] Univ Bayreuth, Bayer Geoinst, D-95440 Bayreuth, Germany; [Kovacs, Istvan] Geol &amp; Geophys Inst Hungary, Dept Lab, H-1143 Budapest, Hungary; [Falloon, Trevor J.] Univ Tasmania, Inst Marine &amp; Antarctic Studies, Hobart, Tas 7001, Australia; [Brink, Frank] Australian Natl Univ, Ctr Adv Microscopy, Canberra, ACT 0200, Australia</t>
  </si>
  <si>
    <t>University of Tasmania; University of Tasmania; Australian National University; University of Bayreuth; University of Tasmania; Australian National University</t>
  </si>
  <si>
    <t>Green, DH (corresponding author), Univ Tasmania, Sch Earth Sci, Hobart, Tas 7001, Australia.</t>
  </si>
  <si>
    <t>david.h.green@utas.edu.au</t>
  </si>
  <si>
    <t>Falloon, Trevor John/J-2381-2019; Rosenthal, Anja/J-9393-2014; Green, David/A-5288-2008; Kovacs, Istvan/A-1267-2008; Yaxley, Greg/A-1167-2008</t>
  </si>
  <si>
    <t>Rosenthal, Anja/0000-0003-3912-4046; Green, David/0000-0002-5290-2087; Kovacs, Istvan/0000-0002-3488-3716; Yaxley, Greg/0000-0003-0445-8812; Falloon, Trevor/0000-0001-6528-9739</t>
  </si>
  <si>
    <t>Australian Research Council; A. E. Ringwood Memorial Scholarship; Australian International Postgraduate Research Scholarship; Marie Curie International Reintegration Grant [NAMS-230937]; Bolyai Postdoctoral Fellowship Program; Hungarian Scientific Research Fund [PD101683]; ANU; Marie Curie International Incoming Fellowship [302637]</t>
  </si>
  <si>
    <t>Australian Research Council(Australian Research Council); A. E. Ringwood Memorial Scholarship; Australian International Postgraduate Research Scholarship; Marie Curie International Reintegration Grant(European Union (EU)); Bolyai Postdoctoral Fellowship Program; Hungarian Scientific Research Fund(Orszagos Tudomanyos Kutatasi Alapprogramok (OTKA)); ANU(Australian National University); Marie Curie International Incoming Fellowship(European Union (EU))</t>
  </si>
  <si>
    <t>This research was supported by Australian Research Council grants to D.H.G., and to G.M.Y and D.H.G. LK, was supported by an A. E. Ringwood Memorial Scholarship, an Australian International Postgraduate Research Scholarship, a Marie Curie International Reintegration Grant (NAMS-230937), a Bolyai Postdoctoral Fellowship Program, and a postdoctoral grant (PD101683) of the Hungarian Scientific Research Fund. A.R. was supported by an ANU PhD Scholarship, an RSES 2007 joint 'Mervyn and Katalyn Paterson Fellowship', and a Marie Curie International Incoming Fellowship (302637).</t>
  </si>
  <si>
    <t>OXFORD UNIV PRESS</t>
  </si>
  <si>
    <t>GREAT CLARENDON ST, OXFORD OX2 6DP, ENGLAND</t>
  </si>
  <si>
    <t>0022-3530</t>
  </si>
  <si>
    <t>1460-2415</t>
  </si>
  <si>
    <t>J PETROL</t>
  </si>
  <si>
    <t>J. Petrol.</t>
  </si>
  <si>
    <t>10.1093/petrology/egu050</t>
  </si>
  <si>
    <t>Geochemistry &amp; Geophysics</t>
  </si>
  <si>
    <t>AR6MF</t>
  </si>
  <si>
    <t>Green Submitted, Bronze</t>
  </si>
  <si>
    <t>WOS:000343696800006</t>
  </si>
  <si>
    <t>Tulloch, R; Ferrari, R; Jahn, O; Klocker, A; LaCasce, J; Ledwell, JR; Marshall, J; Messias, MJ; Speer, K; Watson, A</t>
  </si>
  <si>
    <t>Tulloch, Ross; Ferrari, Raffaele; Jahn, Oliver; Klocker, Andreas; LaCasce, Joseph; Ledwell, James R.; Marshall, John; Messias, Marie-Jose; Speer, Kevin; Watson, Andrew</t>
  </si>
  <si>
    <t>Direct Estimate of Lateral Eddy Diffusivity Upstream of Drake Passage</t>
  </si>
  <si>
    <t>JOURNAL OF PHYSICAL OCEANOGRAPHY</t>
  </si>
  <si>
    <t>ANTARCTIC CIRCUMPOLAR CURRENT; OCEAN MODELS; TRACER; EDDIES; CIRCULATION; SUPPRESSION; ADVECTION; CURRENTS; JETS</t>
  </si>
  <si>
    <t>The first direct estimate of the rate at which geostrophic turbulence mixes tracers across the Antarctic Circumpolar Current is presented. The estimate is computed from the spreading of a tracer released upstream of Drake Passage as part of the Diapycnal and Isopycnal Mixing Experiment in the Southern Ocean (DIMES). The meridional eddy diffusivity, a measure of the rate at which the area of the tracer spreads along an isopycnal across the Antarctic Circumpolar Current, is 710 +/- 260 m(2) s(-1) 1500-m depth. The estimate is based on an extrapolation of the tracer-based diffusivity using output from numerical tracers released in a one-twentieth of a degree model simulation of the circulation and turbulence in the Drake Passage region. The model is shown to reproduce the observed spreading rate of the DIMES tracer and suggests that the meridional eddy diffusivity is weak in the upper kilometer of the water column with values below 500 m(2) s(-1) a nd peaks at the steering level, near 2 km, where the eddy phase speed is equal to the mean flow speed. These vertical variations are not captured by ocean models presently used for climate studies, but they significantly affect the ventilation of different water masses.</t>
  </si>
  <si>
    <t>[Tulloch, Ross; Ferrari, Raffaele; Jahn, Oliver; Marshall, John] MIT, Dept Earth Atmospher &amp; Planetary Sci, Cambridge, MA 02139 USA; [Klocker, Andreas] Univ Tasmania, Inst Marine &amp; Antarctic Studies, Hobart, Tas, Australia; [LaCasce, Joseph] Univ Oslo, Dept Geosci, Oslo, Norway; [Ledwell, James R.] Woods Hole Oceanog Inst, Woods Hole, MA 02543 USA; [Messias, Marie-Jose; Watson, Andrew] Univ E Anglia, Sch Environm Sci, Norwich NR4 7TJ, Norfolk, England; [Speer, Kevin] Florida State Univ, Dept Earth Ocean &amp; Atmospher Sci, Tallahassee, FL 32306 USA; [Speer, Kevin] Florida State Univ, Inst Geophys Fluid Dynam, Tallahassee, FL 32306 USA</t>
  </si>
  <si>
    <t>Massachusetts Institute of Technology (MIT); University of Tasmania; University of Oslo; Woods Hole Oceanographic Institution; University of East Anglia; State University System of Florida; Florida State University; State University System of Florida; Florida State University</t>
  </si>
  <si>
    <t>Ferrari, R (corresponding author), MIT, Dept Earth Atmospher &amp; Planetary Sci, 77 Massachusetts Ave, Cambridge, MA 02139 USA.</t>
  </si>
  <si>
    <t>rferrari@mit.edu</t>
  </si>
  <si>
    <t>Ferrari, Raffaele/C-9337-2013; Klocker, Andreas/E-4632-2011</t>
  </si>
  <si>
    <t>Ferrari, Raffaele/0000-0002-3736-1956; Messias, Marie-Jose/0000-0002-3852-2854; LaCasce, Joseph Henry/0000-0001-7655-5596; Watson, Andrew/0000-0002-9654-8147; Jahn, Oliver/0000-0002-0130-5186; Klocker, Andreas/0000-0002-2038-7922</t>
  </si>
  <si>
    <t>NSF [OCE-1233832, OCE-1232962, OCE-1048926]; Directorate For Geosciences; Division Of Ocean Sciences [1232962, 1233832] Funding Source: National Science Foundation; Division Of Ocean Sciences; Directorate For Geosciences [1048926, 1231803] Funding Source: National Science Foundation; Office of Advanced Cyberinfrastructure (OAC); Direct For Computer &amp; Info Scie &amp; Enginr [0904338] Funding Source: National Science Foundation; Natural Environment Research Council [NE/E005985/2] Funding Source: researchfish; NERC [NE/E005985/2] Funding Source: UKRI</t>
  </si>
  <si>
    <t>NSF(National Science Foundation (NSF)); Directorate For Geosciences; Division Of Ocean Sciences(National Science Foundation (NSF)NSF - Directorate for Geosciences (GEO)); Division Of Ocean Sciences; Directorate For Geosciences(National Science Foundation (NSF)NSF - Directorate for Geosciences (GEO)); Office of Advanced Cyberinfrastructure (OAC); Direct For Computer &amp; Info Scie &amp; Enginr(National Science Foundation (NSF)NSF - Directorate for Computer &amp; Information Science &amp; Engineering (CISE)); Natural Environment Research Council(UK Research &amp; Innovation (UKRI)Natural Environment Research Council (NERC)); NERC(UK Research &amp; Innovation (UKRI)Natural Environment Research Council (NERC))</t>
  </si>
  <si>
    <t>Ferrari and Tulloch wrote the manuscript with input from the other coauthors. Ledwell, Messiah, Speer, and Watson led the tracer field measurements. Ferrari, Jahn, Klocker, LaCasce, Marshall, and Tulloch led the numerical simulation work. We also thank all the scientists and ship crews of DIMES for their many contributions to a very successful experiment. NSF support through Awards OCE-1233832, OCE-1232962, and OCE-1048926 is gratefully acknowledged. Computing resources on Pleiades and Yellowstone proved essential to perform the numerical simulations that are used to interpret the data.</t>
  </si>
  <si>
    <t>0022-3670</t>
  </si>
  <si>
    <t>1520-0485</t>
  </si>
  <si>
    <t>J PHYS OCEANOGR</t>
  </si>
  <si>
    <t>J. Phys. Oceanogr.</t>
  </si>
  <si>
    <t>10.1175/JPO-D-13-0120.1</t>
  </si>
  <si>
    <t>AQ5PM</t>
  </si>
  <si>
    <t>Bronze, Green Published, Green Submitted</t>
  </si>
  <si>
    <t>WOS:000342861100001</t>
  </si>
  <si>
    <t>Groeskamp, S; Zika, JD; Sloyan, BM; McDougall, TJ; McIntosh, PC</t>
  </si>
  <si>
    <t>Groeskamp, Sjoerd; Zika, Jan D.; Sloyan, Bernadette M.; McDougall, Trevor J.; McIntosh, Peter C.</t>
  </si>
  <si>
    <t>A Thermohaline Inverse Method for Estimating Diathermohaline Circulation and Mixing</t>
  </si>
  <si>
    <t>OCEAN CIRCULATION; POTENTIAL TEMPERATURE; BERNOULLI INVERSE; HYDROGRAPHIC DATA; SOUTHERN-OCEAN; HEAT-TRANSPORT; SALINITY; DENSITY; MODELS; SEAWATER</t>
  </si>
  <si>
    <t>The thermohaline inverse method (THIM) is presented that provides estimates of the diathermohaline streamfunction Psi(dia)(SA Theta), the downgradient along-isopycnal diffusion coefficient K, and the isotropic downgradient turbulent diffusion coefficient D of small-scale mixing processes. This is accomplished by using the water mass transformation framework in two tracer dimensions: here in Absolute Salinity S-A and Conservative Temperature Theta coordinates. The authors show that a diathermal volume transport down a Conservative Temperature gradient is related to surface heating and cooling and mixing, and a diahaline volume transport down an Absolute Salinity gradient is related to surface freshwater fluxes and mixing. Both the diahaline and diathermal flows can be calculated using readily observed parameters that are used to produce climatologies, surface flux products, and mixing parameterizations for K and D. Conservation statements for volume, salt, and heat in (S-A, Theta) coordinates, using the diahaline and diathermal volume transport expressed as surface freshwater and heat fluxes and mixing, allow for the formulation of a system of equations that is solved by an inverse method that can estimate the unknown diathermohaline streamfunction Psi(dia)(SA Theta) and the diffusion coefficients K and D. The inverse solution provides an accurate estimate of Psi(dia)(SA Theta) K, and D when tested against a numerical climate model for which all these parameters are known.</t>
  </si>
  <si>
    <t>[Groeskamp, Sjoerd; Sloyan, Bernadette M.] CSIRO Wealth Oceans Natl Res Flagship, Hobart, Tas 7000, Australia; [Groeskamp, Sjoerd] Univ Tasmania, Inst Marine &amp; Antarctic Studies, Hobart, Tas, Australia; [Zika, Jan D.] Univ Southampton, Natl Oceanog Ctr, Southampton, Hants, England; [Sloyan, Bernadette M.; McIntosh, Peter C.] CSIRO Marine &amp; Atmospher Res, Ctr Australian Weather &amp; Climate Res, Hobart, Tas, Australia; [McDougall, Trevor J.] Univ New S Wales, Sch Math &amp; Stat, Sydney, NSW, Australia</t>
  </si>
  <si>
    <t>Commonwealth Scientific &amp; Industrial Research Organisation (CSIRO); University of Tasmania; NERC National Oceanography Centre; University of Southampton; Commonwealth Scientific &amp; Industrial Research Organisation (CSIRO); University of New South Wales Sydney</t>
  </si>
  <si>
    <t>Groeskamp, S (corresponding author), CSIRO Wealth Oceans Natl Res Flagship, Hobart, Tas 7000, Australia.</t>
  </si>
  <si>
    <t>sjoerd.groeskamp@csiro.au</t>
  </si>
  <si>
    <t>McDougall, Trevor J/A-6770-2013; Sloyan, Bernadette/N-8989-2014; McIntosh, Peter C/F-7594-2012</t>
  </si>
  <si>
    <t>Sloyan, Bernadette/0000-0003-0250-0167; Zika, Jan/0000-0003-3462-3559</t>
  </si>
  <si>
    <t>joint CSIRO-University of Tasmania program in quantitative marine science (QMS); CSIRO Wealth from Ocean flagship; Office of the Chief Executive (OCE) Science Team Postgraduate Scholarship Program; Australian Climate Change Science Program - Department of the Environment; Australian Climate Change Science Program - CSIRO; U.K. National Environment Research Council; NERC [NE/I020415/1] Funding Source: UKRI; Natural Environment Research Council [NE/I020415/1] Funding Source: researchfish</t>
  </si>
  <si>
    <t>joint CSIRO-University of Tasmania program in quantitative marine science (QMS); CSIRO Wealth from Ocean flagship; Office of the Chief Executive (OCE) Science Team Postgraduate Scholarship Program; Australian Climate Change Science Program - Department of the Environment; Australian Climate Change Science Program - CSIRO; U.K. National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</si>
  <si>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SG was supported by the joint CSIRO-University of Tasmania program in quantitative marine science (QMS) and the CSIRO Wealth from Ocean flagship and through the Office of the Chief Executive (OCE) Science Team Postgraduate Scholarship Program. BMS was supported by the Australian Climate Change Science Program, jointly funded by the Department of the Environment and CSIRO. JDZ is supported by the U.K. National Environment Research Council. We thank Louise Bell for preparing some of the figures.</t>
  </si>
  <si>
    <t>10.1175/JPO-D-14-0039.1</t>
  </si>
  <si>
    <t>Bronze, Green Accepted</t>
  </si>
  <si>
    <t>WOS:000342861100005</t>
  </si>
  <si>
    <t>Zheng, Z; Liang, Q; Chen, H; Liu, FM; Wang, YB; Du, N; Miao, JL</t>
  </si>
  <si>
    <t>Zheng Zhou; Liang Qiang; Chen Hao; Liu Fang-ming; Wang Yi-bin; Du Ning; Miao Jin-lai</t>
  </si>
  <si>
    <t>Molecular Cloning and Characterization of the alkB gene of Shewanella sp NJ49 from Antarctic Sea Ice</t>
  </si>
  <si>
    <t>JOURNAL OF PURE AND APPLIED MICROBIOLOGY</t>
  </si>
  <si>
    <t>ALKANE HYDROXYLASES; ULTRAVIOLET-RADIATION; BACTERIAL COMMUNITIES; BIOAUGMENTATION; QUANTIFICATION; BIODEGRADATION; EXPRESSION; BAY</t>
  </si>
  <si>
    <t>A psychrophilic bacterium Shewanella sp. NJ49 isolated from Antarctic sea-ice is capable of utilizing diesel fuel as the sole carbon and energy source. The gene encoding alkane monooxygenase (alkB) was obtained by using a genome walking technique in this strain, and revealed an open reading frame (ORF) of 1176 bp encoding a protein of 392 amino acid residues. Amino acid sequence alignment showed that its genetic relationship is close (99% identity) with Rhodococcus erythropolis PR4 (accession no. YP 002764193.1), Rhodococcus erythropolis SK121 (accession no. ZP 04388098.1) and Rhodococcus sp. Q15 (accession no. AAK97448.1). The alkB gene expression variations under different temperatures, various concentrations of n-Hexadecane, different handling time of UV-B radiation and high salinity were quantitatively analyzed by fluorescent quantitative real-time PCR (qRT-PCR). Finally the optimized expression levels were obtained, respectively. These results indicate that alkB gene as a functional gene likely play a crucial role in Shewanella sp. NJ49 degrading petroleum hydrocarbon under Antarctic extreme environments.</t>
  </si>
  <si>
    <t>[Zheng Zhou; Liang Qiang; Liu Fang-ming; Wang Yi-bin; Du Ning; Miao Jin-lai] SOA, Inst Oceanog 1, Key Lab Marine Bioact Subst, Qingdao 266061, Peoples R China; [Chen Hao] Qingdao Univ, Coll Med, Qingdao 266071, Peoples R China</t>
  </si>
  <si>
    <t>First Institute of Oceanography, Ministry of Natural Resources; Qingdao University</t>
  </si>
  <si>
    <t>Miao, JL (corresponding author), SOA, Inst Oceanog 1, Key Lab Marine Bioact Subst, 6 Xianxialing Rd, Qingdao 266061, Peoples R China.</t>
  </si>
  <si>
    <t>miaojinlai@fio.org.cn</t>
  </si>
  <si>
    <t>Zheng, Zhou/JJD-0602-2023; xin, liang/JFS-5770-2023</t>
  </si>
  <si>
    <t>DR M N KHAN</t>
  </si>
  <si>
    <t>BHOPAL</t>
  </si>
  <si>
    <t>24, NEW MAULANA AZAD COLONY, NEAR ST JOSEPH GIRLS CONVENT SCH, IGDAH HILLS, BHOPAL, MADHYA PRADESH 462 001, INDIA</t>
  </si>
  <si>
    <t>0973-7510</t>
  </si>
  <si>
    <t>2581-690X</t>
  </si>
  <si>
    <t>J PURE APPL MICROBIO</t>
  </si>
  <si>
    <t>J. Pure Appl. Microbiol.</t>
  </si>
  <si>
    <t>Biotechnology &amp; Applied Microbiology; Microbiology</t>
  </si>
  <si>
    <t>Emerging Sources Citation Index (ESCI)</t>
  </si>
  <si>
    <t>AU3DS</t>
  </si>
  <si>
    <t>WOS:000345493500006</t>
  </si>
  <si>
    <t>Han, SJ; Lee, SG; Park, H; Koh, HY; Yim, JH</t>
  </si>
  <si>
    <t>Han, Se Jong; Lee, Sung Gu; Park, Heeyong; Koh, Hye Yeon; Yim, Joung Han</t>
  </si>
  <si>
    <t>Enhanced Production of Endochitinase from An Antarctic Bacterium, Sanguibacter antarcticus PAMC21702, in Pichia pastoris</t>
  </si>
  <si>
    <t>BIOCHEMICAL-CHARACTERIZATION; CHITINASE PRODUCTION; MOLECULAR ANALYSIS; EXPRESSION; GENE; FERMENTATION; OPTIMIZATION; PURIFICATION; TEMPERATURE; CLONING</t>
  </si>
  <si>
    <t>The recombinantendochitinase (rChi21702) from apsychrophilic Antarctic bacterium, Sanguibacter antarcticus(KCTC 13143, PAMC 21702),has been produced using Pichia pastorisexpression system. In this study, theoptimumfermentation temperature (20 C) and growth media pH (6) for Chi21702 production was determinedusing a2-stage fed-batch culturesystem.The maximal enzyme activity (178 U/l)of rChi21702obtained using a glycerol-methanol fed-batch culture system wasapproximately6-fold higher than that of unoptimized conditions. In addition, therChi21702 exhibitedcold-activeendochitinase activity and higher thermal stability than that of the wild-type Chi21702.This work allows forlarge-scale production ofrChi21702, which could be extended to further application studies using recombinant chtinases.</t>
  </si>
  <si>
    <t>[Han, Se Jong; Lee, Sung Gu; Park, Heeyong; Koh, Hye Yeon; Yim, Joung Han] Korea Polar Res Inst, Div Polar Life Sci, Inchon 406840, South Korea; [Han, Se Jong; Lee, Sung Gu] Univ Sci &amp; Technol, Dept Polar Sci, Inchon 406840, South Korea; [Koh, Hye Yeon] Gangneung Wonju Natl Univ, Dept Appl Marine Biotechnol &amp; Engn, Kangnung 210702, South Korea</t>
  </si>
  <si>
    <t>Korea Polar Research Institute (KOPRI); Korea Institute of Ocean Science &amp; Technology (KIOST); Kangnung Wonju National University</t>
  </si>
  <si>
    <t>Han, SJ (corresponding author), Korea Polar Res Inst, Div Polar Life Sci, Inchon 406840, South Korea.</t>
  </si>
  <si>
    <t>hansj@kopri.re.kr</t>
  </si>
  <si>
    <t>HAN, Se Jong/0000-0001-9576-2179</t>
  </si>
  <si>
    <t>WOS:000345493500018</t>
  </si>
  <si>
    <t>Wang, YB; Liu, FM; Liang, Q; Zhang, XF; Zheng, Z; Zang, JY; Miao, JL</t>
  </si>
  <si>
    <t>Wang Yi-bin; Liu Fang-ming; Liang Qiang; Zhang Xiu-fang; Zheng Zhou; Zang Jia-ye; Miao Jin-lai</t>
  </si>
  <si>
    <t>Cloning, Expression and Bioinformatics Analysis of Dioxygenase Gene from Antarctica Sea-Ice Strain Shewanella sp NJ49</t>
  </si>
  <si>
    <t>In the biodegradation of aromatic compound pollution, dioxygenase is a key enzyme of many bacterial pathways. A naphthalene dioxygenase gene was identified and cloned from the Antarctic psychrophilic bacteria Shewanella sp.NJ49; the gene sequence, structure, functions, and expression have analyzed. A full-length sequence (924 bp) of dioxygenase gene was obtained, and the amino acid sequence of dioxygenase gene from Shewanella sp.NJ49 was similar to the catechol 2,3-dioxygenase (C23O) from Pseudomonas mendocina. The homologic identity was 99%. The expression level of dioxygenase gene by qRT-PCR in different habitats showed that NJ49 had the highest expression level when temperature was 15 degrees C, naphthalene concentration was 50 mg/L, and the gene was under UV-B radiation for 4 h.</t>
  </si>
  <si>
    <t>[Wang Yi-bin; Liu Fang-ming; Liang Qiang; Zheng Zhou; Zang Jia-ye; Miao Jin-lai] State Ocean Adm, Inst Oceanog 1, Qingdao 266061, Peoples R China; [Zhang Xiu-fang] Qingdao Hiser Hosp, Qingdao 266033, Peoples R China</t>
  </si>
  <si>
    <t>First Institute of Oceanography, Ministry of Natural Resources</t>
  </si>
  <si>
    <t>Miao, JL (corresponding author), State Ocean Adm, Inst Oceanog 1, Qingdao 266061, Peoples R China.</t>
  </si>
  <si>
    <t>xin, liang/JFS-5770-2023; Zheng, Zhou/JJD-0602-2023</t>
  </si>
  <si>
    <t>WOS:000345493500057</t>
  </si>
  <si>
    <t>Rogers, TL</t>
  </si>
  <si>
    <t>Rogers, Tracey L.</t>
  </si>
  <si>
    <t>Source levels of the underwater calls of a male leopard seal (L)</t>
  </si>
  <si>
    <t>JOURNAL OF THE ACOUSTICAL SOCIETY OF AMERICA</t>
  </si>
  <si>
    <t>PACK-ICE SEALS; HYDRURGA-LEPTONYX; LOBODON-CARCINOPHAGUS; PRYDZ BAY; VOCALIZATIONS; BEHAVIOR; SOUND</t>
  </si>
  <si>
    <t>Leopard seals (Hydrurga leptonyx) are top predators in the Antarctic ecosystem. They produce stereotyped calls as part of a stylized underwater vocal display. Understanding of their acoustic behavior is improved by identifying the amplitude of their calls. The amplitude of five types of calls (n = 50) from a single male seal were measured as broadband source levels and ranged from 153 to 177 dB re 1 mu Pa at 1m. The mean source levels differed between call types, the lower frequency calls (L, D, and O) tended to have source levels 10 dB higher than the higher frequency calls (H and M). Information on call-type source levels is important to take into account for passive acoustic studies investigating repertoire usage as calls produced with greater amplitudes are likely to have larger acoustic ranges, especially when these are also the calls with lower frequencies, such as is the case in leopard seals. (C) 2014 Acoustical Society of America.</t>
  </si>
  <si>
    <t>Univ New S Wales, Sch BEES, Evolut &amp; Ecol Res Ctr, Sydney, NSW, Australia</t>
  </si>
  <si>
    <t>Rogers, TL (corresponding author), Univ New S Wales, Sch BEES, Evolut &amp; Ecol Res Ctr, Sydney, NSW, Australia.</t>
  </si>
  <si>
    <t>tracey.rogers@unsw.edu.au</t>
  </si>
  <si>
    <t>Rogers, Tracey L/C-3419-2008</t>
  </si>
  <si>
    <t>Rogers, Tracey/0000-0002-7141-4177</t>
  </si>
  <si>
    <t>Antarctic Scientific Advisory Committee [ASAC 1140]; Violet Scott Charitable Trust</t>
  </si>
  <si>
    <t>Antarctic Scientific Advisory Committee; Violet Scott Charitable Trust</t>
  </si>
  <si>
    <t>The author thanks the Australian Antarctic Division for providing logistic support in the Antarctic. This study was supported financially by the Antarctic Scientific Advisory Committee (ASAC 1140) and the Winifred Violet Scott Charitable Trust. Thanks to Doug Cato and Jack Terhune for comments on the manuscript and analysis.</t>
  </si>
  <si>
    <t>ACOUSTICAL SOC AMER AMER INST PHYSICS</t>
  </si>
  <si>
    <t>MELVILLE</t>
  </si>
  <si>
    <t>STE 1 NO 1, 2 HUNTINGTON QUADRANGLE, MELVILLE, NY 11747-4502 USA</t>
  </si>
  <si>
    <t>0001-4966</t>
  </si>
  <si>
    <t>1520-8524</t>
  </si>
  <si>
    <t>J ACOUST SOC AM</t>
  </si>
  <si>
    <t>J. Acoust. Soc. Am.</t>
  </si>
  <si>
    <t>10.1121/1.4895685</t>
  </si>
  <si>
    <t>Acoustics; Audiology &amp; Speech-Language Pathology</t>
  </si>
  <si>
    <t>AW0JF</t>
  </si>
  <si>
    <t>WOS:000345977400018</t>
  </si>
  <si>
    <t>Kim, Y; Ji, Y; Han, H; Lee, J; Lee, H</t>
  </si>
  <si>
    <t>Kim, Yeonchun; Ji, Yeonghun; Han, Hyangsun; Lee, Joohan; Lee, Hoonyol</t>
  </si>
  <si>
    <t>Analysis of Sea Route to the Jangbogo Antarctic Research Station by using Passive Microwave Sea Ice Concentration Data</t>
  </si>
  <si>
    <t>KOREAN JOURNAL OF REMOTE SENSING</t>
  </si>
  <si>
    <t>Korean</t>
  </si>
  <si>
    <t>sea ice concentration; sea route; passive microwave sensor; Terra Nova Bay; Jangbogo Antarctic Research Station; SSM/I; SSMIS</t>
  </si>
  <si>
    <t>Sea ice covers wide area in Terra Nova Bay in East Antarctica where the Jangbogo Antarctic Research Station was built in 2014, which affects greatly on the sailing of an icebreaker research vessel. In this study, we analyzed the optimum sea route and sailable period of the icebreaker to visit the Jangbogo Antarctic Research Station by using sea ice concentration data observed by passive microwave sensors such as Special Sensor Microwave/Imager (SSM/I) and Special Sensor Microwave Imager/Sounder (SSMIS) for the last decade, and by using sea route of the Araon, an icebreaker of Republic of Korea, from 2010 to 2012. It is found that Araon sailed in the route of sea ice concentration up to 78%. Sailing speed of the Araon decreased due to increasing sea ice concentration. However, Araon maintained the speed close to the average speed for the entire sailing period (similar to 11 kn) in the route of sea ice concentration up to 70%. Therefore, we confirm that the Araon can sail typically in the route which shows sea ice concentration below 70%. We derived annually available sailing period in recent 10 years for the sea route of the Araon in 2010, 2011 and 2012, which is defined as the period showing sea ice concentration below 70% through the route. Maximum sailable period was analyzed to be 61 and 62 days for the route of the Araon in 2010 and 2011, respectively. However, the typical sailing in the routes was unavailable in some years because sea ice concentration was higher than 70% through the routes. Meanwhile, the sailable period for the routes of the Araon in 2012 was observed in every year, which was a minimum of 15 days and is a maximum of 89 days. Therefore, we could suggest that optimum route of icebreaker to visit the Jangbogo Antarctic Research Station is the route of the Araon in 2012. High resolution images from SAR or optical sensors are necessary to investigate sea ice condition near shoreline of Jangbogo research station due to several kilometers of low resolution of sea ice concentration.</t>
  </si>
  <si>
    <t>[Kim, Yeonchun; Ji, Yeonghun; Han, Hyangsun; Lee, Hoonyol] Kangwon Natl Univ, Dept Geophys, Chunchon, South Korea; [Lee, Joohan] Korea Polar Res Inst, Tech Support &amp; Polar Safety Team, Incheon, South Korea</t>
  </si>
  <si>
    <t>Kangwon National University; Korea Polar Research Institute (KOPRI)</t>
  </si>
  <si>
    <t>Kim, Y (corresponding author), Kangwon Natl Univ, Dept Geophys, Chunchon, South Korea.</t>
  </si>
  <si>
    <t>hoonyol@kangwon.ac.kr</t>
  </si>
  <si>
    <t>Han, Hyangsun/AAE-7670-2022</t>
  </si>
  <si>
    <t>Han, Hyangsun/0000-0002-0414-519X; Lee, Hoonyol/0000-0002-5980-8640</t>
  </si>
  <si>
    <t>KOREAN SOC REMOTE SENSING</t>
  </si>
  <si>
    <t>SEOUL</t>
  </si>
  <si>
    <t>KOREAN SOC REMOTE SENSING, SEOUL, 00000, SOUTH KOREA</t>
  </si>
  <si>
    <t>1225-6161</t>
  </si>
  <si>
    <t>2287-9307</t>
  </si>
  <si>
    <t>KOREAN J REMOTE SENS</t>
  </si>
  <si>
    <t>Korean J. Remote Sensing</t>
  </si>
  <si>
    <t>10.7780/kjrs.2014.30.5.12</t>
  </si>
  <si>
    <t>Remote Sensing</t>
  </si>
  <si>
    <t>VA6YD</t>
  </si>
  <si>
    <t>WOS:000410260800012</t>
  </si>
  <si>
    <t>Jung, W; Gwak, Y; Davies, PL; Kim, HJ; Jin, E</t>
  </si>
  <si>
    <t>Jung, Woongsic; Gwak, Yunho; Davies, Peter L.; Kim, Hak Jun; Jin, EonSeon</t>
  </si>
  <si>
    <t>Isolation and Characterization of Antifreeze Proteins from the Antarctic Marine Microalga Pyramimonas gelidicola</t>
  </si>
  <si>
    <t>MARINE BIOTECHNOLOGY</t>
  </si>
  <si>
    <t>Antifreeze proteins; Antarctic marine prasinophyte; Ice binding; Thermal hysteresis; In silico protein modeling</t>
  </si>
  <si>
    <t>ICE-BINDING PROTEINS; RECRYSTALLIZATION INHIBITION; DIATOMS; IDENTIFICATION; EXPRESSION; PLANTS; FACE</t>
  </si>
  <si>
    <t>Antifreeze proteins (AFPs) play an important role in the psychrophilic adaptation of polar organisms. AFPs encoded by an Antarctic chlorophyte, identified as Pyramimonas gelidicola, were isolated and characterized. Two AFP isoforms were found from cDNAs and their deduced molecular weights were estimated to be 26.4 kDa (Pg-1-AFP) and 27.1 kDa (Pg-2-AFP). Both AFP cDNAs were cloned and expressed in Escherichia coli. The purified recombinant Pg-1-rAFP and Pg-2-rAFP both showed antifreeze activity based on the measurement of thermal hysteresis (TH) and morphological changes to single ice crystals. Pg-1-rAFP shaped ice crystals into a snowflake pattern with a TH value of 0.6 +/- 0.02 A degrees C at similar to 15 mg/ml. Single ice crystals in Pg-2-rAFP showed a dendritic morphology with a TH value of 0.25 A +/- 0.02 A degrees C at the same protein concentration. Based on in silico protein structure predictions, the three-dimensional structures of P. gelidicola AFPs match those of their homologs found in fungi and bacteria. They fold as a right-handed beta-helix flanked by an alpha-helix. Unlike the hyperactive insect AFPs, the proposed ice-binding site on one of the flat beta-helical surfaces is neither regular nor well-conserved. This might be a characteristic of AFPs used for freeze tolerance as opposed to freeze avoidance. A role for P. gelidicola AFPs in freeze tolerance is also consistent with their relatively low TH values.</t>
  </si>
  <si>
    <t>[Jung, Woongsic; Gwak, Yunho; Jin, EonSeon] Hanyang Univ, Div Nat Sci, Dept Life Sci, Seoul 133791, South Korea; [Davies, Peter L.] Queens Univ, Dept Biomed &amp; Mol Sci, Kingston, ON K7L 3N6, Canada; [Kim, Hak Jun] Pukyong Natl Univ, Div Nat Sci, Dept Chem, Pusan 608737, South Korea</t>
  </si>
  <si>
    <t>Hanyang University; Queens University - Canada; Pukyong National University</t>
  </si>
  <si>
    <t>Jin, E (corresponding author), Hanyang Univ, Div Nat Sci, Dept Life Sci, Seoul 133791, South Korea.</t>
  </si>
  <si>
    <t>kimhj@pknu.ac.kr; esjin@hanyang.ac.kr</t>
  </si>
  <si>
    <t>Jin, EonSeon/AAW-6839-2020</t>
  </si>
  <si>
    <t>Jin, EonSeon/0000-0001-5691-0124</t>
  </si>
  <si>
    <t>Korea Research Council of Fundamental Science and Technology (KRCF); Korea Polar Research Institute (KOPRI) [PG12010]; Korea CCS R&amp;D Center (KCRC) - Korean government (Ministry of Science, ICT and Future Planning); Canadian Institutes for Health Research</t>
  </si>
  <si>
    <t>Korea Research Council of Fundamental Science and Technology (KRCF); Korea Polar Research Institute (KOPRI)(Korea Polar Research Institute of Marine Research Placement (KOPRI)); Korea CCS R&amp;D Center (KCRC) - Korean government (Ministry of Science, ICT and Future Planning); Canadian Institutes for Health Research(Canadian Institutes of Health Research (CIHR))</t>
  </si>
  <si>
    <t>This work was supported by the National Agenda Project from the Korea Research Council of Fundamental Science and Technology (KRCF) and the Korea Polar Research Institute (KOPRI) (Grant No. PG12010). This work was supported by a Korea CCS R&amp;D Center (KCRC) grant funded by the Korean government (Ministry of Science, ICT and Future Planning). PLD holds a Canada Research Chair in Protein Engineering and acknowledges research support from the Canadian Institutes for Health Research.</t>
  </si>
  <si>
    <t>NEW YORK</t>
  </si>
  <si>
    <t>ONE NEW YORK PLAZA, SUITE 4600, NEW YORK, NY, UNITED STATES</t>
  </si>
  <si>
    <t>1436-2228</t>
  </si>
  <si>
    <t>1436-2236</t>
  </si>
  <si>
    <t>MAR BIOTECHNOL</t>
  </si>
  <si>
    <t>Mar. Biotechnol.</t>
  </si>
  <si>
    <t>10.1007/s10126-014-9567-y</t>
  </si>
  <si>
    <t>AO7AL</t>
  </si>
  <si>
    <t>WOS:000341504200002</t>
  </si>
  <si>
    <t>Figuerola, B; Sala-Comorera, L; Angulo-Preckler, C; Vázquez, J; Montes, MJ; García-Aljaro, C; Mercadé, E; Blanch, AR; Avila, C</t>
  </si>
  <si>
    <t>Figuerola, Blanca; Sala-Comorera, Laura; Angulo-Preckler, Carlos; Vazquez, Jennifer; Montes, M. Jesus; Garcia-Aljaro, Cristina; Mercade, Elena; Blanch, Anicet R.; Avila, Conxita</t>
  </si>
  <si>
    <t>Antimicrobial activity of Antarctic bryozoans: An ecological perspective with potential for clinical applications</t>
  </si>
  <si>
    <t>MARINE ENVIRONMENTAL RESEARCH</t>
  </si>
  <si>
    <t>Antifouling; Chemical defences; Chemical ecology; Polar biology; Marine benthos</t>
  </si>
  <si>
    <t>MARINE NATURAL-PRODUCTS; SOUTH SHETLAND ISLANDS; FLUSTRA-FOLIACEA; CHEMICAL DEFENSES; SOFT CORALS; SP-NOV; MEMBRANIPORA-MEMBRANACEA; BUGULA-NERITINA; RED-SEA; BACTERIA</t>
  </si>
  <si>
    <t>The antimicrobial activity of Antarctic bryozoans and the ecological functions of the chemical compounds involved remain largely unknown. To determine the significant ecological and applied antimicrobial effects, 16 ether and 16 butanol extracts obtained from 13 different bryozoan species were tested against six Antarctic (including Psychrobacter luti, Shewanella livingstonensis and 4 new isolated strains) and two bacterial strains from culture collections (Escherichia coli and Bacillus cereus). Results from the bioassays reveal that all ether extracts exhibited antimicrobial activity against some bacteria. Only one butanol extract produced inhibition, indicating that antimicrobial compounds are mainly lipophilic. Ether extracts of the genus Camptoplites inhibited the majority of bacterial strains, thus indicating a broad-spectrum of antimicrobial activity. Moreover, most ether extracts presented activities against bacterial strains from culture collections, suggesting the potential use of these extracts as antimicrobial drugs against pathogenic bacteria. (C) 2014 Elsevier Ltd. All rights reserved.</t>
  </si>
  <si>
    <t>[Figuerola, Blanca; Angulo-Preckler, Carlos; Vazquez, Jennifer; Avila, Conxita] Univ Barcelona, Fac Biol, Dept Anim Biol Invertebrates, Barcelona, Catalunya, Spain; [Figuerola, Blanca; Angulo-Preckler, Carlos; Vazquez, Jennifer; Avila, Conxita] Univ Barcelona, Fac Biol, Biodivers Res Inst IrBIO, Barcelona, Catalunya, Spain; [Sala-Comorera, Laura; Garcia-Aljaro, Cristina; Blanch, Anicet R.] Univ Barcelona, Fac Biol, Dept Microbiol, Barcelona, Catalunya, Spain; [Montes, M. Jesus; Mercade, Elena] Univ Barcelona, Fac Pharm, Dept Hlth Microbiol &amp; Parasitol, Barcelona, Catalunya, Spain</t>
  </si>
  <si>
    <t>University of Barcelona; University of Barcelona; University of Barcelona; University of Barcelona</t>
  </si>
  <si>
    <t>Figuerola, B (corresponding author), Univ Barcelona, Fac Biol, Dept Anim Biol Invertebrates, Barcelona, Catalunya, Spain.</t>
  </si>
  <si>
    <t>bfiguerola@gmail.com</t>
  </si>
  <si>
    <t>Figuerola, Blanca/C-6252-2015; Montes, Mª Jesús/L-6430-2014; Blanch, Anicet R/B-7573-2012; Angulo_Preckler, Carlos/A-6456-2011; SALA-COMORERA, LAURA/AAF-9157-2021; Avila, Conxita/B-9466-2008; Blanch, Anicet/AAM-8042-2020; Mercade, Elena/L-5218-2014; Vazquez, Jennifer/K-7579-2017; Garcia-Aljaro, Cristina/F-3893-2016</t>
  </si>
  <si>
    <t>Figuerola, Blanca/0000-0003-4731-9337; Blanch, Anicet R/0000-0002-7632-6758; Angulo_Preckler, Carlos/0000-0001-9028-274X; SALA-COMORERA, LAURA/0000-0001-6507-5677; Avila, Conxita/0000-0002-5489-8376; Mercade, Elena/0000-0001-7828-2210; Vazquez, Jennifer/0000-0002-1510-0034; Garcia-Aljaro, Cristina/0000-0003-4863-3547</t>
  </si>
  <si>
    <t>Spanish Government [CGL2007-65453/ANT, CTM2010-17415/ANT]; FPU grant from the Spanish Government; FPI grant from the Spanish Government [FPU12/00614, BES-2010-035521]</t>
  </si>
  <si>
    <t>Spanish Government(Spanish Government); FPU grant from the Spanish Government(Spanish Government); FPI grant from the Spanish Government</t>
  </si>
  <si>
    <t>We are thankful to L. Nunez-Pones, J. Moles, S. Taboada, J. Cristobo, A. Riesgo and M. Bas for their laboratory support. We are very grateful to Dr A. Cuni and Dr. K. Tilbrook, who kindly reviewed the manuscript for English grammar. In this work we used the extracts from previous projects (ECOQUIM projects), for this reason we want to thank W. Arntz, and the R/V Polarstern and the BIO-Hesperides crews. We would like to thank as well the Unidad de Tecnologia Marina (UTM) and the crew of Las Palmas vessel for all their logistic support. Special thanks are also given to the Gabriel de Castilla BAE crew for their help. This research was developed in the frame of the ACTIQUIM I and II projects (CGL2007-65453/ANT, CTM2010-17415/ANT) with the financial support of the Spanish Government. L. Sala-Comorera and C. Angulo are recipients of FPU and FPI grants from the Spanish Government, respectively (FPU12/00614, BES-2010-035521).</t>
  </si>
  <si>
    <t>ELSEVIER SCI LTD</t>
  </si>
  <si>
    <t>THE BOULEVARD, LANGFORD LANE, KIDLINGTON, OXFORD OX5 1GB, OXON, ENGLAND</t>
  </si>
  <si>
    <t>0141-1136</t>
  </si>
  <si>
    <t>1879-0291</t>
  </si>
  <si>
    <t>MAR ENVIRON RES</t>
  </si>
  <si>
    <t>Mar. Environ. Res.</t>
  </si>
  <si>
    <t>10.1016/j.marenvres.2014.09.001</t>
  </si>
  <si>
    <t>Environmental Sciences; Marine &amp; Freshwater Biology; Toxicology</t>
  </si>
  <si>
    <t>Environmental Sciences &amp; Ecology; Marine &amp; Freshwater Biology; Toxicology</t>
  </si>
  <si>
    <t>AU3BQ</t>
  </si>
  <si>
    <t>WOS:000345488300007</t>
  </si>
  <si>
    <t>Kennedy, M; Spencer, HG</t>
  </si>
  <si>
    <t>Kennedy, Martyn; Spencer, Hamish G.</t>
  </si>
  <si>
    <t>Classification of the cormorants of the world</t>
  </si>
  <si>
    <t>MOLECULAR PHYLOGENETICS AND EVOLUTION</t>
  </si>
  <si>
    <t>Cormorants; Shags; Phalacrocorax; Phalacrocoracidae; Phylogeny; Taxonomy</t>
  </si>
  <si>
    <t>PHYLOGENETIC-RELATIONSHIPS; INFERENCE; MRBAYES; BIRDS</t>
  </si>
  <si>
    <t>Relationships among the 40 or so extant species of cormorants (family Phalacrocoracidae) have been obscured by their morphological similarities, many of which have recently been shown to be the result of convergent evolution. Previous attempts to derive an evolutionarily justifiable classification for this group of birds using osteological and behavioral data have been hampered by these similarities. We present a well-resolved evolutionary tree for some 40 cormorant taxa based on the results of extensive genetic work that produced over 8000 bases of mitochondrial and nuclear DNA sequence. This tree implies a novel classification for the cormorants, which reflects their evolutionary history and can be implemented using some 7 genera. Some of the relationships among the species are well-known but many are previously unrecognized. Nevertheless, much of the classification makes sense in terms of biogeography. (C) 2014 Elsevier Inc. All rights reserved.</t>
  </si>
  <si>
    <t>[Kennedy, Martyn; Spencer, Hamish G.] Univ Otago, Dept Zool, Allan Wilson Ctr, Dunedin 9054, New Zealand</t>
  </si>
  <si>
    <t>University of Otago</t>
  </si>
  <si>
    <t>Spencer, HG (corresponding author), Univ Otago, Dept Zool, Allan Wilson Ctr, POB 56, Dunedin 9054, New Zealand.</t>
  </si>
  <si>
    <t>hamish.spencer@otago.ac.nz</t>
  </si>
  <si>
    <t>Spencer, Hamish G/B-9637-2008; Kennedy, Martyn/A-9551-2008</t>
  </si>
  <si>
    <t>Spencer, Hamish G/0000-0001-7531-597X; Kennedy, Martyn/0000-0001-9376-6520</t>
  </si>
  <si>
    <t>University of Otago; Allan Wilson Centre</t>
  </si>
  <si>
    <t>A project involving many taxa from all over the world requires much international co-operation and we gratefully acknowledge the following people and institutions for kindly supplying samples for DNA sequencing: J. Amey, S. Aspinall, A. Baker, J. Banks, M. Bell, L. Chadderton, S. Childerhouse, L. Christidis, D. Dittmann, C. Duffy, C. Fraser, G. Frisk, P. Grant, R. Grant, J. Graves, R. Griffiths, O. Haddrath, N.W. Longmore, P. Moore, I. Nishuimi, G. Nunn, N. Patenaude, R. Palmer, R. Phillips, J. Robertson, R. Schuckard, A. Scolaro, L. Smith, G. Stone, P. Sweet, C. Valle, S. Volponi, and C. Wood; the American Museum of Natural History, Australian National Wildlife Collection (CSIRO), British Antarctic Survey, Burke Museum, Museum of Natural Science at Louisiana State University, Museum of New Zealand Te Papa Tongarewa, Museum of Victoria, New Zealand Department of Conservation, Royal Ontario Museum, South African Nature Foundation for the Conservation of Coastal Birds, and Swedish Museum of Natural History. We also thank: Gillian Gibb (and David Penny's group's primer database) at Massey University for their ND2 primers, Tania King for technical advice and assistance, Kathryn McRae and Jaimee Quarrie for assistance in the laboratory; and two anonymous reviewers for useful critical comments. The head sketches in the Graphical Abstract are used with the permission of P.A. Johnsgard. This research was supported by the University of Otago and by the Allan Wilson Centre (HGS).</t>
  </si>
  <si>
    <t>ACADEMIC PRESS INC ELSEVIER SCIENCE</t>
  </si>
  <si>
    <t>SAN DIEGO</t>
  </si>
  <si>
    <t>525 B ST, STE 1900, SAN DIEGO, CA 92101-4495 USA</t>
  </si>
  <si>
    <t>1055-7903</t>
  </si>
  <si>
    <t>1095-9513</t>
  </si>
  <si>
    <t>MOL PHYLOGENET EVOL</t>
  </si>
  <si>
    <t>Mol. Phylogenet. Evol.</t>
  </si>
  <si>
    <t>10.1016/j.ympev.2014.06.020</t>
  </si>
  <si>
    <t>Biochemistry &amp; Molecular Biology; Evolutionary Biology; Genetics &amp; Heredity</t>
  </si>
  <si>
    <t>AQ5YP</t>
  </si>
  <si>
    <t>WOS:000342884800018</t>
  </si>
  <si>
    <t>Andersson, ME; Verronen, PT; Rodger, CJ; Clilverd, MA; Seppälä, A</t>
  </si>
  <si>
    <t>Andersson, M. E.; Verronen, P. T.; Rodger, C. J.; Clilverd, M. A.; Seppala, A.</t>
  </si>
  <si>
    <t>Missing driver in the Sun-Earth connection from energetic electron precipitation impacts mesospheric ozone</t>
  </si>
  <si>
    <t>NATURE COMMUNICATIONS</t>
  </si>
  <si>
    <t>SOLAR-CYCLE; STRATOSPHERE; MODEL; TEMPERATURE; VARIABILITY; WIND</t>
  </si>
  <si>
    <t>Energetic electron precipitation (EEP) from the Earth's outer radiation belt continuously affects the chemical composition of the polar mesosphere. EEP can contribute to catalytic ozone loss in the mesosphere through ionization and enhanced production of odd hydrogen. However, the long-term mesospheric ozone variability caused by EEP has not been quantified or confirmed to date. Here we show, using observations from three different satellite instruments, that EEP events strongly affect ozone at 60-80 km, leading to extremely large (up to 90%) short-term ozone depletion. This impact is comparable to that of large, but much less frequent, solar proton events. On solar cycle timescales, we find that EEP causes ozone variations of up to 34% at 70-80 km. With such a magnitude, it is reasonable to suspect that EEP could be an important part of solar influence on the atmosphere and climate system.</t>
  </si>
  <si>
    <t>[Andersson, M. E.; Verronen, P. T.; Seppala, A.] Finnish Meteorol Inst, Earth Observ, FIN-00101 Helsinki, Finland; [Rodger, C. J.] Univ Otago, Dept Phys, Dunedin 9016, New Zealand; [Clilverd, M. A.] British Antarctic Survey, NERC, Cambridge CB3 0ET, England</t>
  </si>
  <si>
    <t>Finnish Meteorological Institute; University of Otago; UK Research &amp; Innovation (UKRI); Natural Environment Research Council (NERC); NERC British Antarctic Survey</t>
  </si>
  <si>
    <t>Andersson, ME (corresponding author), Finnish Meteorol Inst, Earth Observ, Box 503 Erik Palmenin Aukio 1, FIN-00101 Helsinki, Finland.</t>
  </si>
  <si>
    <t>monika.andersson@fmi.fi</t>
  </si>
  <si>
    <t>Szelag, Monika Ewa/AAH-3529-2019; Verronen, Pekka T/G-6658-2014; Rodger, Craig/A-1501-2011; Verronen, P. T./AIE-0203-2022; Seppälä, Annika/C-8031-2014</t>
  </si>
  <si>
    <t>Szelag, Monika Ewa/0000-0002-8501-3366; Verronen, P. T./0000-0002-3479-9071; Seppälä, Annika/0000-0002-5028-8220; Rodger, Craig J./0000-0002-6770-2707</t>
  </si>
  <si>
    <t>Academy of Finland [136225, 140888, 272782, 258165, 265005]; New Zealand Marsden fund; Natural Environment Research Council as part of the British Antarctic Survey Polar Science for Planet Earth Programme; European Union COST Action TOSCA [ES1005]; Natural Environment Research Council [bas0100023] Funding Source: researchfish; Academy of Finland (AKA) [136225, 272782, 265005, 258165, 140888] Funding Source: Academy of Finland (AKA); NERC [bas0100023] Funding Source: UKRI</t>
  </si>
  <si>
    <t>Academy of Finland(Research Council of Finland); New Zealand Marsden fund(Royal Society of New ZealandMarsden Fund (NZ)); Natural Environment Research Council as part of the British Antarctic Survey Polar Science for Planet Earth Programme; European Union COST Action TOSCA; Natural Environment Research Council(UK Research &amp; Innovation (UKRI)Natural Environment Research Council (NERC)); Academy of Finland (AKA)(Research Council of Finland); NERC(UK Research &amp; Innovation (UKRI)Natural Environment Research Council (NERC))</t>
  </si>
  <si>
    <t>M.E.A. would like to thank Marko Laine for helpful comments. The work of M. E. A. and P.T.V. was supported by the Academy of Finland through the project nos 136225, 140888 and 272782 (SPOC: Significance of Energetic Electron Precipitation to Odd Hydrogen, Ozone, and Climate). The work of C.J.R. was supported by the New Zealand Marsden fund. M. A. C. was funded by the Natural Environment Research Council as part of the British Antarctic Survey Polar Science for Planet Earth Programme. The work of A. S. was supported by the Academy of Finland through the project nos 258165 and 265005 (CLASP: Climate and Solar Particle Forcing). P. T. V. and A. S. acknowledge the support from the European Union COST Action ES1005 TOSCA (http://www.tosca-cost.eu). We are grateful to NASA Aura mission for providing MLS data, European Space Agency for providing GOMOS data and NASA TIMED Project and SABER Experiment Team for providing SABER data.</t>
  </si>
  <si>
    <t>NATURE PUBLISHING GROUP</t>
  </si>
  <si>
    <t>LONDON</t>
  </si>
  <si>
    <t>MACMILLAN BUILDING, 4 CRINAN ST, LONDON N1 9XW, ENGLAND</t>
  </si>
  <si>
    <t>2041-1723</t>
  </si>
  <si>
    <t>NAT COMMUN</t>
  </si>
  <si>
    <t>Nat. Commun.</t>
  </si>
  <si>
    <t>10.1038/ncomms6197</t>
  </si>
  <si>
    <t>Multidisciplinary Sciences</t>
  </si>
  <si>
    <t>Science &amp; Technology - Other Topics</t>
  </si>
  <si>
    <t>AS0QJ</t>
  </si>
  <si>
    <t>Green Published, hybrid, Green Accepted</t>
  </si>
  <si>
    <t>WOS:000343982200011</t>
  </si>
  <si>
    <t>Rye, CD; Garabato, ACN; Holland, PR; Meredith, MP; Nurser, AJG; Hughes, CW; Coward, AC; Webb, DJ</t>
  </si>
  <si>
    <t>Rye, Craig D.; Garabato, Alberto C. Naveira; Holland, Paul R.; Meredith, Michael P.; Nurser, A. J. George; Hughes, Chris W.; Coward, Andrew C.; Webb, David J.</t>
  </si>
  <si>
    <t>Rapid sea-level rise along the Antarctic margins in response to increased glacial discharge</t>
  </si>
  <si>
    <t>NATURE GEOSCIENCE</t>
  </si>
  <si>
    <t>BOTTOM WATER; ROSS SEA; OCEAN; ICE; VARIABILITY; PENINSULA; SHELF; MODEL</t>
  </si>
  <si>
    <t>The Antarctic shelf seas are a climatically and ecologically important region, and are at present receiving increasing amounts of freshwater from the melting of the Antarctic Ice Sheet and its fringing ice shelves(1,2), primarily around the Antarctic Peninsula and the Amudsen Sea. In response, the surface ocean salinity in this region has declined in past decades(3-9). Here, we assess the effects of the freshwater input on regional sea level using satellite measurements of sea surface height (for months with no sea-ice cover) and a global ocean circulation model. We find that from 1992 to 2011, sea-level rise along the Antarctic coast is at least 2 +/- 0.8 mm yr(-1) greater than the regional mean for the Southern Ocean south of 50 degrees S. On the basis of the model simulations, we conclude that this sea-level rise is almost entirely related to steric adjustment, rather than changes in local ocean mass, with a halosteric rise in the upper ocean and thermosteric contributions at depth. We estimate that an excess freshwater input of 430 +/- 230 Gt yr(-1) is required to explain the observed sea-level rise. We conclude that accelerating discharge from the Antarctic Ice Sheet has had a pronounced and widespread impact on the adjacent subpolar seas over the past two decades.</t>
  </si>
  <si>
    <t>[Rye, Craig D.; Garabato, Alberto C. Naveira; Nurser, A. J. George; Coward, Andrew C.; Webb, David J.] Univ Southampton, Natl Oceanog Ctr, Southampton SO14 3ZH, Hants, England; [Holland, Paul R.; Meredith, Michael P.] British Antarctic Survey, Cambridge CB3 0ET, England; [Meredith, Michael P.] Scottish Assoc Marine Sci, Oban PA37 1QA, Argyll, Scotland; [Hughes, Chris W.] Univ Liverpool, Sch Environm Sci, Liverpool L69 3GP, Merseyside, England; [Hughes, Chris W.] Natl Oceanog Ctr, Liverpool L3 5DA, Merseyside, England</t>
  </si>
  <si>
    <t>University of Southampton; NERC National Oceanography Centre; UK Research &amp; Innovation (UKRI); Natural Environment Research Council (NERC); NERC British Antarctic Survey; UHI Millennium Institute; University of Liverpool; NERC National Oceanography Centre</t>
  </si>
  <si>
    <t>Rye, CD (corresponding author), Univ Southampton, Natl Oceanog Ctr, Southampton SO14 3ZH, Hants, England.</t>
  </si>
  <si>
    <t>c.rye@noc.soton.ac.uk</t>
  </si>
  <si>
    <t>Hughes, Chris/GQP-7479-2022; Rye, Craig/AAU-7772-2021; Hughes, Chris W/A-3791-2010; Garabato, Alberto Naveira/AAQ-1114-2020; Holland, Paul R/G-2796-2012</t>
  </si>
  <si>
    <t>Hughes, Chris W/0000-0002-9355-0233; Garabato, Alberto Naveira/0000-0001-6071-605X; Meredith, Michael/0000-0002-7342-7756</t>
  </si>
  <si>
    <t>NERC [noc010010, NE/H019812/1, NE/E01366X/1, NE/E013341/1, bas0100028] Funding Source: UKRI; Natural Environment Research Council [bas0100028, NE/E013341/1, NE/E01366X/1, noc010010, NE/H019812/1, 1240735] Funding Source: researchfish</t>
  </si>
  <si>
    <t>NERC(UK Research &amp; Innovation (UKRI)Natural Environment Research Council (NERC)); Natural Environment Research Council(UK Research &amp; Innovation (UKRI)Natural Environment Research Council (NERC))</t>
  </si>
  <si>
    <t>75 VARICK ST, 9TH FLR, NEW YORK, NY 10013-1917 USA</t>
  </si>
  <si>
    <t>1752-0894</t>
  </si>
  <si>
    <t>1752-0908</t>
  </si>
  <si>
    <t>NAT GEOSCI</t>
  </si>
  <si>
    <t>Nat. Geosci.</t>
  </si>
  <si>
    <t>10.1038/NGEO2230</t>
  </si>
  <si>
    <t>Geosciences, Multidisciplinary</t>
  </si>
  <si>
    <t>Geology</t>
  </si>
  <si>
    <t>AQ8VC</t>
  </si>
  <si>
    <t>WOS:000343112600017</t>
  </si>
  <si>
    <t>Hattermann, T; Smedsrud, LH; Nost, OA; Lilly, JM; Galton-Fenzi, BK</t>
  </si>
  <si>
    <t>Hattermann, T.; Smedsrud, L. H.; Nost, O. A.; Lilly, J. M.; Galton-Fenzi, B. K.</t>
  </si>
  <si>
    <t>Eddy-resolving simulations of the Fimbul Ice Shelf cavity circulation: Basal melting and exchange with open ocean</t>
  </si>
  <si>
    <t>OCEAN MODELLING</t>
  </si>
  <si>
    <t>Ice/ocean interaction; Continental shelf/slope exchange; Antarctic Slope Front processes; Fimbul Ice Shelf basal melting; Eddy overturning; Mesoscale ocean modeling</t>
  </si>
  <si>
    <t>ANTARCTIC CONTINENTAL-SHELF; PINE ISLAND GLACIER; SEA-ICE; WATER MASSES; SLOPE FRONT; DEEP-WATER; BENEATH; MODEL; SURFACE; TOPOGRAPHY</t>
  </si>
  <si>
    <t>Melting at the base of floating ice shelves is a dominant term in the overall Antarctic mass budget. This study applies a high-resolution regional ice shelf/ocean model, constrained by observations, to (i) quantify present basal mass loss at the Fimbul Ice Shelf (FIS); and (ii) investigate the oceanic mechanisms that govern the heat supply to ice shelves in the Eastern Weddell Sea. The simulations confirm the low melt rates suggested by observations and show that melting is primarily determined by the depth of the coastal thermocline, regulating deep ocean heat fluxes towards the ice. Furthermore, the uneven distribution of ice shelf area at different depths modulates the melting response to oceanic forcing, causing the existence of two distinct states of melting at the FIS. In the simulated present-day state, only small amounts of Modified Warm Deep Water enter the continental shelf, and ocean temperatures beneath the ice are close to the surface freezing point. The basal mass loss in this so-called state of shallow melting'' is mainly controlled by the seasonal inflow of solar-heated surface water affecting large areas of shallow ice in the upper part of the cavity. This is in contrast to a state of deep melting'', in which the thermocline rises above the shelf break depth, establishing a continuous inflow of Warm Deep Water towards the deep ice. The transition between the two states is found to be determined by a complex response of the Antarctic Slope Front overturning circulation to varying climate forcings. A proper representation of these frontal dynamics in climate models will therefore be crucial when assessing the evolution of ice shelf basal melting along this sector of Antarctica. (C) 2014 The Authors. Published by Elsevier Ltd.</t>
  </si>
  <si>
    <t>[Hattermann, T.; Nost, O. A.] Norwegian Polar Res Inst, Fram Ctr, N-9296 Tromso, Norway; [Hattermann, T.; Nost, O. A.] Akvaplan Niva, Fram Ctr, N-9296 Tromso, Norway; [Smedsrud, L. H.] Univ Bergen, Inst Geophys, N-5007 Bergen, Norway; [Smedsrud, L. H.] Bjerknes Ctr Climate Res, N-5007 Bergen, Norway; [Lilly, J. M.] Northwest Res Associates, Bellevue, WA 98009 USA; [Galton-Fenzi, B. K.] Australian Antarctic Div, Kingston, Tas 7050, Australia; [Galton-Fenzi, B. K.] Univ Tasmania, Antarctic Climate &amp; Ecosyst Cooperat Res Ctr, Hobart, Tas 7001, Australia</t>
  </si>
  <si>
    <t>Norwegian Polar Institute; Akvaplan-niva; University of Bergen; Bjerknes Centre for Climate Research; NorthWest Research Associates; Australian Antarctic Division; Antarctic Climate &amp; Ecosystems Cooperative Research Centre (ACE CRC); University of Tasmania</t>
  </si>
  <si>
    <t>Hattermann, T (corresponding author), Akvaplan Niva, Fram Ctr, Hjalmar Johansens Gt 14, N-9296 Tromso, Norway.</t>
  </si>
  <si>
    <t>tore.hattermann@akvaplan.niva.no</t>
  </si>
  <si>
    <t>Miller, Jonathan/HOC-2272-2023</t>
  </si>
  <si>
    <t>Lilly, Jonathan M./0000-0001-5651-7496; Galton-Fenzi, Benjamin Keith/0000-0003-1404-4103; Smedsrud, Lars H./0000-0001-7391-0740; Nost, Ole Anders/0000-0002-6139-4088; Hattermann, Tore/0000-0002-5538-2267</t>
  </si>
  <si>
    <t>Centre for Ice, Climate, and Ecosystems (ICE) at the Norwegian Polar Institute; NORKLIMA project of Norwegian Research Council [229764/E10]; Physical Oceanography program awards from the United States National Science Foundation [1235310, 0849371]; Division Of Ocean Sciences; Directorate For Geosciences [1235310, 0849371] Funding Source: National Science Foundation</t>
  </si>
  <si>
    <t>Centre for Ice, Climate, and Ecosystems (ICE) at the Norwegian Polar Institute; NORKLIMA project of Norwegian Research Council(Research Council of Norway); Physical Oceanography program awards from the United States National Science Foundation; Division Of Ocean Sciences; Directorate For Geosciences(National Science Foundation (NSF)NSF - Directorate for Geosciences (GEO))</t>
  </si>
  <si>
    <t>We thank Pal Erik Isachsen, Xylar Asay-Davis, Hartmut Hellmer and four anonymous reviewers for helpful comments that greatly improved the manuscript. We thank the German Space Agency (DLR) for providing via AO LAN0013 the TerraSAR-X imagery used by Angelika Humbert for detecting the location of ice rises, as well as Jan Lenaerts for providing the RACMO2 data. The seal data were derived from the IPY MEOP research programme; we thank Drs. Kit M. Kovacs, Martin Biuw, and Christian Lydersen for their respective roles in acquiring these data. This work was supported by the Centre for Ice, Climate, and Ecosystems (ICE) at the Norwegian Polar Institute and the NORKLIMA project 229764/E10 of Norwegian Research Council. The work of J.M. Lilly was supported by Physical Oceanography program awards #1235310 and #0849371 from the United States National Science Foundation.</t>
  </si>
  <si>
    <t>1463-5003</t>
  </si>
  <si>
    <t>1463-5011</t>
  </si>
  <si>
    <t>OCEAN MODEL</t>
  </si>
  <si>
    <t>Ocean Model.</t>
  </si>
  <si>
    <t>10.1016/j.ocemod.2014.07.004</t>
  </si>
  <si>
    <t>Meteorology &amp; Atmospheric Sciences; Oceanography</t>
  </si>
  <si>
    <t>AQ3HW</t>
  </si>
  <si>
    <t>WOS:000342683500003</t>
  </si>
  <si>
    <t>Jawak, SD; Luis, AJ</t>
  </si>
  <si>
    <t>Jawak, Shrldhar D.; Luis, Alvarinho J.</t>
  </si>
  <si>
    <t>A Semiautomatic Extraction of Antarctic Lake Features Using Worldview-2 Imagery</t>
  </si>
  <si>
    <t>PHOTOGRAMMETRIC ENGINEERING AND REMOTE SENSING</t>
  </si>
  <si>
    <t>SUBPIXEL TARGET DETECTION; WATER INDEX NDWI; LANDSAT-TM; SUPRAGLACIAL LAKES; MULTIRESOLUTION; CLASSIFICATION; DELINEATION; EVOLUTION; SYSTEM; COVER</t>
  </si>
  <si>
    <t>We devised a semiautomatic approach for extracting lake features based on a customized set of normalized difference water index (NDWI) information which was obtained by incorporating high resolution, 8-band World View-2 data. An extensive accuracy assessment was carried out for three semiautomatic feature extraction approaches for extracting 36 lake features on Larsemann Hills, Antarctica. The method was tested on five existing PAN-sharpening algorithms, which suggest that the customized NDWI approach renders intermediate performance (root mean square error varies from similar to 227 to similar to 235 m(2)) and highest stability when compared with existing feature extraction techniques. In general, the customized NDWI rendered a least misclassification (approximate to 11 percent), followed by target detection (approximate to 16 percent) and spectral processing (7,4 7 percent) methods for extraction of 36 lakes. We also found that customized NDWI caused consistently least misclassification (approximate to 21 percent) than the target detection (approximate to 23 percent) and spectral processing (approximate to 30 percent) methods for extraction of partially snow or ice-covered 11 lakes. Our results indicate that the use of the customized NDWI approach and appropriate PAN-sharpening algorithm can greatly improve the semiautomatic extraction of lake features in cryospheric environment.</t>
  </si>
  <si>
    <t>[Jawak, Shrldhar D.; Luis, Alvarinho J.] Govt India, NCAOR, ESSO, Polar Remote Sensing Dept,Minist Earth Sci MoES, Headland Sada 403804, Goa, India</t>
  </si>
  <si>
    <t>Ministry of Earth Sciences (MoES) - India; National Centre for Polar and Ocean Research (NCPOR); Earth System Science Organization (ESSO)</t>
  </si>
  <si>
    <t>Jawak, SD (corresponding author), Govt India, NCAOR, ESSO, Polar Remote Sensing Dept,Minist Earth Sci MoES, Headland Sada 403804, Goa, India.</t>
  </si>
  <si>
    <t>har.jawak@ncaor.gov.in</t>
  </si>
  <si>
    <t>Jawak, Shridhar/G-9678-2012</t>
  </si>
  <si>
    <t>Jawak, Shridhar/0000-0002-0648-3109; Luis, Dr Alvarinho J./0000-0002-3425-8048</t>
  </si>
  <si>
    <t>AMER SOC PHOTOGRAMMETRY</t>
  </si>
  <si>
    <t>BETHESDA</t>
  </si>
  <si>
    <t>5410 GROSVENOR LANE SUITE 210, BETHESDA, MD 20814-2160 USA</t>
  </si>
  <si>
    <t>0099-1112</t>
  </si>
  <si>
    <t>2374-8079</t>
  </si>
  <si>
    <t>PHOTOGRAMM ENG REM S</t>
  </si>
  <si>
    <t>Photogramm. Eng. Remote Sens.</t>
  </si>
  <si>
    <t>10.14358/PERS.80.10.939</t>
  </si>
  <si>
    <t>Geography, Physical; Geosciences, Multidisciplinary; Remote Sensing; Imaging Science &amp; Photographic Technology</t>
  </si>
  <si>
    <t>Physical Geography; Geology; Remote Sensing; Imaging Science &amp; Photographic Technology</t>
  </si>
  <si>
    <t>AQ1OX</t>
  </si>
  <si>
    <t>WOS:000342551800009</t>
  </si>
  <si>
    <t>King, SD; Adam, C</t>
  </si>
  <si>
    <t>King, Scott D.; Adam, Claudia</t>
  </si>
  <si>
    <t>Hotspot swells revisited</t>
  </si>
  <si>
    <t>PHYSICS OF THE EARTH AND PLANETARY INTERIORS</t>
  </si>
  <si>
    <t>Hotspot swells; Depth anomalies; Buoyancy flux; Heat flow</t>
  </si>
  <si>
    <t>SOUTH-PACIFIC SUPERSWELL; MANTLE PLUMES; TRANSITION ZONE; HEAT-FLOW; OCEANIC LITHOSPHERE; STRUCTURE BENEATH; PLATE VELOCITIES; ORIGIN; MODELS; SUBSIDENCE</t>
  </si>
  <si>
    <t>The first attempts to quantify the width and height of hotspot swells were made more than 30 years ago. Since that time, topography, ocean-floor age, and sediment thickness datasets have improved considerably. Swell heights and widths have been used to estimate the heat flow from the core-mantle boundary, constrain numerical models of plumes, and as an indicator of the origin of hotspots. In this paper, we repeat the analysis of swell geometry and buoyancy flux for 54 hotspots, including the 37 considered by Sleep (1990) and the 49 considered by Courtillot et al. (2003), using the latest and most accurate data. We are able to calculate swell geometry for a number of hotspots that Sleep was only able to estimate by comparison with other swells. We find that in spite of the increased resolution in global bathymetry models there is significant uncertainty in our calculation of buoyancy fluxes due to differences in our measurement of the swells' width and height, the integration method (volume integration or cross-sectional area), and the variations of the plate velocities between HS2-Nuvel1a (Gripp and Gordon, 1990) and HS3-Nuvel1a (Gripp and Gordon, 2002). We also note that the buoyancy flux for Pacific hotspots is in general larger than for Eurasian, North American, African and Antarctic hotspots. Considering that buoyancy flux is linearly related to plate velocity, we speculate that either the calculation of buoyancy flux using plate velocity over-estimates the actual vertical flow of material from the deep mantle or that convection in the Pacific hemisphere is more vigorous than the Atlantic hemisphere. (C) 2014 Elsevier B.V. All rights reserved.</t>
  </si>
  <si>
    <t>[King, Scott D.; Adam, Claudia] Virginia Tech, Dept Geosci, Blacksburg, VA 24061 USA</t>
  </si>
  <si>
    <t>Virginia Polytechnic Institute &amp; State University</t>
  </si>
  <si>
    <t>King, SD (corresponding author), Virginia Tech, Dept Geosci, Blacksburg, VA 24061 USA.</t>
  </si>
  <si>
    <t>sdk@vt.edu; ca3@vt.edu</t>
  </si>
  <si>
    <t>; King, Scott/B-1220-2008</t>
  </si>
  <si>
    <t>Adam, Claudia/0000-0003-0602-2158; King, Scott/0000-0002-9564-5164</t>
  </si>
  <si>
    <t>NSF [EAR-0855446]; Division Of Earth Sciences; Directorate For Geosciences [0855446] Funding Source: National Science Foundation</t>
  </si>
  <si>
    <t>NSF(National Science Foundation (NSF)); Division Of Earth Sciences; Directorate For Geosciences(National Science Foundation (NSF)NSF - Directorate for Geosciences (GEO))</t>
  </si>
  <si>
    <t>This work was supported by NSF grant EAR-0855446. We thank George Helffrich for helpful discussion on converting receiver function time delays to transition zone thickness and Shijie Zhong and Valerie Clouard for constructive reviews. We used GMT (Wessel and Smith, 1991) for figures and data analysis.</t>
  </si>
  <si>
    <t>ELSEVIER</t>
  </si>
  <si>
    <t>RADARWEG 29, 1043 NX AMSTERDAM, NETHERLANDS</t>
  </si>
  <si>
    <t>0031-9201</t>
  </si>
  <si>
    <t>1872-7395</t>
  </si>
  <si>
    <t>PHYS EARTH PLANET IN</t>
  </si>
  <si>
    <t>Phys. Earth Planet. Inter.</t>
  </si>
  <si>
    <t>10.1016/j.pepi.2014.07.006</t>
  </si>
  <si>
    <t>AQ7ST</t>
  </si>
  <si>
    <t>WOS:000343020200006</t>
  </si>
  <si>
    <t>Reed, AJ; Morris, JP; Linse, K; Thatje, S</t>
  </si>
  <si>
    <t>Reed, Adam J.; Morris, James P.; Linse, Katrin; Thatje, Sven</t>
  </si>
  <si>
    <t>Reproductive morphology of the deep-sea protobranch bivalves Yoldiella ecaudata, Yoldiella sabrina, and Yoldiella valettei (Yoldiidae) from the Southern Ocean</t>
  </si>
  <si>
    <t>POLAR BIOLOGY</t>
  </si>
  <si>
    <t>Antarctic; Bivalve; Protobranch; Reproduction; Deep-sea; Yoldiella</t>
  </si>
  <si>
    <t>SEDIMENT FOOD BANK; SIGNY ISLAND; SUBCLASS PROTOBRANCHIA; DEMINUCULA-ATACELLANA; POPULATION-STRUCTURE; ANTARCTIC PENINSULA; PERICALYMMA LARVA; EPIBENTHIC SLEDGE; ROCKALL TROUGH; WEDDELL SEA</t>
  </si>
  <si>
    <t>The protobranch bivalves of the Southern Ocean are poorly understood ecologically, despite their high abundances in soft sediments from the shelf to the deep sea. The subclass has a long evolutionary history predating the formation of the polar front, and knowledge of their reproductive biology is key to understanding better their successful radiation into the Southern Ocean, and within deep-sea basins. In this study, we for the first time investigate the reproductive morphology of three deep-water protobranchs; Yoldiella ecaudata from 500 m in the Amundsen Sea; Y. sabrina from between 200 and 4,730 m in the Amundsen Sea, Scotia Sea, and South Atlantic; and Y. valettei from 1,000 m in the Scotia Sea. All three species demonstrate evidence of lecithotrophic larval development with maximum oocyte size of 130.4, 187.9, and 120.6 A mu m in Y. ecaudata, Y. sabrina, and Y. valettei, respectively, further supported by prodissoconch I measurements. There is evidence for simultaneous hermaphroditism in Y. valettei. Asynchronous oocyte development within specimens of Y. ecaudata and Y. valettei is described, and also between populations of Y. sabrina separated by depth. The reproductive characteristics, comparable to those of North Atlantic deep-sea protobranch species, are discussed in the context of the cold thermally stable conditions prevailing on the deep-Antarctic continental shelf and deep sea. The requirement for reclassification of this complex subclass is also discussed in relation to observed soft anatomy and shell characteristics.</t>
  </si>
  <si>
    <t>[Reed, Adam J.; Morris, James P.; Thatje, Sven] Univ Southampton, Natl Oceanog Ctr Southampton, Southampton SO14 3ZH, Hants, England; [Linse, Katrin] British Antarctic Survey, Nat Environm Res Council, Cambridge CB3 0ET, England</t>
  </si>
  <si>
    <t>University of Southampton; NERC National Oceanography Centre; UK Research &amp; Innovation (UKRI); Natural Environment Research Council (NERC); NERC British Antarctic Survey</t>
  </si>
  <si>
    <t>Reed, AJ (corresponding author), Univ Southampton, Natl Oceanog Ctr Southampton, European Way, Southampton SO14 3ZH, Hants, England.</t>
  </si>
  <si>
    <t>ajr104@soton.ac.uk</t>
  </si>
  <si>
    <t>; Reed, Adam/Q-7276-2017</t>
  </si>
  <si>
    <t>Linse, Katrin/0000-0003-3477-3047; Morris, James/0000-0002-4804-3312; Reed, Adam/0000-0003-2200-5067</t>
  </si>
  <si>
    <t>Natural Environment Research Council PhD studentship; The Natural Environment Research Council (NERC); NERC [bas0100026] Funding Source: UKRI; Natural Environment Research Council [bas0100026] Funding Source: researchfish</t>
  </si>
  <si>
    <t>Natural Environment Research Council PhD studentship(UK Research &amp; Innovation (UKRI)Natural Environment Research Council (NERC)); The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</si>
  <si>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Adam J. Reed was supported through a Natural Environment Research Council PhD studentship. We are grateful to the cruise leaders, captains, officers, and crews of PFS Polarstern (AN-DEEP III) and of RRS James Clark Ross (JR144 BIOPEARL I, JR179 BIOPEARL II) who enabled us to collect the samples for this study. We thank Richard Pearce for help with SEM analysis, and Paul Tyler and John Grahame for their feedback on an earlier version of this manuscript. The authors would also like to thank Danja Hoehn for contributing to early thoughts and discussions on protobranch reproduction. This study is part of the British Antarctic Survey Polar Science for Planet Earth Programme funded by The Natural Environment Research Council (NERC), and is ANDEEP publication #192.</t>
  </si>
  <si>
    <t>233 SPRING ST, NEW YORK, NY 10013 USA</t>
  </si>
  <si>
    <t>0722-4060</t>
  </si>
  <si>
    <t>1432-2056</t>
  </si>
  <si>
    <t>POLAR BIOL</t>
  </si>
  <si>
    <t>Polar Biol.</t>
  </si>
  <si>
    <t>10.1007/s00300-014-1528-4</t>
  </si>
  <si>
    <t>Biodiversity Conservation; Ecology</t>
  </si>
  <si>
    <t>Biodiversity &amp; Conservation; Environmental Sciences &amp; Ecology</t>
  </si>
  <si>
    <t>AP6ZW</t>
  </si>
  <si>
    <t>WOS:000342228200002</t>
  </si>
  <si>
    <t>Pisa, S; Biersma, EM; Convey, P; Patiño, J; Vanderpoorten, A; Werner, O; Ros, RM</t>
  </si>
  <si>
    <t>Pisa, S.; Biersma, E. M.; Convey, P.; Patino, J.; Vanderpoorten, A.; Werner, O.; Ros, R. M.</t>
  </si>
  <si>
    <t>The cosmopolitan moss Bryum argenteum in Antarctica: recent colonisation or in situ survival?</t>
  </si>
  <si>
    <t>Glacial refugia; Dispersal; Bryophytes; Molecular dating; Phylogeography</t>
  </si>
  <si>
    <t>INTERNAL TRANSCRIBED SPACER; SOUTH SANDWICH ISLANDS; DIRECT AMPLIFICATION; GENETIC DIVERSITY; GEOGRAPHIC RANGE; BRYOPHYTES; EVOLUTION; DNA; HISTORY; LIFE</t>
  </si>
  <si>
    <t>Since the onset of glaciation following the Oligocene (30-28 Ma), the prevalence of increasingly cold conditions has shaped the evolution of the Antarctic biota. Two hypotheses, postglacial recruitment from extra-regional locations and in situ persistence, have been proposed to explain the biogeography of the contemporary species-poor terrestrial Antarctic biota. Bryophytes, which form a major group of the Antarctic flora, exhibit a strong, inherent ability to survive cold conditions but also have high long-distance dispersal capacities, which are compatible with both hypotheses. Here, we test these hypotheses by means of population genetic and phylogeographic analyses of the cosmopolitan moss Bryum argenteum. We find evidence for at least three independent colonisation events of the species in Antarctica. Ancestral area reconstruction coupled with molecular dating suggests colonisation times of the different Antarctic clades ranging from four million years for the oldest lineage to half a million years for the youngest lineage. This suggests multiple colonisation events of Antarctica by this species during several glacial cycles within the Pleistocene, Pliocene and possibly late Miocene. This is the first study to demonstrate in situ persistence of bryophytes in Antarctica throughout previous glaciations.</t>
  </si>
  <si>
    <t>[Pisa, S.; Werner, O.; Ros, R. M.] Univ Murcia, Dept Biol Vegetal Bot, Fac Biol, E-30100 Murcia, Spain; [Biersma, E. M.; Convey, P.] British Antarctic Survey, NERC, Cambridge CB3 0ET, England; [Biersma, E. M.] Univ Cambridge, Dept Plant Sci, Cambridge CB2 3EA, England; [Convey, P.] Univ Canterbury, Gateway Antarctica, Christchurch 8140, New Zealand; [Patino, J.; Vanderpoorten, A.] Univ Liege, Inst Bot, B-4000 Liege, Belgium; [Patino, J.] Univ La Laguna, Dept Plant Biol, Tenerife, Spain; [Patino, J.; Vanderpoorten, A.] Univ Acores, Azorean Biodivers Grp CITA A, Terceira, Portugal; [Patino, J.; Vanderpoorten, A.] Univ Acores, Platform Enhancing Ecol Res &amp; Sustainabil PEERS, Dept Ciencias Agr, Terceira, Portugal</t>
  </si>
  <si>
    <t>University of Murcia; UK Research &amp; Innovation (UKRI); Natural Environment Research Council (NERC); NERC British Antarctic Survey; University of Cambridge; University of Canterbury; University of Liege; Universidad de la Laguna; Universidade dos Acores; Universidade dos Acores</t>
  </si>
  <si>
    <t>Pisa, S (corresponding author), Univ Murcia, Dept Biol Vegetal Bot, Fac Biol, Campus Espinardo, E-30100 Murcia, Spain.</t>
  </si>
  <si>
    <t>sergiopisa@um.es</t>
  </si>
  <si>
    <t>ROS, ROSA M./J-9780-2014; Biersma, Elisabeth Machteld/AAL-9818-2020; Convey, Peter/AAV-5728-2020; ROS, ROSA M./Z-4873-2019; Biersma, Elisabeth Machteld/JKI-1084-2023; Patiño, Jairo/J-9595-2014; WERNER, OLAF/K-2374-2014</t>
  </si>
  <si>
    <t>ROS, ROSA M./0000-0003-2115-2911; Biersma, Elisabeth Machteld/0000-0002-9877-2177; Convey, Peter/0000-0001-8497-9903; ROS, ROSA M./0000-0003-2115-2911; Patiño, Jairo/0000-0001-5532-166X; WERNER, OLAF/0000-0003-0601-3964</t>
  </si>
  <si>
    <t>Spanish Ministry of Science and Innovation [CGL2008-00275/BOS, CGL2011-22936/BOS]; European Regional Development Funds; Natural Environment Research Council PhD studentship [NE/K50094X/1]; Natural Environment Research Council; Belgian Funds for Scientific Research and the University of Liege; NERC [bas0100026, NE/K50094X/1] Funding Source: UKRI; Natural Environment Research Council [bas0100026, 1246575] Funding Source: researchfish</t>
  </si>
  <si>
    <t>Spanish Ministry of Science and Innovation(Spanish Government); European Regional Development Funds(European Union (EU)); Natural Environment Research Council PhD studentship(UK Research &amp; Innovation (UKRI)Natural Environment Research Council (NERC)); Natural Environment Research Council(UK Research &amp; Innovation (UKRI)Natural Environment Research Council (NERC)); Belgian Funds for Scientific Research and the University of Liege(Fonds de la Recherche Scientifique - FNRS); NERC(UK Research &amp; Innovation (UKRI)Natural Environment Research Council (NERC)); Natural Environment Research Council(UK Research &amp; Innovation (UKRI)Natural Environment Research Council (NERC))</t>
  </si>
  <si>
    <t>The authors thank the curators of the herbaria AAS, ACHE, CAS, CONN, E, EGR, MHA, MW, NY, S and also the private herbaria of D. T. Holyoak and B. Goffinet for the loan of material and to B. Albertos, R. Garilleti, B. Goffinet, J. M. Gonzalez-Mancebo, F. Lara and M. Stech for collecting material used in this work. We also thank Oliva Martin-Sanchez for producing Fig. 1. This study has been supported financially by the Spanish Ministry of Science and Innovation (Projects CGL2008-00275/BOS and CGL2011-22936/BOS) and by the European Regional Development Funds. E. M. Biersma is supported by a Natural Environment Research Council PhD studentship (ref NE/K50094X/1), and P. Convey by Natural Environment Research Council core funding to the British Antarctic Society programme 'Environmental Change and Evolution'. This paper also contributes to the Scientific Committee on Antarctic Research 'State of the Antarctic Ecosystem' programme. J. Patino and A. Vanderpoorten gratefully acknowledge financial support from the Belgian Funds for Scientific Research and the University of Liege. We thank three reviewers for helpful comments.</t>
  </si>
  <si>
    <t>10.1007/s00300-014-1537-3</t>
  </si>
  <si>
    <t>WOS:000342228200009</t>
  </si>
  <si>
    <t>Maycock, AC; Joshi, MM; Shine, KP; Davis, SM; Rosenlof, KH</t>
  </si>
  <si>
    <t>Maycock, A. C.; Joshi, M. M.; Shine, K. P.; Davis, S. M.; Rosenlof, K. H.</t>
  </si>
  <si>
    <t>The potential impact of changes in lower stratospheric water vapour on stratospheric temperatures over the past 30 years</t>
  </si>
  <si>
    <t>QUARTERLY JOURNAL OF THE ROYAL METEOROLOGICAL SOCIETY</t>
  </si>
  <si>
    <t>temperature trends; stratosphere and climate; climate modelling; Antarctic dehydration; tropical stratosphere; polar stratosphere</t>
  </si>
  <si>
    <t>VERTICALLY EXTENDED VERSION; TROPICAL TROPOPAUSE; MIDDLE ATMOSPHERE; TRENDS; VARIABILITY; CLIMATOLOGY; DEHYDRATION</t>
  </si>
  <si>
    <t>This study investigates the potential contribution of observed changes in lower stratospheric water vapour to stratospheric temperature variations over the past three decades using a comprehensive global climate model (GCM). Three case studies are considered. In the first, the net increase in stratospheric water vapour (SWV) from 1980-2010 (derived from the Boulder frost-point hygrometer record using the gross assumption that this is globally representative) is estimated to have cooled the lower stratosphere by up to approximate to 0.2 K decade(-1) in the global and annual mean; this is approximate to 40% of the observed cooling trend over this period. In the Arctic winter stratosphere there is a dynamical response to the increase in SWV, with enhanced polar cooling of 0.6 K decade(-1) at 50 hPa and warming of 0.5 K decade(-1) at 1 hPa. In the second case study, the observed decrease in tropical lower stratospheric water vapour after the year 2000 (imposed in the GCM as a simplified representation of the observed changes derived from satellite data) is estimated to have caused a relative increase in tropical lower stratospheric temperatures by approximate to 0.3 K at 50 hPa. In the third case study, the wintertime dehydration in the Antarctic stratospheric polar vortex (again using a simplified representation of the changes seen in a satellite dataset) is estimated to cause a relative warming of the Southern Hemisphere polar stratosphere by up to 1 K at 100 hPa from July-October. This is accompanied by a weakening of the westerly winds on the poleward flank of the stratospheric jet by up to 1.5 m s(-1) in the GCM. The results show that, if the measurements are representative of global variations, SWV should be considered as important a driver of transient and long-term variations in lower stratospheric temperature over the past 30 years as increases in long-lived greenhouse gases and stratospheric ozone depletion.</t>
  </si>
  <si>
    <t>[Maycock, A. C.] Univ Cambridge, Dept Chem, Ctr Atmospher Sci, Cambridge CB2 1EW, England; [Joshi, M. M.] Univ E Anglia, Sch Environm Sci, Norwich NR4 7TJ, Norfolk, England; [Shine, K. P.] Univ Reading, Dept Meteorol, Reading RG6 2AH, Berks, England; [Davis, S. M.; Rosenlof, K. H.] NOAA, ESRL, Div Chem Sci, Boulder, CO USA; [Davis, S. M.] Univ Colorado, CIRES, Boulder, CO 80309 USA</t>
  </si>
  <si>
    <t>University of Cambridge; University of East Anglia; University of Reading; National Oceanic Atmospheric Admin (NOAA) - USA; University of Colorado System; University of Colorado Boulder</t>
  </si>
  <si>
    <t>Maycock, AC (corresponding author), Univ Cambridge, Dept Chem, Ctr Atmospher Sci, Lensfield Rd, Cambridge CB2 1EW, England.</t>
  </si>
  <si>
    <t>acm204@cam.ac.uk</t>
  </si>
  <si>
    <t>Maycock, Amanda C/T-5380-2018; Joshi, Manoj/C-1795-2008; Davis, Sean/C-9570-2011; Davis, Sean/HGC-5795-2022; Rosenlof, Karen H/B-5652-2008; Shine, Keith/D-9093-2012</t>
  </si>
  <si>
    <t>Joshi, Manoj/0000-0002-2948-2811; Davis, Sean/0000-0001-9276-6158; Davis, Sean/0000-0001-9276-6158; Rosenlof, Karen H/0000-0002-0903-8270; Maycock, Amanda/0000-0002-6614-1127; Shine, Keith/0000-0003-2672-9978</t>
  </si>
  <si>
    <t>NERC PhD studentship at the University of Reading; UK Met Office; NCAS-Climate; NERC; Natural Environment Research Council [ncas10009] Funding Source: researchfish</t>
  </si>
  <si>
    <t>NERC PhD studentship at the University of Reading; UK Met Office; NCAS-Climate; NERC(UK Research &amp; Innovation (UKRI)Natural Environment Research Council (NERC)); Natural Environment Research Council(UK Research &amp; Innovation (UKRI)Natural Environment Research Council (NERC))</t>
  </si>
  <si>
    <t>ACM was supported by a NERC PhD studentship at the University of Reading and a CASE award from the UK Met Office. MMJ was funded by NCAS-Climate, which is a NERC funded research centre. The authors thank the three anonymous reviewers for their suggestions on how to improve the manuscript.</t>
  </si>
  <si>
    <t>0035-9009</t>
  </si>
  <si>
    <t>1477-870X</t>
  </si>
  <si>
    <t>Q J ROY METEOR SOC</t>
  </si>
  <si>
    <t>Q. J. R. Meteorol. Soc.</t>
  </si>
  <si>
    <t>10.1002/qj.2287</t>
  </si>
  <si>
    <t>AS6WN</t>
  </si>
  <si>
    <t>Green Accepted, Green Published</t>
  </si>
  <si>
    <t>WOS:000344400200007</t>
  </si>
  <si>
    <t>Orr, A; Phillips, T; Webster, S; Elvidge, A; Weeks, M; Hosking, S; Turner, J</t>
  </si>
  <si>
    <t>Orr, Andrew; Phillips, Tony; Webster, Stuart; Elvidge, Andy; Weeks, Mark; Hosking, Scott; Turner, John</t>
  </si>
  <si>
    <t>Met Office Unified Model high-resolution simulations of a strong wind event in Antarctica</t>
  </si>
  <si>
    <t>Met Office Unified Model; high resolution modelling; Antarctica; strong wind event; dynamics; orographic effects</t>
  </si>
  <si>
    <t>CASEY-STATION; GRAVITY-WAVES; HEAT-FLUX; SURFACE; PREDICTION; FLOW; COEFFICIENTS; CLIMATE; FIELD</t>
  </si>
  <si>
    <t>During winter much of the Antarctic coast is susceptible to severe and hazardous strong-wind events (SWEs) associated with the enhancement of katabatic winds by synoptic weather systems. In this study a SWE that occurred at Mawson, East Antarctica, involving a hurricane force wind speed of approximate to 39 m s(-1) is simulated by the Met Office Unified Model at high horizontal resolutions with grid lengths between 12 and 1.5 km. It is shown that all the simulations capture the qualitative evolution of the SWE but underestimate its peak wind speed. The extent of the underestimate is dependent on horizontal resolution, with the 4 and 1.5 km (12 km) models underforecasting the peak wind speed by around 15% (36%). In addition to a strengthening of the katabatic flow, the simulated low-level cyclonic winds associated with the depression responsible for the SWE caused the formation of a barrier-type jet parallel to the coast, resulting in strong wind convergence/interaction at the coastline and suggesting a strong topographic influence on the dynamics responsible for SWE formation. Moreover, it suggests that Mawson is influenced by small-scale gravity waves that formed in response to the stronger winds, and that representation of this was particularly sensitive to horizontal resolution. Additional experiments suggest that the Met Office Unified Model simulation of the SWE is most sensitive to the representation of turbulent mixing under stable conditions. This study is important to identify shortcomings in the performance of the Met Office Unified Model near Antarctica's coastal regions as well as to improve understanding of the processes responsible for SWEs.</t>
  </si>
  <si>
    <t>[Orr, Andrew; Phillips, Tony; Hosking, Scott; Turner, John] British Antarctic Survey, Cambridge CB3 0ET, England; [Webster, Stuart; Weeks, Mark] Met Off, Exeter, Devon, England; [Elvidge, Andy] Univ E Anglia, Sch Environm Sci, Norwich NR4 7TJ, Norfolk, England</t>
  </si>
  <si>
    <t>UK Research &amp; Innovation (UKRI); Natural Environment Research Council (NERC); NERC British Antarctic Survey; Met Office - UK; University of East Anglia</t>
  </si>
  <si>
    <t>Orr, A (corresponding author), British Antarctic Survey, Madingley Rd, Cambridge CB3 0ET, England.</t>
  </si>
  <si>
    <t>anmcr@bas.ac.uk</t>
  </si>
  <si>
    <t>Hosking, Scott/D-3437-2013</t>
  </si>
  <si>
    <t>Hosking, Scott/0000-0002-3646-3504; Turner, John/0000-0002-6111-5122; Elvidge, Andrew/0000-0002-7099-902X</t>
  </si>
  <si>
    <t>University of Wisconsin-Madison Antarctic Meteorological Research Center; NSF [ANT-0838834]; NERC [bas0100023] Funding Source: UKRI; Natural Environment Research Council [bas0100023] Funding Source: researchfish</t>
  </si>
  <si>
    <t>University of Wisconsin-Madison Antarctic Meteorological Research Center; NSF(National Science Foundation (NSF)); NERC(UK Research &amp; Innovation (UKRI)Natural Environment Research Council (NERC)); Natural Environment Research Council(UK Research &amp; Innovation (UKRI)Natural Environment Research Council (NERC))</t>
  </si>
  <si>
    <t>The authors are grateful to the two anonymous reviewers, whose detailed comments greatly improved the article. The authors appreciate the support of the University of Wisconsin-Madison Antarctic Meteorological Research Center for the data set, data display and information, NSF grant number ANT-0838834. The authors particularly want to thank NCAS Computational Modelling Services for much support running the MetUM, as well as Steve Colwell, Julian Hunt, John King, Ian Renfrew, and Alexandra Weiss for useful conversations.</t>
  </si>
  <si>
    <t>10.1002/qj.2296</t>
  </si>
  <si>
    <t>WOS:000344400200016</t>
  </si>
  <si>
    <t>Orihuela, CE</t>
  </si>
  <si>
    <t>Espinoza Orihuela, Cesar</t>
  </si>
  <si>
    <t>CHILE &amp; GREAT BRITAIN: THE CHILEAN ANTARCTIC AND THE TENSIONS BETWEEN, 1947-1952</t>
  </si>
  <si>
    <t>REVISTA ESTUDIOS HEMISFERICOS Y POLARES</t>
  </si>
  <si>
    <t>Spanish</t>
  </si>
  <si>
    <t>Manuel Bianchi; Diplomacy; New Order; Solutions</t>
  </si>
  <si>
    <t>The aim of this article is to understand the tensions that existed between Chile and Great Britain in the mid-twentieth century (1947-1952), during which the Second World War left a new world order where Antarctic claims will be much more intense. This is where the role of the embassy is crucial to maintaining peaceful relations among nations and where the arguments are the primary providers of these good relations, therefore, the work of the Foreign Ministry and Ambassador Manuel Bianchi Gundian will be critical to avoid major conflicts and encourage in dialogue about possible solutions to the actual tensions.</t>
  </si>
  <si>
    <t>[Espinoza Orihuela, Cesar] Univ San Sebastian, Lientur 1457, Concepcion, Chile</t>
  </si>
  <si>
    <t>Universidad San Sebastian</t>
  </si>
  <si>
    <t>Orihuela, CE (corresponding author), Univ San Sebastian, Lientur 1457, Concepcion, Chile.</t>
  </si>
  <si>
    <t>cesar.espinoza@uss.cl</t>
  </si>
  <si>
    <t>CENTRO ESTUDIOS HEMISFERICOS &amp; POLARES</t>
  </si>
  <si>
    <t>VINA DEL MAR</t>
  </si>
  <si>
    <t>CALLE ROMA, 116, CALETA ABARCA, VINA DEL MAR, 2580060, CHILE</t>
  </si>
  <si>
    <t>0718-9230</t>
  </si>
  <si>
    <t>REV ESTUD HEMISFERIC</t>
  </si>
  <si>
    <t>Rev. Estud. Hemisfericos Polares</t>
  </si>
  <si>
    <t>OCT-DEC</t>
  </si>
  <si>
    <t>Area Studies</t>
  </si>
  <si>
    <t>V36IA</t>
  </si>
  <si>
    <t>WOS:000215960700001</t>
  </si>
  <si>
    <t>Chewings, JM; Atkins, CB; Dunbar, GB; Golledge, NR</t>
  </si>
  <si>
    <t>Chewings, Jane M.; Atkins, Cliff B.; Dunbar, Gavin B.; Golledge, Nicholas R.</t>
  </si>
  <si>
    <t>Aeolian sediment transport and deposition in a modern high-latitude glacial marine environment</t>
  </si>
  <si>
    <t>SEDIMENTOLOGY</t>
  </si>
  <si>
    <t>Aeolian; Antarctica; McMurdo Sound; sea ice; sediment transport; sedimentation</t>
  </si>
  <si>
    <t>MCMURDO DRY VALLEYS; SOUTHERN-VICTORIA-LAND; SEA CONTINENTAL-SHELF; ROSS ICE SHELF; TRANSANTARCTIC MOUNTAINS; SAND TRANSPORT; VERTICAL FLUX; DUST RECORDS; ANTARCTICA; WIND</t>
  </si>
  <si>
    <t>Aeolian sand and dust in polar regions are transported offshore over sea ice and released to the ocean during summer melt. This process has long been considered an important contributor to polar sea floor sedimentation and as a source of bioavailable iron that triggers vast phytoplankton blooms. Reported here are aeolian sediment dispersal patterns and accumulation rates varying between 02gm(-2)yr(-1) and 55gm(-2)yr(-1) over 3000km(2) of sea ice in McMurdo Sound, south-west Ross Sea, adjacent to the largest ice free area in Antarctica. Sediment distribution and the abundance of southern McMurdo Volcanic Group-derived glass, show that most sediment originates from the McMurdo Ice Shelf and nearby coastal outcrops. Almost no sediment is derived from the extensive ice free areas of the McMurdo Dry Valleys due to winnowed surficial layers shielding sand-sized and silt-sized material from wind erosion and because of the imposing topographic barrier of the north-south aligned piedmont glaciers. Southerly winds of intermediate strength (ca 20msec(-1)) are primarily responsible for transporting sediment northwards and offshore. The results presented here indicate that sand-sized sediment does not travel more than ca 5km offshore, but very-fine sand and silt grains can travel &gt;100km from source. For sites &gt;10km from the coast, the mass accumulation rate is relatively uniform (114 +/- 057gm(-2)yr(-1)), three orders of magnitude above estimated global atmospheric dust values for the region. This uniformity represents a sea floor sedimentation rate of only 02cmkyr(-1), well below the rates of &gt;9cmkyr(-1) reported for biogenic-dominated sedimentation measured over much of the Ross Sea. These results show that, even for this region of high-windblown sediment flux, aeolian processes are only a minor contributor to sea floor sedimentation, excepting areas proximal to coastal sources.</t>
  </si>
  <si>
    <t>[Chewings, Jane M.; Atkins, Cliff B.; Dunbar, Gavin B.; Golledge, Nicholas R.] Victoria Univ Wellington, Antarctic Res Ctr, Wellington 6140, New Zealand; [Chewings, Jane M.; Atkins, Cliff B.] Victoria Univ Wellington, Sch Geog Environm &amp; Earth Sci, Wellington 6140, New Zealand; [Golledge, Nicholas R.] GNS Sci, Lower Hutt 5040, New Zealand</t>
  </si>
  <si>
    <t>Victoria University Wellington; Victoria University Wellington; GNS Science - New Zealand</t>
  </si>
  <si>
    <t>Chewings, JM (corresponding author), Victoria Univ Wellington, Antarctic Res Ctr, POB 600, Wellington 6140, New Zealand.</t>
  </si>
  <si>
    <t>jane.chewings@vuw.ac.nz</t>
  </si>
  <si>
    <t>Atkins, cliff B/E-9458-2011</t>
  </si>
  <si>
    <t>Atkins, C/0000-0002-6513-6924; Golledge, Nicholas/0000-0001-7676-8970</t>
  </si>
  <si>
    <t>New Zealand Ministry for Science and Innovation through Past Antarctic Climate and Future Implications (ANDRILL-NZ) Programme [CO5X1001]; Dominion Post Scholarship in Antarctic Research; VUW Antarctic Research Centre Endowed Development Fund; Hastie Research Award from Geoscience Society of New Zealand</t>
  </si>
  <si>
    <t>New Zealand Ministry for Science and Innovation through Past Antarctic Climate and Future Implications (ANDRILL-NZ) Programme; Dominion Post Scholarship in Antarctic Research; VUW Antarctic Research Centre Endowed Development Fund; Hastie Research Award from Geoscience Society of New Zealand</t>
  </si>
  <si>
    <t>This work was supported by the New Zealand Ministry for Science and Innovation through Past Antarctic Climate and Future Implications (ANDRILL-NZ) Programme (contract CO5X1001). Thanks to Antarctica New Zealand for logistical support from Scott Base and the New Zealand National Ice Core Research Facility for use of laboratory facilities. In particular, we would like to thank Assoc. Prof. Brent Alloway for field assistance and valuable discussions, Dr. Margaret Harper for identification of diatoms, Alex Pyne for observations and comments on McMurdo Sound sea ice, Prof. Ian Hawes and Hana Christenson for assistance in identifying bryophytic moss remains, and constructive comments on this manuscript from Prof. Chris Fielding and two anonymous reviewers. JMC acknowledges financial support from; The Dominion Post Scholarship in Antarctic Research, VUW Antarctic Research Centre Endowed Development Fund, and the Hastie Research Award from the Geoscience Society of New Zealand.</t>
  </si>
  <si>
    <t>0037-0746</t>
  </si>
  <si>
    <t>1365-3091</t>
  </si>
  <si>
    <t>Sedimentology</t>
  </si>
  <si>
    <t>10.1111/sed.12108</t>
  </si>
  <si>
    <t>AP8SL</t>
  </si>
  <si>
    <t>WOS:000342349100003</t>
  </si>
  <si>
    <t>Lee, YM; Kim, EH; Lee, HK; Hong, SG</t>
  </si>
  <si>
    <t>Lee, Yung Mi; Kim, Eun Hye; Lee, Hong Kum; Hong, Soon Gyu</t>
  </si>
  <si>
    <t>Biodiversity and physiological characteristics of Antarctic and Arctic lichens-associated bacteria</t>
  </si>
  <si>
    <t>WORLD JOURNAL OF MICROBIOLOGY &amp; BIOTECHNOLOGY</t>
  </si>
  <si>
    <t>Lichens; Endophytes; Cultivation; Polar areas; Cold-adapted enzymes</t>
  </si>
  <si>
    <t>PLANT-ASSOCIATED BACTERIUM; SP-NOV.; SPHINGOMONAS; BURKHOLDERIA; DIVERSITY; DEGRADATION; COMMUNITIES; SEQUENCES; REVEALS</t>
  </si>
  <si>
    <t>The diversity and physiological characteristics of culturable bacteria associated with lichens from different habitats of the Arctic and Antarctica were investigated. The 68 retrieved isolates could be grouped on the basis of their 16S rRNA gene sequences into 26 phylotypes affiliated with the phyla Actinobacteria, Bacteroidetes, Deinococcus-Thermus, and Firmicutes and with the classes Alphaproteobacteria, Betaproteobacteria, and Gammaproteobacteria. Isolates belonging to the Alphaproteobacteria were the most abundant, followed by those belonging to Actinobacteria, Betaproteobacteria, Gammaproteobacteria, Bacteroidetes, Firmicutes, and Deinococcus-Thermus. Phylogenetic analysis showed that approximately 21 % of the total isolates represented a potentially novel species or genus (a parts per thousand currency sign97 % sequence similarity). Strains belonging to the genera Sphingomonas, Frondihabitans, Hymenobacter, and Burkholderia were recovered from lichen samples from both geographic locations, implying common and important bacterial functions within lichens. Extracellular protease activities were detected in six isolates, affiliated with Burkholderia, Frondihabitans, Hymenobacter, Pseudomonas, and Rhodanobacter. Extracellular lipase activities were detected in 37 isolates of the genera Burkholderia, Deinococcus, Frondihabitans, Pseudomonas, Rhodanobacter, Sphingomonas, and Subtercola. This is the first report on the culturable bacterial diversity present within lichens from Arctic and Antarctica and the isolates described herein are valuable resources to decode the functional and ecological roles of bacteria within lichens. In addition, the low similarity (a parts per thousand currency sign97 %) of the recovered isolates to known species and their production of cold-active enzymes together suggest that lichens are noteworthy sources of novel bacterial strains for use in biotechnological applications.</t>
  </si>
  <si>
    <t>[Lee, Yung Mi; Kim, Eun Hye; Lee, Hong Kum; Hong, Soon Gyu] Korea Polar Res Inst, Div Polar Life Sci, Inchon 406840, South Korea</t>
  </si>
  <si>
    <t>Korea Polar Research Institute (KOPRI); Korea Institute of Ocean Science &amp; Technology (KIOST)</t>
  </si>
  <si>
    <t>Lee, YM (corresponding author), Korea Polar Res Inst, Div Polar Life Sci, 26 Songdomirae Ro, Inchon 406840, South Korea.</t>
  </si>
  <si>
    <t>ymlee@kopri.re.kr</t>
  </si>
  <si>
    <t>Korea Polar Research Institute [PE11050, PE14020, PE14080]</t>
  </si>
  <si>
    <t>Korea Polar Research Institute(Korea Polar Research Institute of Marine Research Placement (KOPRI))</t>
  </si>
  <si>
    <t>This research was supported by the Korea Polar Research Institute (Grants PE11050, PE14020, and PE14080).</t>
  </si>
  <si>
    <t>0959-3993</t>
  </si>
  <si>
    <t>1573-0972</t>
  </si>
  <si>
    <t>WORLD J MICROB BIOT</t>
  </si>
  <si>
    <t>World J. Microbiol. Biotechnol.</t>
  </si>
  <si>
    <t>10.1007/s11274-014-1695-z</t>
  </si>
  <si>
    <t>Biotechnology &amp; Applied Microbiology</t>
  </si>
  <si>
    <t>AO8WD</t>
  </si>
  <si>
    <t>WOS:000341635000017</t>
  </si>
  <si>
    <t>Hughes, JM; Stewart, J; Lyle, JM; Suthers, IM</t>
  </si>
  <si>
    <t>Hughes, Julian M.; Stewart, John; Lyle, Jeremy M.; Suthers, Iain M.</t>
  </si>
  <si>
    <t>Top-down pressure on small pelagic fish by eastern Australian salmon Arripis trutta; estimation of daily ration and annual prey consumption using multiple techniques</t>
  </si>
  <si>
    <t>JOURNAL OF EXPERIMENTAL MARINE BIOLOGY AND ECOLOGY</t>
  </si>
  <si>
    <t>Arripidae; Top-down regulation; Daily ration; Annual consumption rate; Zooplanktivorous fish</t>
  </si>
  <si>
    <t>THE-YEAR BLUEFISH; GASTRIC EVACUATION; FOOD-CONSUMPTION; POMATOMUS-SALTATRIX; CLIMATE-CHANGE; FISHERIES MANAGEMENT; BIOENERGETICS MODELS; THUNNUS-ALBACARES; FEEDING ECOLOGY; YELLOWFIN TUNA</t>
  </si>
  <si>
    <t>Ecosystem-level models that trace flows of mass and energy to quantify species interactions are important tools in whole ecosystem-based approaches to managing marine resources. A critical input parameter for such models is an estimate of the consumption rates and biomasses of prey consumed by fish populations. Here we estimate the annual prey consumption of an abundant coastal piscivore, Arripis trutta, which may exert substantial top-down control on its prey over its broad latitudinal range (28-43 degrees S) in the coastal waters off south-eastern (SE) Australia. Three independent techniques were used to estimate annual prey consumption at two environmentally-relevant temperatures, 15 and 20 degrees C: experimental gastric evacuation experiments (coupled with stomach content analyses); bioenergetics modelling, and; empirical regression modelling. Each technique yielded a similar range of estimates with annual food consumed/biomass (Q/B) ranging from 3.20 to 4.02 at 15 degrees C and 4.23 to 5.25 at 20 degrees C. Using an estimated A. trutta stock biomass in SE Australia of 10,000 t, total mean annual prey consumption was estimated to be 42,200 t, consisting primarily (93%) of small zooplanktivorous teleosts, particularly Australian sardines Sardinops sagax (35%) and scads Trachurus spp. (30%). These results indicate that A. trutta do possess a top-down influence on the pelagic ecosystem of coastal SE Australia via consumption of considerable biomasses of small pelagic fish. However, despite the use of a maximum regional estimate of A. trutta abundance and the presence of at least two other ecologically similar predatory fish species with higher annual prey consumption rates in SE Australian coastal waters, A. trutta may remove only a small proportion (similar to 15%) of the estimated spawning biomasses of its major prey species in this region annually. The multiple-technique approach used in this study has for the first time quantified the diet of A. trutta in SE Australia and provided broad and repeatable estimates of its annual prey consumption for use in ecosystem models designed to manage coastal fisheries resources in this region. Crown Copyright (C) 2014 Published by Elsevier B.V. All rights reserved.</t>
  </si>
  <si>
    <t>[Hughes, Julian M.; Stewart, John] New South Wales Dept Primary Ind, Sydney Inst Marine Sci, Mosman, NSW 2088, Australia; [Hughes, Julian M.; Suthers, Iain M.] Univ New S Wales, Sch Biol Earth &amp; Environm Sci, Fisheries &amp; Marine Environm Res Facil, Sydney, NSW 2052, Australia; [Lyle, Jeremy M.] Univ Tasmania, Inst Marine &amp; Antarctic Studies, Hobart, Tas 7001, Australia</t>
  </si>
  <si>
    <t>NSW Department of Primary Industries; Sydney Institute of Marine Science; University of New South Wales Sydney; University of Tasmania</t>
  </si>
  <si>
    <t>Hughes, JM (corresponding author), New South Wales Dept Primary Ind, Sydney Inst Marine Sci, Bldg 19,Chowder Bay Rd, Mosman, NSW 2088, Australia.</t>
  </si>
  <si>
    <t>Julian.Hughes@dpi.nsw.gov.au</t>
  </si>
  <si>
    <t>Stewart, John/N-7330-2016; Hughes, Julian/D-2695-2017; Lyle, Jeremy/J-7170-2014; Suthers, Iain/C-4559-2008</t>
  </si>
  <si>
    <t>Hughes, Julian/0000-0002-0884-8386; Lyle, Jeremy/0000-0001-9670-5854; Suthers, Iain/0000-0002-9340-7461</t>
  </si>
  <si>
    <t>Fisheries Research and Development Corporation [2006/018]; NSW Recreational Saltwater Fishing Trust; NSW Department of Primary Industries</t>
  </si>
  <si>
    <t>Fisheries Research and Development Corporation; NSW Recreational Saltwater Fishing Trust; NSW Department of Primary Industries</t>
  </si>
  <si>
    <t>We thank two anonymous reviewers for extremely helpful and constructive comments on earlier drafts of this manuscript. Funding and support for this study were provided by the Fisheries Research and Development Corporation (Project No. 2006/018), the NSW Recreational Saltwater Fishing Trust, and the NSW Department of Primary Industries. Numerous enthusiastic volunteer anglers helped collect wild fish for use in aquaria experiments and Jerom Stocks and Matt Lockett provided assistance during experimental trials. David Barker maintained fish in captivity.</t>
  </si>
  <si>
    <t>0022-0981</t>
  </si>
  <si>
    <t>1879-1697</t>
  </si>
  <si>
    <t>J EXP MAR BIOL ECOL</t>
  </si>
  <si>
    <t>J. Exp. Mar. Biol. Ecol.</t>
  </si>
  <si>
    <t>10.1016/j.jembe.2014.05.026</t>
  </si>
  <si>
    <t>Ecology; Marine &amp; Freshwater Biology</t>
  </si>
  <si>
    <t>Environmental Sciences &amp; Ecology; Marine &amp; Freshwater Biology</t>
  </si>
  <si>
    <t>AL4TU</t>
  </si>
  <si>
    <t>WOS:000339128500023</t>
  </si>
  <si>
    <t>Dupont, F; Picard, G; Royer, A; Fily, M; Roy, A; Langlois, A; Champollion, N</t>
  </si>
  <si>
    <t>Dupont, Florent; Picard, Ghislain; Royer, Alain; Fily, Michel; Roy, Alexandre; Langlois, Alexandre; Champollion, Nicolas</t>
  </si>
  <si>
    <t>Modeling the Microwave Emission of Bubbly Ice: Applications to Blue Ice and Superimposed Ice in the Antarctic and Arctic</t>
  </si>
  <si>
    <t>IEEE TRANSACTIONS ON GEOSCIENCE AND REMOTE SENSING</t>
  </si>
  <si>
    <t>Dense media radiative transfer (DMRT) theory; microwave; modeling; remote sensing; snow; superimposed ice</t>
  </si>
  <si>
    <t>RADIATIVE-TRANSFER THEORY; QUASI-CRYSTALLINE APPROXIMATION; BRIGHTNESS TEMPERATURE; CLIMATE-CHANGE; SURFACE-AREA; INFRARED REFLECTANCE; TIME-SERIES; DRY SNOW; REMOTE; CAP</t>
  </si>
  <si>
    <t>Passive microwave remote sensing is extensively used in polar regions to study the cryosphere. To better understand the measured signal above continental ice-covered areas, our objective is to estimate the microwave emission of bubbly-ice surfaces using a physically based multilayer electromagnetic model, i.e., the dense media radiative transfer-multilayer model (DMRT-ML). This model accounts for ice layers with variable amounts of bubbles. Each layer is fully described by its temperature, density, thickness, and air bubble radius. Simulations are performed using in situ data from two distinct sites: one in Antarctica on a coastal Blue Ice Area near the Cap Prud'Homme (CPH) station in Adelie Land and the other on the Barnes Ice Cap (BIC) located on Baffin Island in the Arctic. On this ice cap, superimposed ice with seasonal snow cover about 1 m thick was observed. In both cases, several ice parameters were measured or estimated, and the others were optimized. Results of the DMRT-ML simulations are compared with in situ surface-based radiometer (SBR) measurements at 11, 19, and 37 GHz at both horizontal and vertical polarizations. Results show that DMRT-ML is able to reproduce the microwave emission of different ice types with good accuracy when accounting for ice bubbles: final RMSE = 7.37 K and 8.42 K, for CPH and BIC, respectively, compared with RMSE ranging from 15 K to 40 K without bubbles. Comparisons between SBR measurements and satellite data for the BIC also show good agreement (RMSE = 4.1 K for 19 and 37 GHz, both polarizations).</t>
  </si>
  <si>
    <t>[Dupont, Florent; Picard, Ghislain; Fily, Michel; Champollion, Nicolas] CNRS, Lab Glaciol &amp; Geophys Environm, F-38041 Grenoble, France; [Dupont, Florent; Picard, Ghislain; Fily, Michel; Champollion, Nicolas] Univ Grenoble Alpes, Lab Glaciol &amp; Geophys Environm, F-38041 Grenoble, France; [Dupont, Florent; Royer, Alain; Roy, Alexandre; Langlois, Alexandre] Univ Sherbrooke, Ctr Applicat &amp; Rech Teledetect, Sherbrooke, PQ J1K 2R1, Canada</t>
  </si>
  <si>
    <t>Centre National de la Recherche Scientifique (CNRS); Communaute Universite Grenoble Alpes; Universite Grenoble Alpes (UGA); Communaute Universite Grenoble Alpes; Universite Grenoble Alpes (UGA); University of Sherbrooke</t>
  </si>
  <si>
    <t>Dupont, F (corresponding author), CNRS, Lab Glaciol &amp; Geophys Environm, F-38041 Grenoble, France.</t>
  </si>
  <si>
    <t>florent.dupont@ujf-grenoble.fr</t>
  </si>
  <si>
    <t>Picard, Ghislain/D-4246-2013; Champollion, Nicolas/U-4188-2017; Champollion, Nicolas/B-7921-2014</t>
  </si>
  <si>
    <t>Picard, Ghislain/0000-0003-1475-5853; Champollion, Nicolas/0000-0001-7988-4694</t>
  </si>
  <si>
    <t>Natural Sciences and Engineering Research Council of Canada; Centre National de la Recherche Scientifique; 63e Session Commission Permanente de Cooperation Franco-Quebecoise (BIENNUM); FRQNT Quebec (Regroupement strategique GEC3)</t>
  </si>
  <si>
    <t>Natural Sciences and Engineering Research Council of Canada(Natural Sciences and Engineering Research Council of Canada (NSERC)CGIAR); Centre National de la Recherche Scientifique(Centre National de la Recherche Scientifique (CNRS)); 63e Session Commission Permanente de Cooperation Franco-Quebecoise (BIENNUM); FRQNT Quebec (Regroupement strategique GEC3)</t>
  </si>
  <si>
    <t>This work was supported in part by the Natural Sciences and Engineering Research Council of Canada, by the Centre National de la Recherche Scientifique, by the 63e Session Commission Permanente de Cooperation Franco-Quebecoise (BIENNUM 2011-2012), and by FRQNT Quebec (Regroupement strategique GEC3).</t>
  </si>
  <si>
    <t>IEEE-INST ELECTRICAL ELECTRONICS ENGINEERS INC</t>
  </si>
  <si>
    <t>PISCATAWAY</t>
  </si>
  <si>
    <t>445 HOES LANE, PISCATAWAY, NJ 08855-4141 USA</t>
  </si>
  <si>
    <t>0196-2892</t>
  </si>
  <si>
    <t>1558-0644</t>
  </si>
  <si>
    <t>IEEE T GEOSCI REMOTE</t>
  </si>
  <si>
    <t>IEEE Trans. Geosci. Remote Sensing</t>
  </si>
  <si>
    <t>10.1109/TGRS.2014.2299829</t>
  </si>
  <si>
    <t>Geochemistry &amp; Geophysics; Engineering, Electrical &amp; Electronic; Remote Sensing; Imaging Science &amp; Photographic Technology</t>
  </si>
  <si>
    <t>Geochemistry &amp; Geophysics; Engineering; Remote Sensing; Imaging Science &amp; Photographic Technology</t>
  </si>
  <si>
    <t>AI8NC</t>
  </si>
  <si>
    <t>WOS:000337173200053</t>
  </si>
  <si>
    <t>Sturevik-Storm, A; Aldahan, A; Possnert, G; Berggren, AM; Muscheler, R; Dahl-Jensen, D; Vinther, BM; Usoskin, I</t>
  </si>
  <si>
    <t>Sturevik-Storm, Anna; Aldahan, Ala; Possnert, Goran; Berggren, Ann-Marie; Muscheler, Raimund; Dahl-Jensen, Dorthe; Vinther, Bo M.; Usoskin, Ilya</t>
  </si>
  <si>
    <t>10Be climate fingerprints during the Eemian in the NEEM ice core, Greenland</t>
  </si>
  <si>
    <t>SCIENTIFIC REPORTS</t>
  </si>
  <si>
    <t>SOLAR-ACTIVITY; ICELAND BASIN; ANTARCTIC ICE; BERYLLIUM 10; VARIABILITY; RECORD; DELTA-O-18; DEPOSITION; FIELD; LAKE</t>
  </si>
  <si>
    <t>Several deep Greenland ice cores have been retrieved, however, capturing the Eemian period has been problematic due to stratigraphic disturbances in the ice. The new Greenland deep ice core from the NEEM site (77.456 degrees N, 51.066 degrees W, 2450 m.a.s.l) recovered a relatively complete Eemian record. Here we discuss the cosmogenic Be-10 isotope record from this core. The results show Eemian average 10Be concentrations about 0.7 times lower than in the Holocene which suggests a warmer climate and approximately 65-90% higher precipitation in Northern Greenland compared to today. Effects of shorter solar variations on 10Be concentration are smoothed out due to coarse time resolution, but occurrence of a solar maximum at 115.26-115.36 kyr BP is proposed. Relatively high 10Be concentrations are found in the basal ice sections of the core which may originate from the glacial-interglacial transition and relate to a geomagnetic excursion about 200 kyr BP.</t>
  </si>
  <si>
    <t>[Sturevik-Storm, Anna; Aldahan, Ala; Berggren, Ann-Marie] Uppsala Univ, Dept Earth Sci, S-75236 Uppsala, Sweden; [Aldahan, Ala] United Arab Emirates Univ, Dept Geol, Al Ain, U Arab Emirates; [Possnert, Goran] Uppsala Univ, Tandem Lab, S-75120 Uppsala, Sweden; [Muscheler, Raimund] Lund Univ, Dept Geol, S-22362 Lund, Sweden; [Dahl-Jensen, Dorthe; Vinther, Bo M.] Univ Copenhagen, Niels Bohr Inst, Ctr Ice &amp; Climate, DK-2100 Copenhagen K, Denmark; [Usoskin, Ilya] 90014 Univ Oulu, Sodankyla Geophys Observ, Oulu Unit, Oulu, Finland; [Usoskin, Ilya] 90014 Univ Oulu, Dept Phys, Oulu, Finland</t>
  </si>
  <si>
    <t>Uppsala University; United Arab Emirates University; Uppsala University; Lund University; University of Copenhagen; Niels Bohr Institute; University of Oulu; University of Oulu</t>
  </si>
  <si>
    <t>Sturevik-Storm, A (corresponding author), Uppsala Univ, Dept Earth Sci, Villavagen 16 B, S-75236 Uppsala, Sweden.</t>
  </si>
  <si>
    <t>anna.sturevik_storm@geo.uu.se</t>
  </si>
  <si>
    <t>Dahl-Jensen, Dorthe/AAO-6951-2020; Usoskin, Ilya G./E-5089-2014</t>
  </si>
  <si>
    <t>Dahl-Jensen, Dorthe/0000-0002-1474-1948; Muscheler, Raimund/0000-0003-2772-3631; Vinther, Bo/0000-0002-6078-771X</t>
  </si>
  <si>
    <t>Swedish Research Council; Belgium (FNRS-CFB); Belgium (FWO); Canada (NRCan/GSC); China (CAS); Denmark (FIST); France (IPEV); France (CNRS/INSU); France (CEA); France (ANR); Germany (AWI); Iceland (RannIs); Japan (NIPR); Korea (KOPRI); The Netherlands (NWO/ALW); Sweden (VR); Switzerland (SNF); United Kingdom (NERC); USA (US NSF, Office of Polar Programs); Academy of Finland [272157]</t>
  </si>
  <si>
    <t>Swedish Research Council(Swedish Research Council);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Programs); Academy of Finland(Research Council of Finland)</t>
  </si>
  <si>
    <t>We acknowledge financial support from the Swedish Research Council.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I.U. acknowledges the financial support by the Academy of Finland to the ReSoLVE Center of Excellence (project no. 272157).</t>
  </si>
  <si>
    <t>NATURE PORTFOLIO</t>
  </si>
  <si>
    <t>BERLIN</t>
  </si>
  <si>
    <t>HEIDELBERGER PLATZ 3, BERLIN, 14197, GERMANY</t>
  </si>
  <si>
    <t>2045-2322</t>
  </si>
  <si>
    <t>SCI REP-UK</t>
  </si>
  <si>
    <t>Sci Rep</t>
  </si>
  <si>
    <t>SEP 30</t>
  </si>
  <si>
    <t>10.1038/srep06408</t>
  </si>
  <si>
    <t>AQ0CE</t>
  </si>
  <si>
    <t>WOS:000342448600001</t>
  </si>
  <si>
    <t>Magalhaes, CM; Machado, A; Frank-Fahle, B; Lee, CK; Cary, SC</t>
  </si>
  <si>
    <t>Magalhaes, Catarina M.; Machado, Ana; Frank-Fahle, Beatrice; Lee, Charles K.; Cary, S. Craig</t>
  </si>
  <si>
    <t>The ecological dichotomy of ammonia-oxidizing archaea and bacteria in the hyper-arid soils of the Antarctic Dry Valleys</t>
  </si>
  <si>
    <t>FRONTIERS IN MICROBIOLOGY</t>
  </si>
  <si>
    <t>archaea; AOA; bacteria; AOB; ammonia oxidizers; Antarctica; Dry Valleys</t>
  </si>
  <si>
    <t>GEL-ELECTROPHORESIS ANALYSIS; MESOPHILIC CRENARCHAEOTA; COMMUNITY STRUCTURE; NITRIFYING ARCHAEA; VICTORIA LAND; DIVERSITY; ABUNDANCE; OXIDATION; NITROGEN; GENES</t>
  </si>
  <si>
    <t>The McMurdo Dry Valleys of Antarctica are considered to be one of the most physically and chemically extreme terrestrial environments on the Earth. However, little is known about the organisms involved in nitrogen transformations in these environments. In this study, we investigated the diversity and abundance of ammonia-oxidizing archaea (AOA) and bacteria (AOB) in four McMurdo Dry Valleys with highly variable soil geochemical properties and climatic conditions: Miers Valley, Upper Wright Valley, Beacon Valley and Battleship Promontory. The bacterial communities of these four Dry Valleys have been examined previously, and the results suggested that the extremely localized bacterial diversities are likely driven by the disparate physicochemical conditions associated with these locations. Here we showed that AOB and AOA amoA gene diversity was generally low; only four AOA and three AOB operational taxonomic units (OTUs) were identified from a total of 420 AOA and AOB amoA clones. Quantitative PCR analysis of amoA genes revealed clear differences in the relative abundances of AOA and AOB amoA genes among samples from the four dry valleys. Although AOB amoA gene dominated the ammoniaoxidizing community in soils from Miers Valley and Battleship Promontory, AOA amoA gene were more abundant in samples from Upper Wright and Beacon Valleys, where the environmental conditions are considerably harsher (e.g., extremely low soil C/N ratios and much higher soil electrical conductivity). Correlations between environmental variables and amoA genes copy numbers, as examined by redundancy analysis (RDA), revealed that higher A0A/A0B ratios were closely related to soils with high salts and Cu contents and low pH. Our findings hint at a dichotomized distribution of AOA and AOB within the Dry Valleys, potentially driven by environmental constraints.</t>
  </si>
  <si>
    <t>[Magalhaes, Catarina M.] Univ Porto, Interdisciplinary Ctr Marine &amp; Environm Res, P-4050123 Oporto, Portugal; [Machado, Ana] Univ Porto, Inst Biomed Sci, P-4050123 Oporto, Portugal; [Frank-Fahle, Beatrice] Helmholtz Zentrum Munchen, German Res Ctr Environm Hlth, Inst Groundwater Ecol, Neuherberg, Germany; [Lee, Charles K.; Cary, S. Craig] Univ Waikato, Int Ctr Terr Antarctic Res, Hamilton, New Zealand; [Cary, S. Craig] Univ Delaware, Coll Earth Ocean &amp; Environm, Lewes, DE 19958 USA</t>
  </si>
  <si>
    <t>Universidade do Porto; Universidade do Porto; Helmholtz Association; Helmholtz-Center Munich - German Research Center for Environmental Health; University of Waikato; University of Delaware</t>
  </si>
  <si>
    <t>Magalhaes, CM (corresponding author), Univ Porto, Interdisciplinary Ctr Marine &amp; Environm Res, Rua Bragas 289, P-4050123 Oporto, Portugal.</t>
  </si>
  <si>
    <t>cmag@ciimar.up.pt</t>
  </si>
  <si>
    <t>Machado, Ana/HLV-9704-2023; lee, charles/AAW-6627-2021; Lee, Charles/AAC-9417-2019; Machado, Ana/AAL-7777-2020; Magalhaes, Catarina/A-6836-2016</t>
  </si>
  <si>
    <t>lee, charles/0000-0001-6906-4895; Lee, Charles/0000-0002-6562-4733; Machado, Ana/0000-0003-0732-1571; Magalhaes, Catarina/0000-0001-9576-2398; Cary, Stephen/0000-0002-2876-2387</t>
  </si>
  <si>
    <t>New Zealand Foundation for Research, Science and Technology [UOWX0710]; Portuguese Science and Technology Foundation (FCT); FEDER [PTDC/MAR/1127213/2009-FCOMP-01-0124-FEDER-015422]; European Regional Development Fund (ERDF) through the COMPETE Operational Competitiveness Program and national funds through FCT-Foundation for Science and Technology [PEst-C/MAR/LA0015/2011]; PROPOLAR; FRST Postdoctoral Research Fellowship [UOWX0715]; New Zealand Marsden Fund [UOW1003]; New Zealand Antarctic Research Institute [NZARI2013-7]</t>
  </si>
  <si>
    <t>New Zealand Foundation for Research, Science and Technology(New Zealand Foundation for Research, Science and Technology); Portuguese Science and Technology Foundation (FCT)(Fundacao para a Ciencia e a Tecnologia (FCT)); FEDER(European Union (EU)Spanish Government); European Regional Development Fund (ERDF) through the COMPETE Operational Competitiveness Program and national funds through FCT-Foundation for Science and Technology(European Union (EU)Marie Curie Actions); PROPOLAR; FRST Postdoctoral Research Fellowship; New Zealand Marsden Fund(Royal Society of New ZealandMarsden Fund (NZ)); New Zealand Antarctic Research Institute</t>
  </si>
  <si>
    <t>We are sincerely grateful to Antarctica New Zealand for providing logistics support We thank L. Torgo for their assistance in statistical analyses, F. Castro in designing the new primers, and A. Bordalo and A. P. Mucha for the loan of the real-time PCR system (CFX96, FiioRad) and laboratory space for sampling processing. We also thank W. J. Wiebe for the extremely helpful comments on the manuscript. This study was conducted as part of the New Zealand Latitudinal Gradient Project (LGP) and the New Zealand Terrestrial Antarctic Biocomplexity Survey (nzTABS), a New Zealand International Polar Year program supported through a grant from the New Zealand Foundation for Research, Science and Technology to S. Craig Cary (UOWX0710). This study was funded by the Portuguese Science and Technology Foundation (FCT) through a researcher starting grant to Catarina M. Magalhaes (PUT 2012) and by PUT and FEDER throughout a grant to Catarina M. Magalhaes (PTDC/MAR/1127213/2009-FCOMP-01-0124-FEDER-015422), and partially supported by the European Regional Development Fund (ERDF) through the COMPETE Operational Competitiveness Program and national funds through FCT-Foundation for Science and Technology, under the project PEst-C/MAR/LA0015/2011. This study was also funded by PROPOLAR through a grant to Catarina M. Magalhaes. CKL was supported by FRST Postdoctoral Research Fellowship (UOWX0715), the New Zealand Marsden Fund (UOW1003), and the New Zealand Antarctic Research Institute (NZARI2013-7),</t>
  </si>
  <si>
    <t>FRONTIERS MEDIA SA</t>
  </si>
  <si>
    <t>LAUSANNE</t>
  </si>
  <si>
    <t>AVENUE DU TRIBUNAL FEDERAL 34, LAUSANNE, CH-1015, SWITZERLAND</t>
  </si>
  <si>
    <t>1664-302X</t>
  </si>
  <si>
    <t>FRONT MICROBIOL</t>
  </si>
  <si>
    <t>Front. Microbiol.</t>
  </si>
  <si>
    <t>10.3389/fmicb.2014.00515</t>
  </si>
  <si>
    <t>Microbiology</t>
  </si>
  <si>
    <t>AQ0QX</t>
  </si>
  <si>
    <t>WOS:000342488900001</t>
  </si>
  <si>
    <t>Lam, MM; Chisham, G; Freeman, MP</t>
  </si>
  <si>
    <t>Lam, Mai Mai; Chisham, Gareth; Freeman, Mervyn P.</t>
  </si>
  <si>
    <t>Solar wind-driven geopotential height anomalies originate in the Antarctic lower troposphere</t>
  </si>
  <si>
    <t>GEOPHYSICAL RESEARCH LETTERS</t>
  </si>
  <si>
    <t>CLIMATE; VARIABILITY; IRRADIANCE</t>
  </si>
  <si>
    <t>We use National Centers for Environmental Prediction/National Center for Atmospheric Research reanalysis data to estimate the altitude and time lag dependence of the correlation between the interplanetary magnetic field component, B-y, and the geopotential height anomaly above Antarctica. The correlation is most statistically significant within the troposphere. The peak in the correlation occurs at greater time lags at the tropopause (similar to 6-8 days) and in the midtroposphere (similar to 4 days) than in the lower troposphere (similar to 1 day). This supports a mechanism involving the action of the global atmospheric electric circuit, modified by variations in the solar wind, on lower tropospheric clouds. The increase in time lag with increasing altitude is consistent with the upward propagation by conventional atmospheric processes of the solar wind-induced variability in the lower troposphere. This is in contrast to the downward propagation of atmospheric effects to the lower troposphere from the stratosphere due to solar variability-driven mechanisms involving ultraviolet radiation or energetic particle precipitation.</t>
  </si>
  <si>
    <t>[Lam, Mai Mai; Chisham, Gareth; Freeman, Mervyn P.] British Antarctic Survey, Nat Environm Res Council, Cambridge CB3 0ET, England</t>
  </si>
  <si>
    <t>UK Research &amp; Innovation (UKRI); Natural Environment Research Council (NERC); NERC British Antarctic Survey</t>
  </si>
  <si>
    <t>Lam, MM (corresponding author), British Antarctic Survey, Nat Environm Res Council, Cambridge CB3 0ET, England.</t>
  </si>
  <si>
    <t>maimailam7@gmail.com</t>
  </si>
  <si>
    <t>Freeman, Mervyn/E-5687-2019</t>
  </si>
  <si>
    <t>Freeman, Mervyn/0000-0002-8653-8279</t>
  </si>
  <si>
    <t>COST Action [ES1005 TOSCA]; UK Natural Environment Research Council (NERC) [NE/I024852/1]; NERC [bas0100023, NE/I024852/1] Funding Source: UKRI; Natural Environment Research Council [bas0100023, NE/I024852/1] Funding Source: researchfish</t>
  </si>
  <si>
    <t>COST Action(European Cooperation in Science and Technology (COST)); 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</si>
  <si>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NCEP/NCAR reanalysis data were provided by the NOAA/OAR/ESRL PSD, Boulder, Colorado, USA, from their website http://www.esrl.noaa.gov/psd/. The OMNI data were obtained from the GSFC/SPDF OMNIWeb interface at http://omniweb.gsfc.nasa.gov. We thank the COST Action ES1005 TOSCA for financial support to attend TOSCA workshops which stimulated useful discussions contributing to the development of this work. The authors gratefully acknowledge support by the UK Natural Environment Research Council (NERC) grant NE/I024852/1.</t>
  </si>
  <si>
    <t>0094-8276</t>
  </si>
  <si>
    <t>1944-8007</t>
  </si>
  <si>
    <t>GEOPHYS RES LETT</t>
  </si>
  <si>
    <t>Geophys. Res. Lett.</t>
  </si>
  <si>
    <t>SEP 28</t>
  </si>
  <si>
    <t>10.1002/2014GL061421</t>
  </si>
  <si>
    <t>AT4MO</t>
  </si>
  <si>
    <t>WOS:000344913700026</t>
  </si>
  <si>
    <t>Chen, XH; Huang, XL; Flanner, MG</t>
  </si>
  <si>
    <t>Chen, Xiuhong; Huang, Xianglei; Flanner, Mark G.</t>
  </si>
  <si>
    <t>Sensitivity of modeled far-IR radiation budgets in polar continents to treatments of snow surface and ice cloud radiative properties</t>
  </si>
  <si>
    <t>ASYMMETRY PARAMETERS; MULTIPLE-SCATTERING; PHASE FUNCTION; CLIMATE MODEL; PART I; LONGWAVE; EMISSIVITY; IMPACT; WINDOW; PURE</t>
  </si>
  <si>
    <t>While most general circulation models assume spectrally independent surface emissivity and nonscattering clouds in their longwave radiation treatment, spectral variation of the index of refraction of ice indicates that in the far IR, snow surface emissivity can vary considerably and ice clouds can cause nonnegligible scattering. These effects are more important for high-elevation polar continents where the dry and cold atmosphere is not opaque in the far IR. We carry out sensitivity studies to show that in a winter month over the Antarctic Plateau including snow surface spectral emissivity and ice cloud scattering in radiative transfer calculation reduces net upward far-IR flux at both top of atmosphere and surface. The magnitudes of such reductions in monthly mean all-sky far-IR flux range from 0.72 to 1.47 Wm(-2), with comparable contributions from the cloud scattering and the surface spectral emissivity. The reduction is also sensitive to sizes of both snow grains and cloud particles.</t>
  </si>
  <si>
    <t>[Chen, Xiuhong; Huang, Xianglei; Flanner, Mark G.] Univ Michigan, Dept Atmospher Ocean &amp; Space Sci, Ann Arbor, MI 48109 USA</t>
  </si>
  <si>
    <t>University of Michigan System; University of Michigan</t>
  </si>
  <si>
    <t>Huang, XL (corresponding author), Univ Michigan, Dept Atmospher Ocean &amp; Space Sci, Ann Arbor, MI 48109 USA.</t>
  </si>
  <si>
    <t>xianglei@umich.edu</t>
  </si>
  <si>
    <t>Flanner, Mark/C-6139-2011; Richards, Amber/K-8203-2015; Huang, Xianglei/G-6127-2011; Chen, Xiuhong/P-4030-2014; Huang, Xianglei/E-6273-2018</t>
  </si>
  <si>
    <t>Flanner, Mark/0000-0003-4012-174X; Huang, Xianglei/0000-0002-7129-614X;</t>
  </si>
  <si>
    <t>NASA CLARREO project [NNX11AE68G]; NASA [NNX11AE68G, 147272] Funding Source: Federal RePORTER</t>
  </si>
  <si>
    <t>NASA CLARREO project; NASA(National Aeronautics &amp; Space Administration (NASA))</t>
  </si>
  <si>
    <t>We thank M. Hori for providing the in situ measurements of snow middle IR spectral emissivity. We wish to thank two anonymous reviewers for their insightful comments, especially for pointing us to key literatures about in situ measurements of snow emissivity. We are also indebted to S. Warren for guiding us to an in situ study about the size of precipitating ice crystals in the Antarctic winter. X. L. Huang is thankful to Von P. Walden for stimulating discussions. The CloudSat data were obtained from the CloudSat Data Processing Center. The ECMWF-Interim data were obtained from http://data.ecmwf.int/data/. This research is supported by the NASA CLARREO project under grant NNX11AE68G awarded to the University of Michigan.</t>
  </si>
  <si>
    <t>10.1002/2014GL061216</t>
  </si>
  <si>
    <t>Green Published, Bronze</t>
  </si>
  <si>
    <t>WOS:000344913700029</t>
  </si>
  <si>
    <t>Abrahamsen, EP</t>
  </si>
  <si>
    <t>Abrahamsen, E. P.</t>
  </si>
  <si>
    <t>Sustaining observations in the polar oceans</t>
  </si>
  <si>
    <t>PHILOSOPHICAL TRANSACTIONS OF THE ROYAL SOCIETY A-MATHEMATICAL PHYSICAL AND ENGINEERING SCIENCES</t>
  </si>
  <si>
    <t>sustained observations; Arctic; Antarctic</t>
  </si>
  <si>
    <t>ANTARCTIC CIRCUMPOLAR CURRENT; SEA-ICE THICKNESS; VARIABILITY; BENEATH; CIRCULATION; TRANSPORT; EXTENT; SHELF; ARGO; CO2</t>
  </si>
  <si>
    <t>Polar oceans present a unique set of challenges to sustained observations. Sea ice cover restricts navigation for ships and autonomous measurement platforms alike, and icebergs present a hazard to instruments deployed in the upper ocean and in shelf seas. However, the important role of the poles in the global ocean circulation provides ample justification for sustained observations in these regions, both to monitor the rapid changes taking place, and to better understand climate processes in these traditionally poorly sampled areas. In the past, the vast majority of polar measurements took place in the summer. In recent years, novel techniques such as miniature CTD (conductivity-temperature-depth) tags carried by seals have provided an explosion in year-round measurements in areas largely inaccessible to ships, and, as ice avoidance is added to autonomous profiling floats and gliders, these promise to provide further enhancements to observing systems. In addition, remote sensing provides vital information about changes taking place in sea ice cover at both poles. To make these observations sustainable into the future, improved international coordination and collaboration is necessary to gain optimum utilization of observing networks.</t>
  </si>
  <si>
    <t>British Antarctic Survey, Nat Environm Res Council, Cambridge CB3 0ET, England</t>
  </si>
  <si>
    <t>Abrahamsen, EP (corresponding author), British Antarctic Survey, Nat Environm Res Council, Madingley Rd, Cambridge CB3 0ET, England.</t>
  </si>
  <si>
    <t>epab@bas.ac.uk</t>
  </si>
  <si>
    <t>Abrahamsen, Povl/B-2140-2008</t>
  </si>
  <si>
    <t>Abrahamsen, Povl/0000-0001-5924-5350</t>
  </si>
  <si>
    <t>Natural Environment Research Council; Natural Environment Research Council [bas0100028] Funding Source: researchfish; NERC [bas0100028]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</si>
  <si>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</si>
  <si>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Natural Environment Research Council.</t>
  </si>
  <si>
    <t>ROYAL SOC</t>
  </si>
  <si>
    <t>6-9 CARLTON HOUSE TERRACE, LONDON SW1Y 5AG, ENGLAND</t>
  </si>
  <si>
    <t>1364-503X</t>
  </si>
  <si>
    <t>1471-2962</t>
  </si>
  <si>
    <t>PHILOS T R SOC A</t>
  </si>
  <si>
    <t>Philos. Trans. R. Soc. A-Math. Phys. Eng. Sci.</t>
  </si>
  <si>
    <t>10.1098/rsta.2013.0337</t>
  </si>
  <si>
    <t>AN7SV</t>
  </si>
  <si>
    <t>Bronze, Green Accepted, Green Published</t>
  </si>
  <si>
    <t>WOS:000340801800005</t>
  </si>
  <si>
    <t>Cornwall, CE; Boyd, PW; McGraw, CM; Hepburn, CD; Pilditch, CA; Morris, JN; Smith, AM; Hurd, CL</t>
  </si>
  <si>
    <t>Cornwall, Christopher E.; Boyd, Philip W.; McGraw, Christina M.; Hepburn, Christopher D.; Pilditch, Conrad A.; Morris, Jaz N.; Smith, Abigail M.; Hurd, Catriona L.</t>
  </si>
  <si>
    <t>Diffusion Boundary Layers Ameliorate the Negative Effects of Ocean Acidification on the Temperate Coralline Macroalga Arthrocardia corymbosa (vol 9, e97235, 2014)</t>
  </si>
  <si>
    <t>PLOS ONE</t>
  </si>
  <si>
    <t>Correction</t>
  </si>
  <si>
    <t>[Cornwall, Christopher E.; Morris, Jaz N.; Hurd, Catriona L.] Univ Otago, Dept Bot, Dunedin, New Zealand; [Boyd, Philip W.] Ctr Phys &amp; Chem Oceanog, Natl Inst Water &amp; Atmospher Res NIWA, Dunedin, New Zealand; [McGraw, Christina M.] Clark Univ, Sch Chem &amp; Biochem, Worcester, MA 01610 USA; [McGraw, Christina M.] Univ New England, Sch Sci &amp; Technol, Armidale, NSW, Australia; [Pilditch, Conrad A.] Univ Waikato, Dept Biol Sci, Hamilton, New Zealand; [Hurd, Catriona L.] Univ Tasmania, Inst Marine &amp; Antarctic Studies, Hobart, Tas, Australia; [Hepburn, Christopher D.; Smith, Abigail M.] Univ Otago, Dept Marine Sci, Dunedin, New Zealand</t>
  </si>
  <si>
    <t>University of Otago; Clark University; University of New England; University of Waikato; University of Tasmania; University of Otago</t>
  </si>
  <si>
    <t>Cornwall, CE (corresponding author), Univ Otago, Dept Bot, POB 56, Dunedin, New Zealand.</t>
  </si>
  <si>
    <t>Hurd, Catriona L/J-2411-2013; Cornwall, Christopher Edward/J-3982-2012; Smith, Abigail M/F-7714-2011; Boyd, Philip/J-7624-2014</t>
  </si>
  <si>
    <t>Cornwall, Christopher Edward/0000-0002-6154-4082; McGraw, Christina/0000-0001-5841-0748; Boyd, Philip/0000-0001-7850-1911</t>
  </si>
  <si>
    <t>PUBLIC LIBRARY SCIENCE</t>
  </si>
  <si>
    <t>SAN FRANCISCO</t>
  </si>
  <si>
    <t>1160 BATTERY STREET, STE 100, SAN FRANCISCO, CA 94111 USA</t>
  </si>
  <si>
    <t>1932-6203</t>
  </si>
  <si>
    <t>PLoS One</t>
  </si>
  <si>
    <t>SEP 26</t>
  </si>
  <si>
    <t>e109468</t>
  </si>
  <si>
    <t>10.1371/journal.pone.0109468</t>
  </si>
  <si>
    <t>AQ3IP</t>
  </si>
  <si>
    <t>gold, Green Published</t>
  </si>
  <si>
    <t>WOS:000342685600106</t>
  </si>
  <si>
    <t>Tripathy, SC; Pavithran, S; Sabu, P; Naik, RK; Noronha, SB; Bhaskar, PV; Anilkumar, N</t>
  </si>
  <si>
    <t>Tripathy, S. C.; Pavithran, S.; Sabu, P.; Naik, R. K.; Noronha, S. B.; Bhaskar, P. V.; Anilkumar, N.</t>
  </si>
  <si>
    <t>Is primary productivity in the Indian Ocean sector of Southern Ocean affected by pigment packaging effect?</t>
  </si>
  <si>
    <t>CURRENT SCIENCE</t>
  </si>
  <si>
    <t>Light absorption; package effect; primary productivity; phytoplankton community</t>
  </si>
  <si>
    <t>AUSTRAL SUMMER; SILICIC-ACID; ABSORPTION-COEFFICIENTS; PHYTOPLANKTON GROWTH; ANTARCTIC PENINSULA; COASTAL WATERS; MARINE DIATOMS; POLAR FRONT; IRON; LIGHT</t>
  </si>
  <si>
    <t>The probable cause for photoinhibition of primary productivity (PP) in the surface layers of the Indian Ocean sector of the Southern Ocean (SO) was studied during the austral summer (February) 2010. Chlorophyll a (Chl a) and PP values were higher for polar stations compared to offshore stations and showed surface maxima; however, subsurface Chl a maxima was observed in two of the offshore stations. Biomass explained 36% of variance in PP and was not the sole controlling factor for PP variability. Euphotic zone integrated PP showed increasing trend from offshore to polar stations and varied from 159.56 to 1083.57 mg C m(-2) d(-1). The relationship between Chl a-specific PP (B-P) and the corresponding photosynthetically active radiation in the water column was linear for offshore and curvilinear for polar stations, indicating the occurrence of 'photoinhibition' in the surface waters of polar stations. This could be ascribed to the onset of pigment packaging (the 'package effect') as larger phytoplankton (diatoms) dominated the polar stations, where macronutrients ratio was ideal (N : P similar to 16 and N: Si similar to 1) for growth of diatoms. Despite high Chl a in the polar waters, the corresponding PP was proportionally not high compared to the offshore stations. We suggest that larger phytoplankton are susceptible to pigment packaging, which in turn decreases their light-absorption/photosynthetic efficiency, resulting in lower PP, which is otherwise expected to be higher in the presence of elevated biomass.</t>
  </si>
  <si>
    <t>[Tripathy, S. C.; Pavithran, S.; Sabu, P.; Naik, R. K.; Noronha, S. B.; Bhaskar, P. V.; Anilkumar, N.] Minist Earth Sci, Natl Ctr Antarctic &amp; Ocean Res, Vasco Da Gama 403804, Goa, India</t>
  </si>
  <si>
    <t>Ministry of Earth Sciences (MoES) - India; National Centre for Polar and Ocean Research (NCPOR)</t>
  </si>
  <si>
    <t>Tripathy, SC (corresponding author), Minist Earth Sci, Natl Ctr Antarctic &amp; Ocean Res, Vasco Da Gama 403804, Goa, India.</t>
  </si>
  <si>
    <t>sarat@ncaor.gov.in</t>
  </si>
  <si>
    <t>; Parli, Bhaskar/D-3652-2019</t>
  </si>
  <si>
    <t>Tripathy, Dr. Sarat Chandra/0000-0002-2437-8660; Parli, Bhaskar/0000-0002-0654-7520</t>
  </si>
  <si>
    <t>Ministry of Earth Sciences, Government of India</t>
  </si>
  <si>
    <t>Ministry of Earth Sciences, Government of India(Ministry of Earth Science (MoES), Government of India)</t>
  </si>
  <si>
    <t>We thank the Ministry of Earth Sciences, Government of India for providing financial support; and the Director, NCAOR, Goa for providing the necessary facilities and support for this work. We also thank Dr C. T. Achuthankutty and Dr K. P. Krishnan for help while conducting on-board experiments and providing constructive comments; C. K. Haridevi for helping in recalculating the PP values, and the captain, officers and crew members of ORV Sagar Nidhi for their assistance during on-board sampling. This is NCAOR contribution number 15/2014.</t>
  </si>
  <si>
    <t>INDIAN ACAD SCIENCES</t>
  </si>
  <si>
    <t>BANGALORE</t>
  </si>
  <si>
    <t>C V RAMAN AVENUE, SADASHIVANAGAR, P B #8005, BANGALORE 560 080, INDIA</t>
  </si>
  <si>
    <t>0011-3891</t>
  </si>
  <si>
    <t>CURR SCI INDIA</t>
  </si>
  <si>
    <t>Curr. Sci.</t>
  </si>
  <si>
    <t>SEP 25</t>
  </si>
  <si>
    <t>AQ1NH</t>
  </si>
  <si>
    <t>WOS:000342547600027</t>
  </si>
  <si>
    <t>Gales, N; Trathan, P; Worby, A</t>
  </si>
  <si>
    <t>Gales, Nick; Trathan, Phil; Worby, Anthony</t>
  </si>
  <si>
    <t>Social change affects Antarctic priorities</t>
  </si>
  <si>
    <t>NATURE</t>
  </si>
  <si>
    <t>Letter</t>
  </si>
  <si>
    <t>[Gales, Nick] Australian Antarctic Div, Hobart, Tas, Australia; [Trathan, Phil] British Antarctic Survey, Cambridge CB3 0ET, England; [Worby, Anthony] Antarctic Climate &amp; Ecosyst Cooperat Res Ctr, Hobart, Tas, Australia</t>
  </si>
  <si>
    <t>Australian Antarctic Division; UK Research &amp; Innovation (UKRI); Natural Environment Research Council (NERC); NERC British Antarctic Survey; Antarctic Climate &amp; Ecosystems Cooperative Research Centre (ACE CRC)</t>
  </si>
  <si>
    <t>Gales, N (corresponding author), Australian Antarctic Div, Hobart, Tas, Australia.</t>
  </si>
  <si>
    <t>nick.gales@aad.gov.au</t>
  </si>
  <si>
    <t>0028-0836</t>
  </si>
  <si>
    <t>1476-4687</t>
  </si>
  <si>
    <t>Nature</t>
  </si>
  <si>
    <t>10.1038/513487a</t>
  </si>
  <si>
    <t>AP4VB</t>
  </si>
  <si>
    <t>WOS:000342075800019</t>
  </si>
  <si>
    <t>Woehler, E; Patterson, TA; Bravington, MV; Hobday, AJ; Chambers, LE</t>
  </si>
  <si>
    <t>Woehler, Eric; Patterson, Toby A.; Bravington, Mark V.; Hobday, Alistair J.; Chambers, Lynda E.</t>
  </si>
  <si>
    <t>Climate and competition in abundance trends in native and invasive Tasmanian gulls</t>
  </si>
  <si>
    <t>MARINE ECOLOGY PROGRESS SERIES</t>
  </si>
  <si>
    <t>Climate variability; Environment; Time series; Population model; Seabird; Gulls; Invasive species</t>
  </si>
  <si>
    <t>NINO-SOUTHERN-OSCILLATION; POPULATION-DYNAMICS; REPRODUCTIVE-PERFORMANCE; AUSTRALIAN MARINE; CHANGE IMPACTS; SEABIRDS; FISHERIES; PACIFIC; VARIABILITY; CONSEQUENCES</t>
  </si>
  <si>
    <t>Climate and competition influence seabird population size yet are rarely considered simultaneously. Here, we consider the influence of climate on nominal abundance trends, and test for evidence of interspecific competition based on 31 yr of count data from 3 co-occurring gull species in southeastern Tasmania. The silver gull Chroicocephalus novaehollandiae and Pacific gull Larus pacificus are native, while the kelp gull L. dominicanus established in Tasmania from New Zealand in the 1950s. We applied population growth models where either growth rate or carrying capacity was a function of both large-scale climate variables and local conditions. For the kelp gull, a null model without any climate variables was selected, consistent with recent population establishment and increase. For the 2 native species, climate covariates were included, and for both, wind speed was important; for Pacific gulls, the El Nino-Southern Oscillation and regional sea surface temperature were also included in the selected model. These results are consistent with bottom-up forcing in the southeastern Tasmanian marine ecosystem; increased wind forcing leads to increased productivity and higher abundance of an important euphausiid prey species (Nyctiphanes australis). In years with lower wind speeds, warmer waters and higher water column stability, N. australis production is reduced. Models allowing competition effects by the kelp gull on the 2 native species performed poorly relative to models with climate covariates. Thus, competition alone is not a sufficient explanatory factor for observed changes in the 2 native species, and management strategies to maintain populations of the endemic Pacific gull should seek to reduce other stressors, including factors related to climate change.</t>
  </si>
  <si>
    <t>[Woehler, Eric] BirdLife Tasmania, Hobart, Tas 7001, Australia; [Woehler, Eric] Univ Tasmania, Sch Biol Sci, Sandy Bay, Beds 7005, Australia; [Woehler, Eric] Univ Tasmania, Inst Marine &amp; Antarctic Studies, Sandy Bay, Beds 7005, Australia; [Patterson, Toby A.; Hobday, Alistair J.] CSIRO, Climate Adaptat Flagship, Hobart, Tas 7000, Australia; [Bravington, Mark V.] CSIRO Math Informat &amp; Stat, Hobart, Tas 7000, Australia; [Chambers, Lynda E.] Ctr Australian Weather &amp; Climate Res, Melbourne, Vic 3001, Australia</t>
  </si>
  <si>
    <t>University of Tasmania; University of Tasmania; Commonwealth Scientific &amp; Industrial Research Organisation (CSIRO); Commonwealth Scientific &amp; Industrial Research Organisation (CSIRO); Commonwealth Scientific &amp; Industrial Research Organisation (CSIRO)</t>
  </si>
  <si>
    <t>Patterson, TA (corresponding author), CSIRO, Climate Adaptat Flagship, GPO Box 1538, Hobart, Tas 7000, Australia.</t>
  </si>
  <si>
    <t>toby.patterson@csiro.au</t>
  </si>
  <si>
    <t>Patterson, Toby A/B-3836-2011; Bravington, Mark V/E-8897-2010; Hobday, Alistair/A-1460-2012</t>
  </si>
  <si>
    <t>Patterson, Toby/0000-0002-7150-9205; Woehler, Eric/0000-0002-1125-0748</t>
  </si>
  <si>
    <t>Fisheries Research and Development Corporation-Department of Climate Change and Energy Efficiency (FRDC-DCCEE) on behalf of the Australian Government</t>
  </si>
  <si>
    <t>This research contributed to the project 'Human adaptation options to increase resilience of conservation-dependent seabirds and marine mammals impacted by climate change', which was supported by funding from the Fisheries Research and Development Corporation-Department of Climate Change and Energy Efficiency (FRDC-DCCEE) on behalf of the Australian Government. Three anonymous reviewers, Scott Foster and Geoff Tuck provided valuable comments and discussion that greatly improved the manuscript. The winter gull counts were initiated in 1980 by the late Dr. W. (Bill) Wakefield. His efforts to initiate and maintain the early counts are a testament to the contributions that community volunteers can make to scientific research. Hundreds of Birds Tasmania (now BirdLife Tasmania) members contributed to this long-term and continuing project; our sincere thanks go to them all.</t>
  </si>
  <si>
    <t>INTER-RESEARCH</t>
  </si>
  <si>
    <t>OLDENDORF LUHE</t>
  </si>
  <si>
    <t>NORDBUNTE 23, D-21385 OLDENDORF LUHE, GERMANY</t>
  </si>
  <si>
    <t>0171-8630</t>
  </si>
  <si>
    <t>1616-1599</t>
  </si>
  <si>
    <t>MAR ECOL PROG SER</t>
  </si>
  <si>
    <t>Mar. Ecol.-Prog. Ser.</t>
  </si>
  <si>
    <t>SEP 24</t>
  </si>
  <si>
    <t>10.3354/meps10886</t>
  </si>
  <si>
    <t>Ecology; Marine &amp; Freshwater Biology; Oceanography</t>
  </si>
  <si>
    <t>Environmental Sciences &amp; Ecology; Marine &amp; Freshwater Biology; Oceanography</t>
  </si>
  <si>
    <t>AQ6LP</t>
  </si>
  <si>
    <t>WOS:000342924200020</t>
  </si>
  <si>
    <t>Mehrabani, H; Ray, N; Tse, K; Evangelista, D</t>
  </si>
  <si>
    <t>Mehrabani, Homayun; Ray, Neil; Tse, Kyle; Evangelista, Dennis</t>
  </si>
  <si>
    <t>Bio-inspired design of ice-retardant devices based on benthic marine invertebrates: the effect of surface texture</t>
  </si>
  <si>
    <t>PEERJ</t>
  </si>
  <si>
    <t>Ice; Invertebrates; Antarctica; Benthic; Texture</t>
  </si>
  <si>
    <t>ANCHOR ICE; PROPAGATION; WETTABILITY; WATER</t>
  </si>
  <si>
    <t>Growth of ice on surfaces poses a challenge for both organisms and for devices that come into contact with liquids below the freezing point. Resistance of some organisms to ice formation and growth, either in subtidal environments (e.g., Antarctic anchor ice), or in environments with moisture and cold air (e.g., plants, intertidal) begs examination of how this is accomplished. Several factors may be important in promoting or mitigating ice formation. As a start, here we examine the effect of surface texture alone. We tested four candidate surfaces, inspired by hard-shelled marine invertebrates and constructed using a three-dimensional printing process. We examined sub-polar marine organisms to develop sample textures and screened them for ice formation and accretion in submerged conditions using previous methods for comparison to data for Antarctic organisms. The sub-polar organisms tested were all found to form ice readily. We also screened artificial 3-D printed samples using the same previous methods, and developed a new test to examine ice formation fromsurface droplets as might be encountered in environments with moist, cold air. Despite limitations inherent to our techniques, it appears surface texture plays only a small role in delaying the onset of ice formation: a stripe feature (corresponding to patterning found on valves of blue mussels, Mytilus edulis, or on the spines of the Antarctic sea urchin Sterechinus neumayeri) slowed ice formation an average of 25% compared to a grid feature (corresponding to patterning found on sub-polar butterclams, Saxidomas nuttalli). The geometric dimensions of the features have only a small (similar to 6%) effect on ice formation. Surface texture affects ice formation, but does not explain by itself the large variation in ice formation and species-specific ice resistance observed in other work. This suggests future examination of other factors, such as material elastic properties and surface coatings, and their interaction with surface pattern.</t>
  </si>
  <si>
    <t>[Mehrabani, Homayun; Ray, Neil] Univ Calif Berkeley, Dept Bioengn, Berkeley, CA 94720 USA; [Tse, Kyle] Univ Calif Berkeley, Dept Mech Engn, Berkeley, CA 94720 USA; [Evangelista, Dennis] Univ Calif Berkeley, Dept Integrat Biol, Berkeley, CA 94720 USA</t>
  </si>
  <si>
    <t>University of California System; University of California Berkeley; University of California System; University of California Berkeley; University of California System; University of California Berkeley</t>
  </si>
  <si>
    <t>Evangelista, D (corresponding author), Univ N Carolina, Dept Biol, Chapel Hill, NC 27514 USA.</t>
  </si>
  <si>
    <t>devangel77b@gmail.com</t>
  </si>
  <si>
    <t>Evangelista, Dennis J/N-4434-2013</t>
  </si>
  <si>
    <t>PEERJ INC</t>
  </si>
  <si>
    <t>341-345 OLD ST, THIRD FLR, LONDON, EC1V 9LL, ENGLAND</t>
  </si>
  <si>
    <t>2167-8359</t>
  </si>
  <si>
    <t>PeerJ</t>
  </si>
  <si>
    <t>SEP 23</t>
  </si>
  <si>
    <t>e588</t>
  </si>
  <si>
    <t>10.7717/peerj.588</t>
  </si>
  <si>
    <t>AY5OI</t>
  </si>
  <si>
    <t>Green Submitted, gold, Green Published</t>
  </si>
  <si>
    <t>WOS:000347621300008</t>
  </si>
  <si>
    <t>Zhang, C; Guy, RD; Mulloney, B; Zhang, QH; Lewis, TJ</t>
  </si>
  <si>
    <t>Zhang, Calvin; Guy, Robert D.; Mulloney, Brian; Zhang, Qinghai; Lewis, Timothy J.</t>
  </si>
  <si>
    <t>Neural mechanism of optimal limb coordination in crustacean swimming</t>
  </si>
  <si>
    <t>PROCEEDINGS OF THE NATIONAL ACADEMY OF SCIENCES OF THE UNITED STATES OF AMERICA</t>
  </si>
  <si>
    <t>locomotion; coupled oscillators; phase locking; metachronal waves</t>
  </si>
  <si>
    <t>CENTRAL PATTERN GENERATORS; CRAYFISH SWIMMERET SYSTEM; MOTOR PATTERN; INTERSEGMENTAL COORDINATION; MODULAR ORGANIZATION; OSCILLATOR MODELS; HOMARUS-GAMMARUS; ANTARCTIC KRILL; LOCOMOTION; MOVEMENTS</t>
  </si>
  <si>
    <t>A fundamental challenge in neuroscience is to understand how biologically salient motor behaviors emerge from properties of the underlying neural circuits. Crayfish, krill, prawns, lobsters, and other long-tailed crustaceans swim by rhythmically moving limbs called swimmerets. Over the entire biological range of animal size and paddling frequency, movements of adjacent swimmerets maintain an approximate quarter-period phase difference with the more posterior limbs leading the cycle. We use a computational fluid dynamics model to show that this frequency-invariant stroke pattern is the most effective and mechanically efficient paddling rhythm across the full range of biologically relevant Reynolds numbers in crustacean swimming. We then show that the organization of the neural circuit underlying swimmeret coordination provides a robust mechanism for generating this stroke pattern. Specifically, the wave-like limb coordination emerges robustly from a combination of the half-center structure of the local central pattern generating circuits (CPGs) that drive the movements of each limb, the asymmetric network topology of the connections between local CPGs, and the phase response properties of the local CPGs, which we measure experimentally. Thus, the crustacean swimmeret system serves as a concrete example in which the architecture of a neural circuit leads to optimal behavior in a robust manner. Furthermore, we consider all possible connection topologies between local CPGs and show that the natural connectivity pattern generates the biomechanically optimal stroke pattern most robustly. Given the high metabolic cost of crustacean swimming, our results suggest that natural selection has pushed the swimmeret neural circuit toward a connection topology that produces optimal behavior.</t>
  </si>
  <si>
    <t>[Zhang, Calvin; Guy, Robert D.; Lewis, Timothy J.] Univ Calif Davis, Dept Math, Davis, CA 95616 USA; [Mulloney, Brian] Univ Calif Davis, Dept Neurobiol Physiol &amp; Behav, Davis, CA 95616 USA; [Zhang, Qinghai] Univ Utah, Dept Math, Salt Lake City, UT 84112 USA</t>
  </si>
  <si>
    <t>University of California System; University of California Davis; University of California System; University of California Davis; Utah System of Higher Education; University of Utah</t>
  </si>
  <si>
    <t>Lewis, TJ (corresponding author), Univ Calif Davis, Dept Math, Davis, CA 95616 USA.</t>
  </si>
  <si>
    <t>tjlewis@ucdavis.edu</t>
  </si>
  <si>
    <t>Zhang-Molina, Calvin/AAZ-3307-2020; Zhang, Qinghai/A-3637-2009</t>
  </si>
  <si>
    <t>Zhang-Molina, Calvin/0000-0002-7704-9318; Zhang, Qinghai/0000-0002-3655-4190</t>
  </si>
  <si>
    <t>National Science Foundation [CRCNS 0905063, DMS-1226386, DMS-1160438, IOS 1147058]; Direct For Mathematical &amp; Physical Scien [0921039, 1226386, 1160438] Funding Source: National Science Foundation; Division Of Integrative Organismal Systems; Direct For Biological Sciences [1147058] Funding Source: National Science Foundation; Division Of Mathematical Sciences [1160438, 1226386, 0921039] Funding Source: National Science Foundation</t>
  </si>
  <si>
    <t>National Science Foundation(National Science Foundation (NSF)); Direct For Mathematical &amp; Physical Scien(National Science Foundation (NSF)NSF - Directorate for Mathematical &amp; Physical Sciences (MPS)); Division Of Integrative Organismal Systems; Direct For Biological Sciences(National Science Foundation (NSF)NSF - Directorate for Biological Sciences (BIO)NSF - Division of Integrative Organismal Systems (IOS)); Division Of Mathematical Sciences(National Science Foundation (NSF)NSF - Directorate for Mathematical &amp; Physical Sciences (MPS))</t>
  </si>
  <si>
    <t>This work was partially supported by the National Science Foundation under Grant CRCNS 0905063 (to B.M. and T.J.L.). R.D.G. is partially supported by the National Science Foundation under Grants DMS-1226386 and DMS-1160438. B.M. is partially supported by the National Science Foundation under Grant IOS 1147058.</t>
  </si>
  <si>
    <t>NATL ACAD SCIENCES</t>
  </si>
  <si>
    <t>2101 CONSTITUTION AVE NW, WASHINGTON, DC 20418 USA</t>
  </si>
  <si>
    <t>0027-8424</t>
  </si>
  <si>
    <t>P NATL ACAD SCI USA</t>
  </si>
  <si>
    <t>Proc. Natl. Acad. Sci. U. S. A.</t>
  </si>
  <si>
    <t>10.1073/pnas.1323208111</t>
  </si>
  <si>
    <t>AP3PC</t>
  </si>
  <si>
    <t>WOS:000341988200047</t>
  </si>
  <si>
    <t>Miller, BS; Leaper, R; Calderan, S; Gedamke, J</t>
  </si>
  <si>
    <t>Miller, Brian S.; Leaper, Russell; Calderan, Susannah; Gedamke, Jason</t>
  </si>
  <si>
    <t>Red Shift, Blue Shift: Investigating Doppler Shifts, Blubber Thickness, and Migration as Explanations of Seasonal Variation in the Tonality of Antarctic Blue Whale Song</t>
  </si>
  <si>
    <t>SOUTHERN-HEMISPHERE; SOUND PRODUCTION; BALEEN WHALES; SPERM-WHALES; FREQUENCY; PACIFIC; SEA; VOCALIZATIONS; MOVEMENTS; DISCOVERY</t>
  </si>
  <si>
    <t>The song of Antarctic blue whales (Balaenoptera musculus intermedia) comprises repeated, stereotyped, low-frequency calls. Measurements of these calls from recordings spanning many years have revealed a long-term linear decline as well as an intra-annual pattern in tonal frequency. While a number of hypotheses for this long-term decline have been investigated, including changes in population structure, changes in the physical environment, and changes in the behaviour of the whales, there have been relatively few attempts to explain the intra-annual pattern. An additional hypothesis that has not yet been investigated is that differences in the observed frequency from each call are due to the Doppler effect. The assumptions and implications of the Doppler effect on whale song are investigated using 1) vessel-based acoustic recordings of Antarctic blue whales with simultaneous observation of whale movement and 2) long-term acoustic recordings from both the subtropics and Antarctic. Results from vessel-based recordings of Antarctic blue whales indicate that variation in peak-frequency between calls produced by an individual whale was greater than would be expected by the movement of the whale alone. Furthermore, analysis of intra-annual frequency shift at Antarctic recording stations indicates that the Doppler effect is unlikely to fully explain the observations of intra-annual pattern in the frequency of Antarctic blue whale song. However, data do show cyclical changes in frequency in conjunction with season, thus suggesting that there might be a relationship among tonal frequency, body condition, and migration to and from Antarctic feeding grounds.</t>
  </si>
  <si>
    <t>[Miller, Brian S.; Calderan, Susannah] Australian Antarctic Div, Australian Marine Mammal Ctr, Kingston, Tas, Australia; [Leaper, Russell] Univ Aberdeen, Sch Biol Sci, Aberdeen, Scotland; [Gedamke, Jason] NOAA, Ocean Acoust Program, Fisheries Off Sci &amp; Technol, Silver Spring, MD USA</t>
  </si>
  <si>
    <t>Australian Antarctic Division; University of Aberdeen; National Oceanic Atmospheric Admin (NOAA) - USA</t>
  </si>
  <si>
    <t>Miller, BS (corresponding author), Australian Antarctic Div, Australian Marine Mammal Ctr, Kingston, Tas, Australia.</t>
  </si>
  <si>
    <t>brian.miller@aad.gov.au</t>
  </si>
  <si>
    <t>Miller, Brian/0000-0001-7615-3044</t>
  </si>
  <si>
    <t>International Whale and Marine Mammal Conservation Initiative of the Australian Government via Southern Ocean Research Partnership of the International Whaling Commission; Australian Antarctic Division</t>
  </si>
  <si>
    <t>Deployment of long-term recorders was supported by the Australian Antarctic Division. This work was supported by the International Whale and Marine Mammal Conservation Initiative of the Australian Government via Southern Ocean Research Partnership of the International Whaling Commission. The funders had no role in study design, data collection and analysis, decision to publish, or preparation of the manuscript.</t>
  </si>
  <si>
    <t>SEP 17</t>
  </si>
  <si>
    <t>e107740</t>
  </si>
  <si>
    <t>10.1371/journal.pone.0107740</t>
  </si>
  <si>
    <t>AP5MS</t>
  </si>
  <si>
    <t>Green Published, Green Submitted, gold</t>
  </si>
  <si>
    <t>WOS:000342123900068</t>
  </si>
  <si>
    <t>Salazar-Vallejo, SI</t>
  </si>
  <si>
    <t>Salazar-Vallejo, Sergio I.</t>
  </si>
  <si>
    <t>Three new polar species of Sternaspis Otto, 1821 (Polychaeta: Sternaspidae)</t>
  </si>
  <si>
    <t>ZOOTAXA</t>
  </si>
  <si>
    <t>Beaufort Sea; Bering Sea; Chukchi Sea; Scotia Sea; Weddell Sea; key</t>
  </si>
  <si>
    <t>Two sternaspid species, Sternaspis fossor Stimpson, 1853 and S. scutata (Ranzani, 1817), have been recorded from many localities including polar or subpolar environments. The study of the collections of five major institutions cannot confirm their presence in high latitudes. On the contrary, the specimens are regarded as different, undescribed species, and are herein described as one from Arctic environments, S. buzhinskajae n. sp., and two others from Antarctic localities: S. monroi n. sp., and S. sendalli n. sp. A key to identify all Sternaspis species is included.</t>
  </si>
  <si>
    <t>El Colegio Frontera Sur, Depto Sistemat &amp; Ecol Acuat, Grp Estruct &amp; Func Bentos, Chetmal, Quintana Roo, Mexico</t>
  </si>
  <si>
    <t>El Colegio de la Frontera Sur (ECOSUR)</t>
  </si>
  <si>
    <t>Salazar-Vallejo, SI (corresponding author), El Colegio Frontera Sur, Depto Sistemat &amp; Ecol Acuat, Grp Estruct &amp; Func Bentos, Chetmal, Quintana Roo, Mexico.</t>
  </si>
  <si>
    <t>savs551216@hotmail.com</t>
  </si>
  <si>
    <t>ECOSUR; CONACYT [176535]</t>
  </si>
  <si>
    <t>ECOSUR; CONACYT(Consejo Nacional de Ciencia y Tecnologia (CONACyT))</t>
  </si>
  <si>
    <t>The kind, long-term support by several collection managers or curators is deeply appreciated. In alphabetical order they were Chrissy Piotrowski (CAS), Emma Sherlock and Miranda Lowe (BMNH), Galina Buzhinskaja (ZIRAS) has also been very supportive and helpful during my visits to Sankt-Peterburg, Helmut Sattmann (Naturhistorisches Museum, Wien, Austria) kindly provided a pdf of a difficult to find publication, Leslie Harris, David Ocker and Kirk Fitzhugh (Los Angeles County Museum of Natural History), Linda Ward, Karen Osborn, Kristian Fauchald and Goeff Keel (USNM). ECOSUR and CONACYT provided funding for this research. Two anonymous reviewers and Pat Hutchings made an impressive evaluation and helped a lot to improve this final draft. ECOSUR and CONACYT (sabbatical leave scholarship, 176535) provided funding for this research.</t>
  </si>
  <si>
    <t>MAGNOLIA PRESS</t>
  </si>
  <si>
    <t>AUCKLAND</t>
  </si>
  <si>
    <t>PO BOX 41383, AUCKLAND, ST LUKES 1030, NEW ZEALAND</t>
  </si>
  <si>
    <t>1175-5326</t>
  </si>
  <si>
    <t>1175-5334</t>
  </si>
  <si>
    <t>Zootaxa</t>
  </si>
  <si>
    <t>SEP 16</t>
  </si>
  <si>
    <t>10.11646/zootaxa.3861.4.3</t>
  </si>
  <si>
    <t>Zoology</t>
  </si>
  <si>
    <t>AO8SS</t>
  </si>
  <si>
    <t>WOS:000341625300003</t>
  </si>
  <si>
    <t>Gorodetskaya, IV; Tsukernik, M; Claes, K; Ralph, MF; Neff, WD; Van Lipzig, NPM</t>
  </si>
  <si>
    <t>Gorodetskaya, Irina V.; Tsukernik, Maria; Claes, Kim; Ralph, Martin F.; Neff, William D.; Van Lipzig, Nicole P. M.</t>
  </si>
  <si>
    <t>The role of atmospheric rivers in anomalous snow accumulation in East Antarctica</t>
  </si>
  <si>
    <t>Antarctic ice sheet; surface mass balance; snowfall; moisture transport; atmospheric rivers; ground-based measurements</t>
  </si>
  <si>
    <t>DRONNING MAUD LAND; EXTREME PRECIPITATION; TROPICAL MOISTURE; MASS-BALANCE; DOME FUJI; VARIABILITY; REANALYSIS; SATELLITE; BLOCKING; STATION</t>
  </si>
  <si>
    <t>Recent, heavy snow accumulation events over Dronning Maud Land (DML), East Antarctica, contributed significantly to the Antarctic ice sheet surface mass balance (SMB). Here we combine in situ accumulation measurements and radar-derived snowfall rates from Princess Elisabeth station (PE), located in the DML escarpment zone, along with the European Centre for Medium-range Weather Forecasts Interim reanalysis to investigate moisture transport patterns responsible for these events. In particular, two high-accumulation events in May 2009 and February 2011 showed an atmospheric river (AR) signature with enhanced integrated water vapor (IWV), concentrated in narrow long bands stretching from subtropical latitudes to the East Antarctic coast. Adapting IWV-based AR threshold criteria for Antarctica (by accounting for the much colder and drier environment), we find that it was four and five ARs reaching the coastal DML that contributed 74-80% of the outstanding SMB during 2009 and 2011 at PE. Therefore, accounting for ARs is crucial for understanding East Antarctic SMB.</t>
  </si>
  <si>
    <t>[Gorodetskaya, Irina V.; Claes, Kim; Van Lipzig, Nicole P. M.] KU Leuven Univ Leuven, Dept Earth &amp; Environm Sci, Leuven, Belgium; [Tsukernik, Maria] Brown Univ, Environm Change Initiat, Providence, RI 02912 USA; [Ralph, Martin F.] Univ Calif San Diego, Ctr Western Weather &amp; Water Extremes, La Jolla, CA 92093 USA; [Neff, William D.] NOAA, Earth Syst Res Lab, Boulder, CO USA; [Neff, William D.] Univ Colorado, Cooperat Inst Res Environm Sci, Boulder, CO 80309 USA</t>
  </si>
  <si>
    <t>KU Leuven; Brown University; University of California System; University of California San Diego; National Oceanic Atmospheric Admin (NOAA) - USA; University of Colorado System; University of Colorado Boulder</t>
  </si>
  <si>
    <t>Gorodetskaya, IV (corresponding author), KU Leuven Univ Leuven, Dept Earth &amp; Environm Sci, Leuven, Belgium.</t>
  </si>
  <si>
    <t>Irina.Gorodetskaya@ees.kuleuven.be</t>
  </si>
  <si>
    <t>van Lipzig, Nicole/ABF-2964-2021; Gorodetskaya, Irina/K-1987-2015</t>
  </si>
  <si>
    <t>van Lipzig, Nicole/0000-0003-2899-4046; Gorodetskaya, Irina/0000-0002-2294-7823</t>
  </si>
  <si>
    <t>HYDRANT - Belgian Federal Science Policy (BELSPO) [EA/01/04AB]; NSF [1246178]; Office of Polar Programs (OPP); Directorate For Geosciences [1246178] Funding Source: National Science Foundation</t>
  </si>
  <si>
    <t>HYDRANT - Belgian Federal Science Policy (BELSPO); NSF(National Science Foundation (NSF)); Office of Polar Programs (OPP); Directorate For Geosciences(National Science Foundation (NSF)NSF - Directorate for Geosciences (GEO))</t>
  </si>
  <si>
    <t>This work was conducted in support of the HYDRANT project funded by the Belgian Federal Science Policy (BELSPO grant EA/01/04AB). Coauthor M. Tsukernik was supported by NSF grant 1246178. The radar and AWS data at PE are part of the new data set freely available upon request via the project website (http://ees.kuleuven.be/hydrant). ERA-I data are available via the ECMWF data portal (http://www.ecmwf.int/en/forecasts/datasets). Logistical and technical support at PE base was provided by the International Polar Foundation. We thank Alexander Mangold (RMI, Belgium) and Erik Verhagen (IPF) for help with on-site instrument maintenance; Wim Boot and Carleen Reijmer (IMAU, Netherlands) for AWS technical and data support; and METEK engineers for MRR technical support. Raw MRR data were processed by Maximilian Maahn (IGM, University of Cologne, Germany). We thank RCS Group at KUL, Jan Lenaerts (IMAU/KUL), and Gwenael Renard for useful feedback. We thank two anonymous reviewers for constructive comments on the manuscript.</t>
  </si>
  <si>
    <t>10.1002/2014GL060881</t>
  </si>
  <si>
    <t>AQ4IH</t>
  </si>
  <si>
    <t>Green Published</t>
  </si>
  <si>
    <t>WOS:000342757400019</t>
  </si>
  <si>
    <t>McGaughran, A; Sommer, RJ</t>
  </si>
  <si>
    <t>McGaughran, Angela; Sommer, Ralf J.</t>
  </si>
  <si>
    <t>Natural variation in cold tolerance in the nematode Pristionchus pacificus: the role of genotype and environment</t>
  </si>
  <si>
    <t>BIOLOGY OPEN</t>
  </si>
  <si>
    <t>Cold tolerance; Genotype-by-environment interaction; Nematode; Plasticity; Pristionchus pacificus</t>
  </si>
  <si>
    <t>CAENORHABDITIS-ELEGANS; ANTARCTIC NEMATODE; PHENOTYPIC PLASTICITY; RECOVERY-TIME; DESICCATION; HISTORY; RESISTANCE; PHYSIOLOGY; EVOLUTION; GENETICS</t>
  </si>
  <si>
    <t>Low temperature is a primary determinant of growth and survival among organisms and almost all animals need to withstand temperature fluctuations in their surroundings. We used the hermaphroditic nematode Pristionchus pacificus to examine variation in cold tolerance in samples collected from 18 widespread locations. Samples were challenged by exposure to both direct and gradual low temperature after culture in the laboratory at 20 degrees C. A short-term acclimation treatment was also applied to assess cold tolerance following a pre-exposure cold treatment. Finally, genotype-by-environment (G X E) analysis was performed on a subset of samples cultured at two additional temperatures (15 degrees C and 25 degrees C). P. pacificus displayed a high degree of natural variation in cold tolerance, corresponding to the presence of three distinct phenotypic classes among samples: cold tolerant, non-cold tolerant, cold tolerant plastic. Survival of gradual cold exposure was significantly higher than survival of direct exposure to low temperature and a cold exposure pre-treatment significantly enhanced cold tolerance in some samples. By focusing on a subset of well-sampled locations from tropical La Reunion Island, we found evidence of significant effects of genotype and environment on cold tolerance, and we also showed that, within the different Reunion locations sampled, all three phenotypic classes are generally well represented. Taken together, our results show that P. pacificus exhibits a highly plastic tolerance to cold exposure that may be partly driven by differential trait sensitivity in diverse environments.</t>
  </si>
  <si>
    <t>[McGaughran, Angela; Sommer, Ralf J.] Max Planck Inst Dev Biol, Dept Integrat Evolutionary Biol, D-72076 Tubingen, Germany</t>
  </si>
  <si>
    <t>Max Planck Society</t>
  </si>
  <si>
    <t>McGaughran, A (corresponding author), CSIRO Land &amp; Water, Black Mt Labs, Clunies Ross St, Canberra, ACT 2601, Australia.</t>
  </si>
  <si>
    <t>ang.mcgaughran@gmail.com</t>
  </si>
  <si>
    <t>McGaughran, Angela/C-5916-2014</t>
  </si>
  <si>
    <t>McGaughran, Angela/0000-0002-3429-8699</t>
  </si>
  <si>
    <t>Max Planck Society; Alexander von Humboldt Foundation</t>
  </si>
  <si>
    <t>Max Planck Society(Max Planck Society); Alexander von Humboldt Foundation(Alexander von Humboldt Foundation)</t>
  </si>
  <si>
    <t>Funding for the current study was provided by the Max Planck Society and the Alexander von Humboldt Foundation (Research Fellowship for Postdoctoral Researchers to A.M.).</t>
  </si>
  <si>
    <t>COMPANY BIOLOGISTS LTD</t>
  </si>
  <si>
    <t>CAMBRIDGE</t>
  </si>
  <si>
    <t>BIDDER BUILDING, STATION RD, HISTON, CAMBRIDGE CB24 9LF, ENGLAND</t>
  </si>
  <si>
    <t>2046-6390</t>
  </si>
  <si>
    <t>BIOL OPEN</t>
  </si>
  <si>
    <t>Biol. Open</t>
  </si>
  <si>
    <t>SEP 15</t>
  </si>
  <si>
    <t>10.1242/bio.20148888</t>
  </si>
  <si>
    <t>Biology</t>
  </si>
  <si>
    <t>Life Sciences &amp; Biomedicine - Other Topics</t>
  </si>
  <si>
    <t>AZ2ZJ</t>
  </si>
  <si>
    <t>WOS:000348097400006</t>
  </si>
  <si>
    <t>Riera, R; Becerro, MA; Stuart-Smith, RD; Delgado, JD; Edgar, GJ</t>
  </si>
  <si>
    <t>Riera, Rodrigo; Becerro, Mikel A.; Stuart-Smith, Rick D.; Delgado, Juan D.; Edgar, Graham J.</t>
  </si>
  <si>
    <t>Out of sight, out of mind: Threats to the marine biodiversity of the Canary Islands (NE Atlantic Ocean)</t>
  </si>
  <si>
    <t>MARINE POLLUTION BULLETIN</t>
  </si>
  <si>
    <t>Conservation; Extinction; Threatened species; Pollution; Oceanic island; Atlantic Ocean</t>
  </si>
  <si>
    <t>DIADEMA AFF. ANTILLARUM; ASSEMBLAGES; VARIABILITY; POPULATIONS; SETTLEMENT; ALGAE; INVERTEBRATES; CHLOROPHYTA; EXTINCTION; MACROALGAE</t>
  </si>
  <si>
    <t>Lack of knowledge of the marine realm may bias our perception of the current status and threats to marine biodiversity. Less than 10% of all ecological literature is related to the ocean, and the information we have on marine species that are threatened or on the verge of extinction is scarce. This lack of information is particularly critical for isolated areas such as oceanic archipelagos. Here we review published and grey literature on the current status of marine organisms in the Canary Islands as a case description of the consequences that current out-of-sight out-of-mind attitudes may have on this unique environment. Global change, as represented by coastal development, pollution, exotic species and climate change, are currently affecting the distribution and abundance of Canarian marine organisms, and pose multiple threats to local species and communities. Environmental risks are significant at community and species levels, particularly for threatened species. Failure to address these trends will result in shifts in local biodiversity with important ecological, social, and economic consequences. Scientists, policy makers, educators, and relevant societal groups need to collaborate to reverse deleterious coastal biodiversity trends. (C) 2014 Elsevier Ltd. All rights reserved.</t>
  </si>
  <si>
    <t>[Riera, Rodrigo] Ctr Invest Medioambientales Atlantico CIMA SL, Tenerife 38206, Canary Islands, Spain; [Becerro, Mikel A.] Nat Prod &amp; Agrobiol Inst IPNA CSIC, BITES Lab, Tenerife 38206, Canary Islands, Spain; [Stuart-Smith, Rick D.; Edgar, Graham J.] Univ Tasmania, Inst Marine &amp; Antarctic Studies, Hobart, Tas 7001, Australia; [Delgado, Juan D.] Univ Pablo de Olavide, Fac Ciencias Expt, Area Ecol, Dept Sistemas Fis Quim &amp; Nat, Seville 41013, Spain</t>
  </si>
  <si>
    <t>Consejo Superior de Investigaciones Cientificas (CSIC); CSIC - Instituto de Productos Naturales y Agrobiologia (IPNA); University of Tasmania; Universidad Pablo de Olavide</t>
  </si>
  <si>
    <t>Riera, R (corresponding author), Ctr Invest Medioambientales Atlantico CIMA SL, Arzobispo Elias Yanes 44, Tenerife 38206, Canary Islands, Spain.</t>
  </si>
  <si>
    <t>rodrigo@cimacanarias.com</t>
  </si>
  <si>
    <t>Stuart-Smith, Rick D/M-1829-2013; RIERA, RODRIGO/ABH-1351-2020; RIERA, RODRIGO/I-4260-2013; Becerro, Mikel/ABC-9478-2021; Stuart-Smith, Rick/I-5214-2019; Edgar, Graham/AAY-3797-2020</t>
  </si>
  <si>
    <t>Stuart-Smith, Rick D/0000-0002-8874-0083; RIERA, RODRIGO/0000-0003-1264-1625; RIERA, RODRIGO/0000-0003-1264-1625; Becerro, Mikel/0000-0002-6047-350X; Stuart-Smith, Rick/0000-0002-8874-0083; Edgar, Graham/0000-0003-0833-9001</t>
  </si>
  <si>
    <t>0025-326X</t>
  </si>
  <si>
    <t>1879-3363</t>
  </si>
  <si>
    <t>MAR POLLUT BULL</t>
  </si>
  <si>
    <t>Mar. Pollut. Bull.</t>
  </si>
  <si>
    <t>1-2</t>
  </si>
  <si>
    <t>10.1016/j.marpolbul.2014.07.014</t>
  </si>
  <si>
    <t>Environmental Sciences; Marine &amp; Freshwater Biology</t>
  </si>
  <si>
    <t>AQ5PC</t>
  </si>
  <si>
    <t>WOS:000342860100014</t>
  </si>
  <si>
    <t>Monien, P; Lettmann, KA; Monien, D; Asendorf, S; Wölfl, AC; Lim, CH; Thal, J; Schnetger, B; Brumsack, HJ</t>
  </si>
  <si>
    <t>Monien, Patrick; Lettmann, Karsten Alexander; Monien, Donata; Asendorf, Sanja; Woelfl, Anne-Cathrin; Lim, Chai Heng; Thal, Janis; Schnetger, Bernhard; Brumsack, Hans-Juergen</t>
  </si>
  <si>
    <t>Redox conditions and trace metal cycling in coastal sediments from the maritime Antarctic</t>
  </si>
  <si>
    <t>GEOCHIMICA ET COSMOCHIMICA ACTA</t>
  </si>
  <si>
    <t>KING-GEORGE-ISLAND; TERMINAL METABOLIC PRODUCTS; DISSOLVED ORGANIC-CARBON; SOUTH SHETLAND ISLANDS; DEEP PORE WATERS; EARLY DIAGENESIS; MARINE-SEDIMENTS; IRON ENRICHMENT; POTTER COVE; BIOGEOCHEMICAL CYCLE</t>
  </si>
  <si>
    <t>Redox-sensitive trace metals (Mn, Fe, U, Mo, Re), nutrients and terminal metabolic products (NO3-, NH4+, PO43-, total alkalinity) were investigated for the first time in pore waters of Antarctic coastal sediments. The results of this study reveal a high spatial variability in redox conditions in surface sediments from Potter Cove, King George Island, western Antarctic Peninsula. Particularly in the shallower areas of the bay the significant correlation between sulphate depletion and total alkalinity, the inorganic product of terminal metabolism, indicates sulphate reduction to be the major pathway of organic matter mineralisation. In contrast, dissimilatory metal oxide reduction seems to be prevailing in the newly ice-free areas and the deeper troughs, where concentrations of dissolved iron of up to 700 mu M were found. We suggest a combination of several factors to be responsible for the domination of metal oxide reduction over sulphate reduction in these areas. These include the increased accumulation of fine-grained material with high amounts of reducible metal oxides, a reduced availability of metabolisable organic matter and an enhanced physical and biological disturbance by bottom water currents, ice scouring and burrowing organisms. Based on modelled iron fluxes we calculate the contribution of the Antarctic shelf to the pool of potentially bioavailable iron (Fe-b) to be 6.9 x 10(3) to 790 x 10(3) t yr(-1). Consequently, these shelf sediments would provide an Feb flux of 0.35-39.5 mg m(-2) yr(-1) (median: 3.8 mg m(-2) yr(-1)) to the Southern Ocean. This contribution is in the same order of magnitude as the flux provided by icebergs and significantly higher than the input by aeolian dust. For this reason suboxic shelf sediments form a key source of iron for the high nutrient-low chlorophyll (HNLC) areas of the Southern Ocean. This source may become even more important in the future due to rising temperatures at the WAP accompanied by enhanced glacier retreat and the accumulation of melt water derived iron-rich material on the shelf. (C) 2014 Elsevier Ltd. All rights reserved.</t>
  </si>
  <si>
    <t>[Monien, Patrick; Lettmann, Karsten Alexander; Monien, Donata; Asendorf, Sanja; Lim, Chai Heng; Schnetger, Bernhard; Brumsack, Hans-Juergen] Inst Chem &amp; Biol Marine Environm ICBM, D-26129 Oldenburg, Germany; [Woelfl, Anne-Cathrin] Alfred Wegener Inst Polar &amp; Marine Res, D-25992 List Auf Sylt, Germany; [Monien, Patrick; Thal, Janis] Univ Bremen, Dept Geosci, D-28359 Bremen, Germany</t>
  </si>
  <si>
    <t>Helmholtz Association; Alfred Wegener Institute, Helmholtz Centre for Polar &amp; Marine Research; University of Bremen</t>
  </si>
  <si>
    <t>Monien, P (corresponding author), Univ Bremen, Dept Geosci, Klagenfurter Str, D-28359 Bremen, Germany.</t>
  </si>
  <si>
    <t>monien@icbm.de; lettmann@icbm.de; donata.monien@icbm.de; sanja.asendorf@gmx.de; anne-cathrin.woelfl@awi.de; chaiheng753@yahoo.com; ja_th@uni-bremen.de; schnetger@icbm.de; brumsack@icbm.de</t>
  </si>
  <si>
    <t>Lim, Chai Heng/M-1793-2017; Monien, Patrick/K-8338-2017; Brumsack, Hans-Juergen/O-7942-2016</t>
  </si>
  <si>
    <t>Thal, Janis/0000-0001-6459-6702; Monien, Patrick/0000-0002-4000-5362; Lim, Chai Heng/0000-0002-0781-3552; Schnetger, Bernhard/0000-0003-1638-3977; Brumsack, Hans-Juergen/0000-0002-5549-5018</t>
  </si>
  <si>
    <t>German Research Foundation (DFG) [BR 775/25-1]; ESF IMCOAST project [03F0617C]; EU project IMCONet (FP7404 IRSES) [319718]</t>
  </si>
  <si>
    <t>German Research Foundation (DFG)(German Research Foundation (DFG)); ESF IMCOAST project; EU project IMCONet (FP7404 IRSES)</t>
  </si>
  <si>
    <t>This study was funded by the German Research Foundation (DFG project no. BR 775/25-1) and forms part of the ESF IMCOAST project (grant no. 03F0617C) and the EU project IMCONet (FP7404 IRSES, action no. 319718). We are grateful to the Argentine Diving Division and the generous hospitality at Carlini Station during the field campaigns 2009/2010 and 2010/2011. Special thanks go to Oscar Gonzales (Instituto Antartico Argentino, Buenos Aires) for the scientific coordination of the project during both field campaigns. Moreover, we gratefully acknowledge the technical assistants at the ICBM (Institute for Chemistry and Biology of the Marine Environment). Finally, we thank both, Rob Raiswell and an anonymous reviewer, for their critical remarks, which significantly helped to improve this manuscript. All geochemical data published in this paper are available under http://dx.doi.org/10.1594/PANGAEA.832335.</t>
  </si>
  <si>
    <t>0016-7037</t>
  </si>
  <si>
    <t>1872-9533</t>
  </si>
  <si>
    <t>GEOCHIM COSMOCHIM AC</t>
  </si>
  <si>
    <t>Geochim. Cosmochim. Acta</t>
  </si>
  <si>
    <t>10.1016/j.gca.2014.06.003</t>
  </si>
  <si>
    <t>AP2SW</t>
  </si>
  <si>
    <t>WOS:000341926100002</t>
  </si>
  <si>
    <t>Zhao, MY; Zheng, YF</t>
  </si>
  <si>
    <t>Zhao, Ming-Yu; Zheng, Yong-Fei</t>
  </si>
  <si>
    <t>Marine carbonate records of terrigenous input into Paleotethyan seawater: Geochemical constraints from Carboniferous limestones</t>
  </si>
  <si>
    <t>RARE-EARTH-ELEMENT; PERMIAN-TRIASSIC TRANSITION; PALEOZOIC ICE-AGE; TRACE-ELEMENT; SOUTH CHINA; PARTITION-COEFFICIENTS; STABLE-ISOTOPE; SEDIMENTARY ENVIRONMENT; FORAMINIFERAL CALCITE; ANTARCTIC GLACIATION</t>
  </si>
  <si>
    <t>A combined study of trace elements, carbon and oxygen isotopes was carried out for Carboniferous marine limestones from the Lower Yangtze platform in South China. The results provide insights into the influence of terrigenous input to Paleotethyan seawater, from which pure and impure carbonates precipitated. In terms of the correlations between the concentrations of elements with different properties, variable extents of two-component mixing are evident between seawater and terrigenous detritus. This is quantitatively dictated by such parameters as the calcite-seawater partition coefficients (D-X) and the seawater-continental upper crust partition coefficients (K-X). Water-soluble elements with high and medium K-X values, such as Na, Mg, P, V, Cr, Ni, Cu, Zn, Sr, Mo and U, are susceptible to incorporation into carbonate lattices, and thus their concentrations represent the geochemical composition of paleoseawater. In contrast, water-insoluble elements with low K-X values, such as Be, Al, Sc, Co, Ga, Cs, REE, Hf and Th, cannot be incorporated into carbonate lattices, thus providing a proxy for contributions from terrigenous material. The Carboniferous marine limestones from a stratigraphic profile exhibit three positive and three negative delta C-13 excursions from the late Visean to Gzhelian. These delta C-13 excursions generally match those of contemporaneous carbonates elsewhere in the world, which can be linked to the alternative occurrences of cold and warm paleoclimates in the Carboniferous. The lowest delta C-13 values in the profile are generally associated with the lowest values of Y/Ho and the highest values of (Nd/Yb)(PAAS), Th, Sc and insoluble residue. This indicates a significant contribution from the terrigenous material to the negative delta C-13 excursions. The effect from the warm paleoclimate is also indicated by high chemical indices of alteration for the insoluble residue from the three intervals of high terrigenous input. On the other hand, the positive delta C-13 excursions are associated with the decreases of terrigenous input. Therefore, the incorporation of terrigenous material into the epicontinental seawater is temporally linked to the paleoclimatic change on continental margins adjacent to the Paleotethyan seawater. (C) 2014 Elsevier Ltd. All rights reserved.</t>
  </si>
  <si>
    <t>[Zhao, Ming-Yu; Zheng, Yong-Fei] Univ Sci &amp; Technol China, Sch Earth &amp; Space Sci, CAS Key Lab Crust Mantle Mat &amp; Environm, Hefei 230026, Peoples R China</t>
  </si>
  <si>
    <t>Chinese Academy of Sciences; University of Science &amp; Technology of China, CAS</t>
  </si>
  <si>
    <t>Zheng, YF (corresponding author), Univ Sci &amp; Technol China, Sch Earth &amp; Space Sci, CAS Key Lab Crust Mantle Mat &amp; Environm, Hefei 230026, Peoples R China.</t>
  </si>
  <si>
    <t>yfzheng@ustc.edu.cn</t>
  </si>
  <si>
    <t>Zhao, Mingyu/HME-1487-2023; Zheng, Yong-Fei/C-4781-2008</t>
  </si>
  <si>
    <t>Zheng, Yong-Fei/0000-0003-0332-4871; , Mingyu/0000-0002-6230-8399</t>
  </si>
  <si>
    <t>Natural Science Foundation of China [41221062]</t>
  </si>
  <si>
    <t>Natural Science Foundation of China(National Natural Science Foundation of China (NSFC))</t>
  </si>
  <si>
    <t>This study was supported by the fund from the Natural Science Foundation of China (41221062). Thanks are due to Yan'an Shen, Jun Yan and Yan-Yan Zhao for their assistance with field sampling, to Xiangping Zha for his assistance with stable isotope analyses, to Zhenhui Hou for his assistance with trace element analyses in Hefei and to Keqing Zong for his assistance with trace element analyses in Wuhan. We are grateful to Thomas Algeo, Claire Rollion-Bard and an anonymous reviewer for their constructive comments that greatly helped improvement of the presentation. We thank Dr. Liping Qin for her help with improvement of the language.</t>
  </si>
  <si>
    <t>10.1016/j.gca.2014.07.001</t>
  </si>
  <si>
    <t>WOS:000341926100031</t>
  </si>
  <si>
    <t>Matson, PG; Washburn, L; Martz, TR; Hofmann, GE</t>
  </si>
  <si>
    <t>Matson, Paul G.; Washburn, Libe; Martz, Todd R.; Hofmann, Gretchen E.</t>
  </si>
  <si>
    <t>Abiotic versus Biotic Drivers of Ocean pH Variation under Fast Sea Ice in McMurdo Sound, Antarctica</t>
  </si>
  <si>
    <t>ROSS SEA; SOUTHERN-OCEAN; MICROBIAL COMMUNITIES; PRIMARY PRODUCTIVITY; CAPE EVANS; PHOTOSYNTHESIS; PATTERNS; ACIDIFICATION; TEMPERATURE; CIRCULATION</t>
  </si>
  <si>
    <t>Ocean acidification is expected to have a major effect on the marine carbonate system over the next century, particularly in high latitude seas. Less appreciated is natural environmental variation within these systems, particularly in terms of pH, and how this natural variation may inform laboratory experiments. In this study, we deployed sensor-equipped moorings at 20 m depths at three locations in McMurdo Sound, comprising deep (bottom depth&gt;200 m: Hut Point Peninsula) and shallow environments (bottom depth similar to 25 m: Cape Evans and New Harbor). Our sensors recorded high-frequency variation in pH (Hut Point and Cape Evans only), tide (Cape Evans and New Harbor), and water mass properties (temperature and salinity) during spring and early summer 2011. These collective observations showed that (1) pH differed spatially both in terms of mean pH (Cape Evans: 8.009 +/- 0.015; Hut Point: 8.020 +/- 0.007) and range of pH (Cape Evans: 0.090; Hut Point: 0.036), and (2) pH was not related to the mixing of two water masses, suggesting that the observed pH variation is likely not driven by this abiotic process. Given the large daily fluctuation in pH at Cape Evans, we developed a simple mechanistic model to explore the potential for biotic processes - in this case algal photosynthesis - to increase pH by fixing carbon from the water column. For this model, we incorporated published photosynthetic parameters for the three dominant algal functional groups found at Cape Evans (benthic fleshy red macroalgae, crustose coralline algae, and sea ice algal communities) to estimate oxygen produced/carbon fixed from the water column underneath fast sea ice and the resulting pH change. These results suggest that biotic processes may be a primary driver of pH variation observed under fast sea ice at Cape Evans and potentially at other shallow sites in McMurdo Sound.</t>
  </si>
  <si>
    <t>[Matson, Paul G.; Hofmann, Gretchen E.] Univ Calif Santa Barbara, Dept Ecol Evolut &amp; Marine Biol, Santa Barbara, CA 93106 USA; [Washburn, Libe] Univ Calif Santa Barbara, Dept Geog, Santa Barbara, CA 93106 USA; [Martz, Todd R.] Univ Calif San Diego, Scripps Inst Oceanog, Geosci Res Div, La Jolla, CA 92093 USA</t>
  </si>
  <si>
    <t>University of California System; University of California Santa Barbara; University of California System; University of California Santa Barbara; University of California System; University of California San Diego; Scripps Institution of Oceanography</t>
  </si>
  <si>
    <t>Matson, PG (corresponding author), Univ Calif Santa Barbara, Dept Ecol Evolut &amp; Marine Biol, Santa Barbara, CA 93106 USA.</t>
  </si>
  <si>
    <t>pmatson@gmail.com</t>
  </si>
  <si>
    <t>Matson, Paul/AAB-9767-2019; Martz, Todd R/A-7704-2012</t>
  </si>
  <si>
    <t>Matson, Paul/0000-0003-2105-7308; Martz, Todd/0000-0002-1996-7145</t>
  </si>
  <si>
    <t>U.S. National Science Foundation (NSF), Antarctic and Organisms and Ecosystems Program [ANT-0944201]; NSF grant OCE (OTIC) [0844394]; University of California; Division Of Ocean Sciences; Directorate For Geosciences [0844394] Funding Source: National Science Foundation; Office of Polar Programs (OPP); Directorate For Geosciences [0944201] Funding Source: National Science Foundation</t>
  </si>
  <si>
    <t>U.S. National Science Foundation (NSF), Antarctic and Organisms and Ecosystems Program(National Science Foundation (NSF)); NSF grant OCE (OTIC)(National Science Foundation (NSF)NSF - Directorate for Geosciences (GEO)); University of California(University of California System); Division Of Ocean Sciences; Directorate For Geosciences(National Science Foundation (NSF)NSF - Directorate for Geosciences (GEO)); Office of Polar Programs (OPP); Directorate For Geosciences(National Science Foundation (NSF)NSF - Directorate for Geosciences (GEO))</t>
  </si>
  <si>
    <t>This research was supported by (1) U.S. National Science Foundation (NSF) award ANT-0944201 to GEH from the Antarctic and Organisms and Ecosystems Program, (2) NSF grant OCE (OTIC) 0844394 to TRM (in support of the SeaFET development), and (3) by funds from the University of California in support of a multi-campus research program, Ocean Acidification: A Training and Research Consortium, (http://oceanacidification.msi.ucsb.edu/) to GEH and TRM. The funders had no role in study design, data collection and analysis, decision to publish, or preparation of the manuscript.</t>
  </si>
  <si>
    <t>e107239</t>
  </si>
  <si>
    <t>10.1371/journal.pone.0107239</t>
  </si>
  <si>
    <t>AP0SR</t>
  </si>
  <si>
    <t>Green Published, gold, Green Submitted</t>
  </si>
  <si>
    <t>WOS:000341774800055</t>
  </si>
  <si>
    <t>Cantalejo, B; Pickering, KT</t>
  </si>
  <si>
    <t>Cantalejo, Blanca; Pickering, Kevin T.</t>
  </si>
  <si>
    <t>Climate forcing of fine-grained deep-marine systems in an active tectonic setting: Middle Eocene, Ainsa Basin, Spanish Pyrenees</t>
  </si>
  <si>
    <t>PALAEOGEOGRAPHY PALAEOCLIMATOLOGY PALAEOECOLOGY</t>
  </si>
  <si>
    <t>Fine-grained; Deep-marine; Turbidites; Eocene; Ainsa basin; Milankovitch cyclicity</t>
  </si>
  <si>
    <t>SOUTH-CENTRAL PYRENEES; SEA-LEVEL; EARLY OLIGOCENE; ORGANIC-CARBON; CALCITE COMPENSATION; ANTARCTIC GLACIATION; BIPOLAR GLACIATION; CONTINENTAL-MARGIN; TURBIDITY CURRENTS; SULFATE REDUCTION</t>
  </si>
  <si>
    <t>A multi-proxy approach to understand environmental change in deep time was undertaken on about 150 m of core from a 230 m-long Middle Eocene core from the Ainsa basin, Spanish Pyrenees, representing deep-marine siliciclastic sediments, using detailed sedimentary logging, high-resolution multi-element XRF geochemistry, total organic carbon, and stable carbon isotopes. The Well A6 was drilled, as part of an industry-university consortium, through siltstones, fine-/very fine-grained sandstone turbidites, and hemipelagic structureless mudstones, that were deposited as overbank and off-axis deposits from a sandy submarine fan, and interfan deposits. For comparative mineralogy between the sandstone turbidites and siltstones, scanning electron microscopy (SEM) and X-ray diffraction (XRD) were undertaken on selected samples. The sandstone turbidites show enrichment of detrital elements such as Si, Zr and Ti, that can be linked to greater quartz and heavy-mineral content compared with adjacent siltstones. Structureless hemipelagic mudstones comprise mainly clay minerals and carbonate. We interpret the sandstone turbidites as from hyperpycnal flows during high river sediment discharge, whilst hemipelagic mudstones resulted from the suspension fall-out of hypopycnal flows. Cyclostratigraphic analysis of the core reveals Milankovitch cyclicity at frequencies of similar to 0.03 cycles/m (short eccentricity), similar to 0.09 cycles/m (obliquity), similar to 0.15 cydes/m (precession couplet) and similar to 0.19 cycles/m (precession couplet). Orbital parameters appear to have controlled the cyclic delivery of coarser-grained sediment by turbidity currents. Two equally plausible depositional models, both as Milankovitch-driven, can explain the cyclical changes in the deep-marine sediments: (1) climatic cycles, with humid periods of enhanced chemical weathering, increased storminess and greater riverine run-off, leading to high sediment flux to the deep basin as sandstone turbidites; (2) climatic cycles, with cooler conditions linked to high-frequency small-scale eustatic sea-level fluctuations, with lowstand shelf-edge delta progradation, resulting in greater volumes of coarse detrital sediment to the seafloor by hyperpycnal flows. This study provides an insight into the likely depositional effects of orbitally-induced climate change on the nature and delivery of terrigenous sediment into deep-marine environments. (C) 2014 Elsevier B.V. All rights reserved.</t>
  </si>
  <si>
    <t>[Cantalejo, Blanca; Pickering, Kevin T.] UCL, Dept Earth Sci, London WC1E 6BT, England</t>
  </si>
  <si>
    <t>University of London; University College London</t>
  </si>
  <si>
    <t>Cantalejo, B (corresponding author), UCL, Dept Earth Sci, Gower St, London WC1E 6BT, England.</t>
  </si>
  <si>
    <t>ucfbbca@ucl.ac.uk</t>
  </si>
  <si>
    <t>University College London (including the Graduate school) [54427]</t>
  </si>
  <si>
    <t>University College London (including the Graduate school)</t>
  </si>
  <si>
    <t>University College London (54427) (including the Graduate school) is thanked for funding this research. We are grateful to John McArthur (UCL), Francisco Rodriguez-Tovar and an anonymous reviewer for their critical comments that led to a much-improved paper. We thank Dave Kemp for his advice with the time-series analysis, Stuart Robinson (UCL) for his support and advice at the Bloomsbury Environmental Isotope facility, Ian Wood (UCL) for the XRD analysis and discussion about the results and Jim Davy (UCL) for help with the SEM analysis.</t>
  </si>
  <si>
    <t>0031-0182</t>
  </si>
  <si>
    <t>1872-616X</t>
  </si>
  <si>
    <t>PALAEOGEOGR PALAEOCL</t>
  </si>
  <si>
    <t>Paleogeogr. Paleoclimatol. Paleoecol.</t>
  </si>
  <si>
    <t>10.1016/j.palaeo.2014.06.005</t>
  </si>
  <si>
    <t>Geography, Physical; Geosciences, Multidisciplinary; Paleontology</t>
  </si>
  <si>
    <t>Physical Geography; Geology; Paleontology</t>
  </si>
  <si>
    <t>AN6EM</t>
  </si>
  <si>
    <t>WOS:000340687700027</t>
  </si>
  <si>
    <t>Spagnolo, M; Clark, CD; Ely, JC; Stokes, CR; Anderson, JB; Andreassen, K; Graham, AGC; King, EC</t>
  </si>
  <si>
    <t>Spagnolo, Matteo; Clark, Chris D.; Ely, Jeremy C.; Stokes, Chris R.; Anderson, John B.; Andreassen, Karin; Graham, Alastair G. C.; King, Edward C.</t>
  </si>
  <si>
    <t>Size, shape and spatial arrangement of mega-scale glacial lineations from a large and diverse dataset</t>
  </si>
  <si>
    <t>EARTH SURFACE PROCESSES AND LANDFORMS</t>
  </si>
  <si>
    <t>MSGL; glacial bedform; ice stream; morphometry</t>
  </si>
  <si>
    <t>ANTARCTIC ICE-SHEET; 3-DIMENSIONAL SEISMIC DATA; GROUNDING-LINE RETREAT; SEA-FLOOR EVIDENCE; TROUGH MOUTH FANS; PINE ISLAND BAY; CONTINENTAL-SHELF; GEOMORPHIC FEATURES; SUBMARINE LANDFORMS; SPECIAL ATTENTION</t>
  </si>
  <si>
    <t>Mega-scale glacial lineations (MSGLs) are a characteristic landform on ice stream beds. Solving the puzzle of their formation is key to understanding how ice interacts with its bed and how this, in turn, influences the dynamics of ice streams. However, a comprehensive and detailed characterization of this landform's size, shape and spatial arrangement, which might serve to test and refine formational theories, is largely lacking. This paper presents a detailed morphometric analysis and comparison of 4043 MSGLs from eight palaeo-ice stream settings: three offshore (Norway and Antarctica), four onshore (Canada), and one from under a modern ice stream in West Antarctica. The length of MSGLs is lower than previously suggested (mode 1000-2000 m; median 2892 m), and they initiate and terminate at various locations on an ice stream bed. Their spatial arrangement reveals a pattern that is characterized by an exceptional parallel conformity (80% of all mapped MSGLs have an azimuth within 5 degrees from the mean values), and a fairly constant lateral spacing (mode 200-300 m; median 330 m), which we interpret as an indication that MSGLs are a spatially self-organized phenomenon. Results show that size, shape and spatial arrangement of MSGLs are consistent both within and also generally between different ice stream beds. We suggest this results from a common mechanism of formation, which is largely insensitive to local factors. Although the elongation of MSGLs (mode 6-8; median 12.2) is typically higher than features described as drumlins, these values and those of their width (mode 100-200 m; median 268 m) overlap, which suggests the two landforms are part of a morphological continuum and may share a similar origin. We compare their morphometry with explicit predictions made by the groove-ploughing and rilling instability theories of MSGL formation. Although the latter was most compatible, neither is fully supported by observations. (C) 2014 The Authors. Earth Surface Processes and Landforms Published by John Wiley &amp; Sons Ltd.</t>
  </si>
  <si>
    <t>[Spagnolo, Matteo] Univ Aberdeen, Sch Geosci, Aberdeen AB9 1FX, Scotland; [Clark, Chris D.; Ely, Jeremy C.] Univ Sheffield, Dept Geog, Sheffield S10 2TN, S Yorkshire, England; [Stokes, Chris R.] Univ Durham, Dept Geog, Durham DH1 3HP, England; [Anderson, John B.] Rice Univ, Dept Earth Sci, Houston, TX 77251 USA; [Andreassen, Karin] Univ Tromso, Dept Geol, N-9001 Tromso, Norway; [Graham, Alastair G. C.] Univ Exeter, Dept Geog, Exeter EX4 4QJ, Devon, England; [King, Edward C.] British Antarctic Survey, Ice Sheets Programme, Cambridge, England</t>
  </si>
  <si>
    <t>University of Aberdeen; University of Sheffield; Durham University; Rice University; UiT The Arctic University of Tromso; University of Exeter; UK Research &amp; Innovation (UKRI); Natural Environment Research Council (NERC); NERC British Antarctic Survey</t>
  </si>
  <si>
    <t>Spagnolo, M (corresponding author), Univ Aberdeen, Sch Geosci, Aberdeen AB9 1FX, Scotland.</t>
  </si>
  <si>
    <t>m.spagnolo@abdn.ac.uk</t>
  </si>
  <si>
    <t>ANIKUZHIYIL, ANISH/Y-8609-2018; Spagnolo, Matteo/G-2415-2011; clark, chris/C-3830-2009; Stokes, Chris/A-1957-2011</t>
  </si>
  <si>
    <t>Spagnolo, Matteo/0000-0002-2753-338X; Andreassen, Karin/0000-0002-9407-526X; clark, chris/0000-0002-1021-6679; Stokes, Chris/0000-0003-3355-1573; Ely, Jeremy/0000-0003-4007-1500; Graham, Alastair/0000-0002-2880-2908</t>
  </si>
  <si>
    <t>UK NERC [NE/J004766/1]; Denisons; Natural Environment Research Council [bas0100027, NE/D011175/1, NER/M/S/2003/00050, NE/J004766/1] Funding Source: researchfish; NERC [NE/D011175/1, NE/J004766/1, bas0100027] Funding Source: UKRI; Directorate For Geosciences; Office of Polar Programs (OPP) [1246353] Funding Source: National Science Foundation</t>
  </si>
  <si>
    <t>UK NERC(UK Research &amp; Innovation (UKRI)Natural Environment Research Council (NERC)); Denisons; Natural Environment Research Council(UK Research &amp; Innovation (UKRI)Natural Environment Research Council (NERC)); NERC(UK Research &amp; Innovation (UKRI)Natural Environment Research Council (NERC)); Directorate For Geosciences; Office of Polar Programs (OPP)(National Science Foundation (NSF)NSF - Directorate for Geosciences (GEO))</t>
  </si>
  <si>
    <t>The authors would like to thank the editorial board of the journal as well as B. Davies and an anonymous reviewer for their positive and helpful feedbacks. Two reviewers of an initial version of this manuscript are also thanked as their comments and suggestions greatly improved the present paper. The authors would also like to thank Martin Jakobsson, Alexandra Kirshner, Monica Winsborrow and the Norwegian Hydrographic Service for providing access to some of the bathymetric data used in this paper. The research was funded by the NE/J004766/1 UK NERC New Investigator grant awarded to MS. The satellite images used in this project were downloaded from www.geobase.ca. JCE would like to thank the Denisons for funding his PhD.</t>
  </si>
  <si>
    <t>0197-9337</t>
  </si>
  <si>
    <t>1096-9837</t>
  </si>
  <si>
    <t>EARTH SURF PROC LAND</t>
  </si>
  <si>
    <t>Earth Surf. Process. Landf.</t>
  </si>
  <si>
    <t>10.1002/esp.3532</t>
  </si>
  <si>
    <t>Geography, Physical; Geosciences, Multidisciplinary</t>
  </si>
  <si>
    <t>Physical Geography; Geology</t>
  </si>
  <si>
    <t>AO3RS</t>
  </si>
  <si>
    <t>WOS:000341253300002</t>
  </si>
  <si>
    <t>Bartolini, S; Geyer, A; Martí, J; Pedrazzi, D; Aguirre-Díaz, G</t>
  </si>
  <si>
    <t>Bartolini, S.; Geyer, A.; Marti, J.; Pedrazzi, D.; Aguirre-Diaz, G.</t>
  </si>
  <si>
    <t>Volcanic hazard on Deception Island (South Shetland Islands, Antarctica)</t>
  </si>
  <si>
    <t>JOURNAL OF VOLCANOLOGY AND GEOTHERMAL RESEARCH</t>
  </si>
  <si>
    <t>Deception Island; Volcanic hazard; Volcanic susceptibility; Bayesian event tree; Eruptive scenarios</t>
  </si>
  <si>
    <t>LONG-TERM; EVENT TREE; BRANSFIELD STRAIT; PROBABILITY; ERUPTION; ICE; TEPHRA; TEPHROCHRONOLOGY; METHODOLOGY; EVOLUTION</t>
  </si>
  <si>
    <t>Deception Island is the most active volcano in the South Shetland Islands and has been the scene of more than twenty identified eruptions over the past two centuries. In this contribution we present the first comprehensive long-term volcanic hazard assessment for this volcanic island. The research is based on the use of probabilistic methods and statistical techniques to estimate volcanic susceptibility, eruption recurrence and the most likely future eruptive scenarios. We perform a statistical analysis of the time series of past eruptions and the spatial extent of their products, including lava flows, fallout, pyroclastic density currents and lahars. The Bayesian event tree statistical method HASSET is applied to calculate eruption recurrence, while the QVAST tool is used in an analysis of past activity to calculate the possibility that new vents will open (volcanic susceptibility). On the basis of these calculations, we identify a number of significant scenarios using the GIS-based VORIS 2.0.1 and LAHARZ software and evaluate the potential extent of the main volcanic hazards to be expected on the island. This study represents a step forward in the evaluation of volcanic hazard on Deception Island and the results obtained are potentially useful for long-term emergency planning. (C) 2014 Elsevier B.V. All rights reserved.</t>
  </si>
  <si>
    <t>[Bartolini, S.; Geyer, A.; Marti, J.; Pedrazzi, D.] SIMGEO UB CSIC, Grp Volcanol, ICTJA CSIC, Inst Earth Sci Jaume Almera, Barcelona 08028, Spain; [Aguirre-Diaz, G.] Univ Nacl Autonoma Mexico, Ctr Geociencias, Queretaro 76230, Qro, Mexico</t>
  </si>
  <si>
    <t>Consejo Superior de Investigaciones Cientificas (CSIC); CSIC - Geociencias Barcelona (GEO3BCN); Universidad Nacional Autonoma de Mexico</t>
  </si>
  <si>
    <t>Bartolini, S (corresponding author), SIMGEO UB CSIC, Grp Volcanol, ICTJA CSIC, Inst Earth Sci Jaume Almera, Lluis Sole i Sabaris S-N, Barcelona 08028, Spain.</t>
  </si>
  <si>
    <t>sbartolini@ictja.csic.es</t>
  </si>
  <si>
    <t>Marti, Joan/L-4203-2014; Geyer, Adelina/C-9490-2011; Pedrazzi, Dario/G-1214-2016; Geyer, Adelina/A-6624-2012</t>
  </si>
  <si>
    <t>Marti, Joan/0000-0003-3930-8603; Pedrazzi, Dario/0000-0002-6869-1325; Geyer, Adelina/0000-0002-8803-6504</t>
  </si>
  <si>
    <t>European Commission (FP7 Theme: ENV.2011.1.3.3-1) [282759: VUELCO]; MICINN [CTM2011-13578-E]; Juan de la Cierva Grant [JCI-2010-06092]; Ramon y Cajal [RYC-2012-11024]</t>
  </si>
  <si>
    <t>European Commission (FP7 Theme: ENV.2011.1.3.3-1); MICINN(Spanish Government); Juan de la Cierva Grant; Ramon y Cajal(Spanish Government)</t>
  </si>
  <si>
    <t>This work was supported by the European Commission (FP7 Theme: ENV.2011.1.3.3-1; Grant 282759: VUELCO) and the MICINN grant CTM2011-13578-E. AG is grateful for her Juan de la Cierva Grant (JCI-2010-06092) and Ramon y Cajal contract (RYC-2012-11024). We would like to thank all the military staff from the Spanish Antarctic Base Gabriel de Castilla for their constant help and for the logistic support, without which this research would have been impossible. We would also like to thank Manuel Banon for his help with the meteorological information. The authors are grateful to two anonymous reviewers for their insightful comments and review of the manuscript, which have helped us improve this work. We also thank the Editor Lionel Wilson for handling this paper. The English text was corrected by Michael Lockwood.</t>
  </si>
  <si>
    <t>0377-0273</t>
  </si>
  <si>
    <t>1872-6097</t>
  </si>
  <si>
    <t>J VOLCANOL GEOTH RES</t>
  </si>
  <si>
    <t>J. Volcanol. Geotherm. Res.</t>
  </si>
  <si>
    <t>10.1016/j.jvolgeores.2014.08.009</t>
  </si>
  <si>
    <t>AU6OE</t>
  </si>
  <si>
    <t>WOS:000345721300012</t>
  </si>
  <si>
    <t>Bentley, MJ; Cofaigh, CO; Anderson, JB; Conway, H; Davies, B; Graham, AGC; Hillenbrand, CD; Hodgson, DA; Jamieson, SSR; Larter, RD; Mackintosh, A; Smith, JA; Verleyen, E; Ackert, RP; Bart, PJ; Berg, S; Brunstein, D; Canals, M; Colhoun, EA; Crosta, X; Dickens, WA; Domack, E; Dowdeswell, JA; Dunbar, R; Ehrmann, W; Evans, J; Favier, V; Fink, D; Fogwill, CJ; Glasser, NF; Gohl, K; Golledge, NR; Goodwin, I; Gore, DB; Greenwood, SL; Hall, BL; Hall, K; Hedding, DW; Hein, AS; Hocking, EP; Jakobsson, M; Johnson, JS; Jomelli, V; Jones, RS; Klages, JP; Kristoffersen, Y; Kuhn, G; Leventer, A; Licht, K; Lilly, K; Lindow, J; Livingstone, SJ; Massé, G; McGlone, MS; McKay, RM; Melles, M; Miura, H; Mulvaney, R; Nel, W; Nitsche, FO; O'Brien, PE; Post, AL; Roberts, SJ; Saunders, KM; Selkirk, PM; Simms, AR; Spiegel, C; Stolldorf, TD; Sugden, DE; van der Putten, N; van Ommen, T; Verfaillie, D; Vyverman, W; Wagner, B; White, DA; Witus, AE; Zwartz, D</t>
  </si>
  <si>
    <t>Bentley, Michael J.; Cofaigh, Colm O.; Anderson, John B.; Conway, Howard; Davies, Bethan; Graham, Alastair G. C.; Hillenbrand, Claus-Dieter; Hodgson, Dominic A.; Jamieson, Stewart S. R.; Larter, Robert D.; Mackintosh, Andrew; Smith, James A.; Verleyen, Elie; Ackert, Robert P.; Bart, Philip J.; Berg, Sonja; Brunstein, Daniel; Canals, Miguel; Colhoun, Eric A.; Crosta, Xavier; Dickens, William A.; Domack, Eugene; Dowdeswell, Julian A.; Dunbar, Robert; Ehrmann, Werner; Evans, Jeffrey; Favier, Vincent; Fink, David; Fogwill, Christopher J.; Glasser, Neil F.; Gohl, Karsten; Golledge, Nicholas R.; Goodwin, Ian; Gore, Damian B.; Greenwood, Sarah L.; Hall, Brenda L.; Hall, Kevin; Hedding, David W.; Hein, Andrew S.; Hocking, Emma P.; Jakobsson, Martin; Johnson, Joanne S.; Jomelli, Vincent; Jones, R. Selwyn; Klages, Johann P.; Kristoffersen, Yngve; Kuhn, Gerhard; Leventer, Amy; Licht, Kathy; Lilly, Katherine; Lindow, Julia; Livingstone, Stephen J.; Masse, Guillaume; McGlone, Matt S.; McKay, Robert M.; Melles, Martin; Miura, Hideki; Mulvaney, Robert; Nel, Werner; Nitsche, Frank O.; O'Brien, Philip E.; Post, Alexandra L.; Roberts, Stephen J.; Saunders, Krystyna M.; Selkirk, Patricia M.; Simms, Alexander R.; Spiegel, Cornelia; Stolldorf, Travis D.; Sugden, David E.; van der Putten, Nathalie; van Ommen, Tas; Verfaillie, Deborah; Vyverman, Wim; Wagner, Bernd; White, Duanne A.; Witus, Alexandra E.; Zwartz, Dan</t>
  </si>
  <si>
    <t>RAISED Consortium</t>
  </si>
  <si>
    <t>A community-based geological reconstruction of Antarctic Ice Sheet deglaciation since the Last Glacial Maximum</t>
  </si>
  <si>
    <t>QUATERNARY SCIENCE REVIEWS</t>
  </si>
  <si>
    <t>Antarctic Ice Sheet; Glacial geology; Modelling; Quaternary</t>
  </si>
  <si>
    <t>WEDDELL SEA EMBAYMENT; ISOSTATIC-ADJUSTMENT; STREAM STABILITY; LEVEL RISE; CONSTRAINTS; RETREAT; HISTORY; EXTENT; TERRESTRIAL; PENINSULA</t>
  </si>
  <si>
    <t>A robust understanding of Antarctic Ice Sheet deglacial history since the Last Glacial Maximum is important in order to constrain ice sheet and glacial-isostatic adjustment models, and to explore the forcing mechanisms responsible for ice sheet retreat. Such understanding can be derived from a broad range of geological and glaciological datasets and recent decades have seen an upsurge in such data gathering around the continent and Sub-Antarctic islands. Here, we report a new synthesis of those datasets, based on an accompanying series of reviews of the geological data, organised by sector. We present a series of timeslice maps for 20 ka, 15 ka, 10 ka and 5 ka, including grounding line position and ice sheet thickness changes, along with a clear assessment of levels of confidence. The reconstruction shows that the Antarctic Ice sheet did not everywhere reach the continental shelf edge at its maximum, that initial retreat was asynchronous, and that the spatial pattern of deglaciation was highly variable, particularly on the inner shelf. The deglacial reconstruction is consistent with a moderate overall excess ice volume and with a relatively small Antarctic contribution to meltwater pulse la. We discuss key areas of uncertainty both around the continent and by time interval, and we highlight potential priorities for future work. The synthesis is intended to be a resource for the modelling and glacial geological community. (C) 2014 The Authors. Published by Elsevier Ltd.</t>
  </si>
  <si>
    <t>[Bentley, Michael J.; Cofaigh, Colm O.; Jamieson, Stewart S. R.; Simms, Alexander R.] Univ Durham, Dept Geog, Sci Labs, Durham DH1 3LE, England; [Anderson, John B.; Stolldorf, Travis D.; Witus, Alexandra E.] Rice Univ, Dept Earth Sci, Houston, TX 77005 USA; [Conway, Howard] Univ Washington, Dept Earth &amp; Space Sci, Seattle, WA 98195 USA; [Davies, Bethan; Glasser, Neil F.] Aberystwyth Univ, Dept Geog &amp; Earth Sci, Ctr Glaciol, Aberystwyth SY23 3DB, Dyfed, Wales; [Graham, Alastair G. C.] Univ Exeter, Coll Life &amp; Environm Sci, Exeter EX4 4RJ, Devon, England; [Hillenbrand, Claus-Dieter; Hodgson, Dominic A.; Larter, Robert D.; Smith, James A.; Dickens, William A.; Johnson, Joanne S.; Mulvaney, Robert; Roberts, Stephen J.] British Antarctic Survey, Cambridge CB3 0ET, England; [Mackintosh, Andrew; Golledge, Nicholas R.; Jones, R. Selwyn; McKay, Robert M.; Zwartz, Dan] Victoria Univ Wellington, Antarctic Res Ctr, Wellington, New Zealand; [Verleyen, Elie; Vyverman, Wim] Univ Ghent, Dept Biol, Lab Protistol &amp; Aquat Ecol, B-9000 Ghent, Belgium; [Ackert, Robert P.] Harvard Univ, Dept Earth &amp; Planetary Sci, Cambridge, MA 02138 USA; [Bart, Philip J.] Louisiana State Univ, Dept Geol &amp; Geophys, Baton Rouge, LA 70803 USA; [Berg, Sonja; Melles, Martin; Wagner, Bernd] Univ Cologne, Inst Geol &amp; Mineral, D-50674 Cologne, Germany; [Brunstein, Daniel; Jomelli, Vincent] Univ Paris 01, CNRS, Lab Geog Phys, F-92195 Meudon, France; [Canals, Miguel] Univ Barcelona, Fac Geol, Dept Stratig Paleontol &amp; Marine Geosci, CRG Marine Geosci, E-08028 Barcelona, Spain; [Colhoun, Eric A.] Univ Newcastle, Sch Environm &amp; Life Sci, Callaghan, NSW 2308, Australia; [Crosta, Xavier] Univ Bordeaux 1, UMR 5805, F-33405 Talence, France; [Domack, Eugene] Univ S Florida, Coll Marine Sci, St Petersburg, FL 33701 USA; [Dowdeswell, Julian A.] Univ Cambridge, Scott Polar Res Inst, Cambridge CB2 1ER, England; [Dunbar, Robert] Stanford Univ, Stanford, CA 94305 USA; [Ehrmann, Werner] Univ Leipzig, Inst Geol &amp; Geophys, D-04103 Leipzig, Germany; [Evans, Jeffrey] Univ Loughborough, Dept Geog, Loughborough LE11 3TU, Leics, England; [Favier, Vincent; Verfaillie, Deborah] UJF CNRS, UMR5183, LGGE, F-38402 St Martin Dheres, France; [Fink, David] Australian Nucl Sci &amp; Technol Org, Inst Environm Res, Menai, NSW 2234, Australia; [Fogwill, Christopher J.] Univ New S Wales, Climate Change Res Ctr, Sydney, NSW, Australia; [Gohl, Karsten; Klages, Johann P.; Kuhn, Gerhard] Helmholtz Ctr Polar &amp; Marine Res, Alfred Wegener Inst, D-27568 Bremerhaven, Germany; [Goodwin, Ian; Gore, Damian B.; O'Brien, Philip E.] Macquarie Univ, Dept Geog &amp; Environm, N Ryde, NSW 2109, Australia; [Greenwood, Sarah L.; Jakobsson, Martin] Stockholm Univ, Dept Geol Sci, S-10691 Stockholm, Sweden; [Hall, Brenda L.] Univ Maine, Sch Earth &amp; Climate Sci, Orono, ME USA; [Hall, Kevin] Univ No British Columbia, Geog Programme, Prince George, BC V2N 479, Canada; [Hedding, David W.] Univ S Africa, Dept Geog, ZA-1710 Florida, South Africa; [Hein, Andrew S.; Sugden, David E.] Univ Edinburgh, Sch Geosci, Edinburgh EH8 9XP, Midlothian, Scotland; [Hocking, Emma P.] Northumbria Univ, Dept Geog, Newcastle Upon Tyne NE1 8ST, Tyne &amp; Wear, England; [Kristoffersen, Yngve] Univ Bergen, Dept Earth Sci, N-5014 Bergen, Norway; [Leventer, Amy; Lindow, Julia] Colgate Univ, Dept Geol, Hamilton, NY 13346 USA; [Licht, Kathy] Indiana Univ Purdue Univ, Dept Earth Sci, Indianapolis, IN 46202 USA; [Lilly, Katherine] Univ Otago, Dept Geol, Dunedin, New Zealand; [Lindow, Julia; Spiegel, Cornelia] Univ Bremen, Dept Geosci, D-28359 Bremen, Germany; [Livingstone, Stephen J.] Univ Sheffield, Dept Geog, Sheffield S10 2TN, S Yorkshire, England; [Masse, Guillaume] Univ Paris 06, CNRS, IRD, MNHN,LOCEAN,UMR7159, F-75252 Paris, France; [McGlone, Matt S.] Landcare Res, Lincoln 7640, New Zealand; [Miura, Hideki] Natl Inst Polar Res, Tokyo 1908518, Japan; [Nel, Werner] Univ Ft Hare, Dept Geog &amp; Environm Sci, ZA-5700 Alice, South Africa; [Nitsche, Frank O.] Columbia Univ, Lamont Doherty Earth Observ, Palisades, NY USA; [Post, Alexandra L.] Geosci Australia, Canberra, ACT 2601, Australia; [Saunders, Krystyna M.] Univ Bern, Inst Geog, CH-3012 Bern, Switzerland; [Saunders, Krystyna M.] Univ Bern, Oeschger Ctr Climate Change Res, CH-3012 Bern, Switzerland; [Selkirk, Patricia M.] Macquarie Univ, Dept Biol Sci, N Ryde, NSW 2109, Australia; [Simms, Alexander R.] Univ Calif Santa Barbara, Dept Earth Sci, Santa Barbara, CA 93106 USA; [van der Putten, Nathalie] Lund Univ, Dept Geol, SE-22362 Lund, Sweden; [van Ommen, Tas] Australian Antarctic Div, Hobart, Tas 7001, Australia; [van Ommen, Tas] Antarctic Climate &amp; Ecosyst Cooperat Res Ctr, Hobart, Tas 7001, Australia; [White, Duanne A.] Univ Canberra, Inst Appl Ecol, Canberra, ACT 2601, Australia</t>
  </si>
  <si>
    <t>Durham University; Rice University; University of Washington; University of Washington Seattle; Aberystwyth University; University of Exeter; UK Research &amp; Innovation (UKRI); Natural Environment Research Council (NERC); NERC British Antarctic Survey; Victoria University Wellington; Ghent University; Harvard University; Louisiana State University System; Louisiana State University; University of Cologne; Universite Paris-Est-Creteil-Val-de-Marne (UPEC); Centre National de la Recherche Scientifique (CNRS); University of Barcelona; University of Newcastle; Centre National de la Recherche Scientifique (CNRS); Universite de Bordeaux; CNRS - National Institute for Earth Sciences &amp; Astronomy (INSU); State University System of Florida; University of South Florida; University of Cambridge; Stanford University; Leipzig University; Loughborough University; Centre National de la Recherche Scientifique (CNRS); Communaute Universite Grenoble Alpes; Universite Grenoble Alpes (UGA); Australian Nuclear Science &amp; Technology Organisation; University of New South Wales Sydney; Helmholtz Association; Alfred Wegener Institute, Helmholtz Centre for Polar &amp; Marine Research; Macquarie University; Stockholm University; University of Maine System; University of Maine Orono; University of Northern British Columbia; University of South Africa; University of Edinburgh; Northumbria University; University of Bergen; Colgate University; Indiana University System; Indiana University-Purdue University Indianapolis; University of Otago; University of Bremen; University of Sheffield; Sorbonne Universite; Centre National de la Recherche Scientifique (CNRS); CNRS - National Institute for Earth Sciences &amp; Astronomy (INSU); Museum National d'Histoire Naturelle (MNHN); Institut de Recherche pour le Developpement (IRD); Landcare Research - New Zealand; Research Organization of Information &amp; Systems (ROIS); National Institute of Polar Research (NIPR) - Japan; University of Fort Hare; Columbia University; Geoscience Australia; University of Bern; University of Bern; Macquarie University; University of California System; University of California Santa Barbara; Lund University; Australian Antarctic Division; Antarctic Climate &amp; Ecosystems Cooperative Research Centre (ACE CRC); University of Canberra</t>
  </si>
  <si>
    <t>Bentley, MJ (corresponding author), Univ Durham, Dept Geog, Sci Labs, South Rd, Durham DH1 3LE, England.</t>
  </si>
  <si>
    <t>m.j.bentley@durham.ac.uk</t>
  </si>
  <si>
    <t>White, Duanne A/E-6919-2012; Smith, James A/N-1836-2013; Jakobsson, Martin/JAN-6828-2023; Hocking, Emma/Q-6241-2019; Favier, Vincent/T-1936-2017; Jones, Richard Selwyn/AAJ-3949-2021; jomelli, vincent/AAO-9488-2020; Jamieson, Stewart S.R./B-8330-2013; van Ommen, Tas D/B-5020-2012; Davies, Bethan/KFR-3266-2024; Wagner, Bernd/J-4682-2012; Fogwill, Christopher/HPF-1150-2023; Melles, Martin/J-4070-2012; Bentley, Michael J/F-7386-2011; McKay, Robert/N-2449-2015; fink, David/A-9518-2012; Hein, Andrew/JWO-3756-2024; Nitsche, Frank O/A-9343-2009; Simms, Alexander R/E-5609-2012; Jakobsson, Martin/F-6214-2010; Hedding, David William/F-3044-2011; Lindow, Julia/IWU-9276-2023; Mulvaney, Robert/K-3929-2012; Berg, Sonja/AAW-3817-2021; Fogwill, Chris/AAW-3502-2021; Canals, Miquel/F-4922-2013</t>
  </si>
  <si>
    <t>Hocking, Emma/0000-0002-8925-1695; Jones, Richard Selwyn/0000-0003-2988-0999; jomelli, vincent/0000-0002-4512-5216; Jamieson, Stewart S.R./0000-0002-9036-2317; Davies, Bethan/0000-0002-8636-1813; Wagner, Bernd/0000-0002-1369-7893; Melles, Martin/0000-0003-0977-9463; Bentley, Michael J/0000-0002-2048-0019; McKay, Robert/0000-0002-5602-6985; fink, David/0000-0001-7156-4602; Nitsche, Frank O/0000-0002-4137-547X; Hedding, David William/0000-0002-9748-4499; Lindow, Julia/0000-0002-7922-5135; Fogwill, Chris/0000-0002-6471-1106; Graham, Alastair/0000-0002-2880-2908; Canals, Miquel/0000-0001-5267-7601</t>
  </si>
  <si>
    <t>NERC [NE/F014260/1]; Scientific Committee on Antarctic Research (SCAR) research programme 'Antarctic Climate Evolution' (ACE); Directorate For Geosciences; Office of Polar Programs (OPP) [1430002] Funding Source: National Science Foundation; Directorate For Geosciences; Office of Polar Programs (OPP) [0944307, 1246353] Funding Source: National Science Foundation; Division Of Ocean Sciences; Directorate For Geosciences [1129101] Funding Source: National Science Foundation; Natural Environment Research Council [NE/J018333/1, NE/J005673/1, NE/F000359/1, bas0100024, bas0100027, NE/J008176/1, NER/G/S/2003/00020, NE/K000527/2, NE/F014260/1, NE/K003933/1, NE/F01452X/1, NER/G/S/2003/00141, NE/K003674/1] Funding Source: researchfish; NERC [NE/K003933/1, NE/K003674/1, bas0100027, NE/F01452X/1, NE/F000359/1, NE/J018333/1, NE/J008176/1, NE/F014260/1, bas0100024, NE/K000527/2, NE/J005673/1] Funding Source: UKRI</t>
  </si>
  <si>
    <t>NERC(UK Research &amp; Innovation (UKRI)Natural Environment Research Council (NERC)); Scientific Committee on Antarctic Research (SCAR) research programme 'Antarctic Climate Evolution' (ACE); Directorate For Geosciences; Office of Polar Programs (OPP)(National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</si>
  <si>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Our thanks go to the many individuals who have studied Antarctic deglaciation and the people who have supported them in the field and at sea over the last several decades - our understanding of ice-sheet behaviour and this volume would not exist without their dedicated hard work, often in demanding conditions. We also thank all of the national funding agencies who have supported the work described in this volume (MJB acknowledges NERC grant NE/F014260/1). We also thank the Editors of QSR for their helpful comments and editorial support and to Chris Clark and Mike Hambrey for reviews that helped improve the paper. Tim Horscroft was very helpful in keeping the various papers on schedule. The Scientific Committee on Antarctic Research (SCAR) research programme 2004-2011 'Antarctic Climate Evolution' (ACE) provided funding for an initial discussion workshop for which we are grateful. This Special Volume forms an output of the SCAR programme 'Past Antarctic Ice Sheet Dynamics' (PAIS).</t>
  </si>
  <si>
    <t>0277-3791</t>
  </si>
  <si>
    <t>QUATERNARY SCI REV</t>
  </si>
  <si>
    <t>Quat. Sci. Rev.</t>
  </si>
  <si>
    <t>10.1016/j.quascirev.2014.06.025</t>
  </si>
  <si>
    <t>AP7JD</t>
  </si>
  <si>
    <t>Green Published, Green Accepted, hybrid</t>
  </si>
  <si>
    <t>WOS:000342252700001</t>
  </si>
  <si>
    <t>Mackintosh, AN; Verleyen, E; O'Brien, PE; White, DA; Jones, RS; McKay, R; Dunbar, R; Gore, DB; Fink, D; Post, AL; Miura, H; Leventer, A; Goodwin, I; Hodgson, DA; Lilly, K; Crosta, X; Golledge, NR; Wagner, B; Berg, S; van Ommen, T; Zwartz, D; Roberts, SJ; Vyverman, W; Masse, G</t>
  </si>
  <si>
    <t>Mackintosh, Andrew N.; Verleyen, Elie; O'Brien, Philip E.; White, Duanne A.; Jones, R. Selwyn; McKay, Robert; Dunbar, Robert; Gore, Damian B.; Fink, David; Post, Alexandra L.; Miura, Hideki; Leventer, Amy; Goodwin, Ian; Hodgson, Dominic A.; Lilly, Katherine; Crosta, Xavier; Golledge, Nicholas R.; Wagner, Bernd; Berg, Sonja; van Ommen, Tas; Zwartz, Dan; Roberts, Stephen J.; Vyverman, Wim; Masse, Guillaume</t>
  </si>
  <si>
    <t>Retreat history of the East Antarctic Ice Sheet since the Last Glacial Maximum</t>
  </si>
  <si>
    <t>Antarctica; Last Glacial Maximum; Ice sheet; Sea level rise</t>
  </si>
  <si>
    <t>LUTZOW-HOLM BAY; PLEISTOCENE-HOLOCENE RETREAT; SOUTHERN WINDMILL ISLANDS; PRINCE-CHARLES MOUNTAINS; STOMACH OIL DEPOSITS; WILKES LAND MARGIN; SEA-LEVEL CHANGE; EPICA DOME-C; BUNGER HILLS; CONTINENTAL-SHELF</t>
  </si>
  <si>
    <t>The East Antarctic Ice Sheet (EAIS) is the largest continental ice mass on Earth, and documenting its evolution since the Last Glacial Maximum (LGM) is important for understanding its present-day and future behaviour. As part of a community effort, we review geological evidence from East Antarctica that constrains the ice sheet history throughout this period (similar to 30,000 years ago to present). This includes terrestrial cosmogenic nuclide dates from previously glaciated regions, C-14 chronologies from glacial and post-glacial deposits onshore and on the continental shelf, and ice sheet thickness changes inferred from ice cores and continental-scale ice sheet models. We also include new C-14 dates from the George V Land Terre Adelie Coast shelf. We show that the EAIS advanced to the continental shelf margin in some parts of East Antarctica, and that the ice sheet characteristically thickened by 300-400 m near the present-day coastline at these sites. This advance was associated with the formation of low-gradient ice streams that grounded at depths of &gt;1 km below sea level on the inner continental shelf. The Lambert/Amery system thickened by a greater amount (800 m) near its present-day grounding zone, but did not advance beyond the inner continental shelf. At other sites in coastal East Antarctica (e.g. Bunger Hills, Larsemann Hills), very little change in the ice sheet margin occurred at the LGM, perhaps because ice streams accommodated any excess ice build up, leaving adjacent, ice-free areas relatively unaffected. Evidence from nunataks indicates that the amount of ice sheet thickening diminished inland at the LGM, an observation supported by ice cores, which suggest that interior ice sheet domes were similar to 100 m lower than present at this time. Ice sheet recession may have started similar to 18,000 years ago in the Lambert/Amery glacial system, and by similar to 14,000 years ago in Mac.Robertson Land. These early pulses of deglaciation may have been responses to abrupt sea-level rise events such as Meltwater Pulse la, destabilising the margins of the ice sheet. It is unlikely, however, that East Antarctica contributed more than similar to 1 m of eustatic sea-level equivalent to post-glacial meltwater pulses. The majority of ice sheet recession occurred after Meltwater Pulse la, between similar to 12,000 and similar to 6000 years ago, during a period when the adjacent ocean warmed significantly. Large tracts of East Antarctica remain poorly studied, and further work is required to develop a robust understanding of the LGM ice sheet expansion, and its subsequent contraction. Further work will also allow the contribution of the EAIS to post-glacial sea-level rise, and present-day estimates of glacio-isostatic adjustment to be refined. (C) 2014 The Authors. Published by Elsevier Ltd. All rights reserved.</t>
  </si>
  <si>
    <t>[Mackintosh, Andrew N.; Jones, R. Selwyn; McKay, Robert; Golledge, Nicholas R.; Zwartz, Dan] Victoria Univ Wellington, Antarctic Res Ctr, Wellington, New Zealand; [Verleyen, Elie; Vyverman, Wim] Univ Ghent, B-9000 Ghent, Belgium; [O'Brien, Philip E.; Gore, Damian B.; Goodwin, Ian] Macquarie Univ, Dept Geog &amp; Environm, N Ryde, NSW 2109, Australia; [White, Duanne A.] Univ Canberra, Inst Appl Ecol, Canberra, ACT 2601, Australia; [Dunbar, Robert] Stanford Univ, Stanford, CA 94305 USA; [Fink, David] ANSTO, Inst Environm Res, Menai, NSW 2234, Australia; [Post, Alexandra L.] Geosci Australia, Canberra, ACT 2601, Australia; [Miura, Hideki] Natl Inst Polar Res, Tachikawa, Tokyo 1908518, Japan; [Leventer, Amy] Colgate Univ, Dept Geol, Hamilton, NY 13346 USA; [Hodgson, Dominic A.; Roberts, Stephen J.] British Antarctic Survey, Nat Environm Res Council, Cambridge CB3 0ET, England; [Lilly, Katherine] Univ Otago, Dept Geol, Dunedin, New Zealand; [Crosta, Xavier] Univ Bordeaux 1, UMR 5805, F-33405 Talence, France; [Golledge, Nicholas R.] GNS Sci, Lower Hutt 5040, New Zealand; [Wagner, Bernd; Berg, Sonja] Univ Cologne, Inst Geol &amp; Mineral, D-50674 Cologne, Germany; [van Ommen, Tas] Australian Antarctic Div, Hobart, Tas 7001, Australia; [van Ommen, Tas] Antarctic Climate &amp; Ecosyst Cooperat Res Ctr, Hobart, Tas 7001, Australia; [Masse, Guillaume] Univ Paris 06, LOCEAN, CNRS UPMC IRD MNHN UMR7159, F-75252 Paris, France</t>
  </si>
  <si>
    <t>Victoria University Wellington; Ghent University; Macquarie University; University of Canberra; Stanford University; Australian Nuclear Science &amp; Technology Organisation; Geoscience Australia; Research Organization of Information &amp; Systems (ROIS); National Institute of Polar Research (NIPR) - Japan; Colgate University; UK Research &amp; Innovation (UKRI); Natural Environment Research Council (NERC); NERC British Antarctic Survey; University of Otago; Centre National de la Recherche Scientifique (CNRS); Universite de Bordeaux; CNRS - National Institute for Earth Sciences &amp; Astronomy (INSU); GNS Science - New Zealand; University of Cologne; Australian Antarctic Division; Antarctic Climate &amp; Ecosystems Cooperative Research Centre (ACE CRC); Sorbonne Universite; Centre National de la Recherche Scientifique (CNRS); CNRS - National Institute for Earth Sciences &amp; Astronomy (INSU); Museum National d'Histoire Naturelle (MNHN)</t>
  </si>
  <si>
    <t>Mackintosh, AN (corresponding author), Victoria Univ Wellington, Antarctic Res Ctr, POB 600, Wellington, New Zealand.</t>
  </si>
  <si>
    <t>Andrew.Mackintosh@vuw.ac.nz</t>
  </si>
  <si>
    <t>McKay, Robert/N-2449-2015; Jones, Richard Selwyn/AAJ-3949-2021; Berg, Sonja/AAW-3817-2021; Wagner, Bernd/J-4682-2012; fink, David/A-9518-2012; White, Duanne A/E-6919-2012; van Ommen, Tas/B-5020-2012</t>
  </si>
  <si>
    <t>McKay, Robert/0000-0002-5602-6985; Jones, Richard Selwyn/0000-0003-2988-0999; Wagner, Bernd/0000-0002-1369-7893; fink, David/0000-0001-7156-4602; Dunbar, Robert/0000-0002-9728-5609; O'Brien, Philip/0000-0003-3446-3292; Roberts, Stephen/0000-0003-3407-9127; Post, Alexandra/0000-0002-6287-3283; Leventer, Amy/0000-0001-9401-0987; Berg, Sonja/0000-0002-9629-6007; van Ommen, Tas/0000-0002-2463-1718; Goodwin, Ian/0000-0001-8682-6409; Mackintosh, Andrew/0000-0002-6430-4711; White, Duanne/0000-0003-0740-2072; Gore, Damian/0000-0002-0377-8518; Golledge, Nicholas/0000-0001-7676-8970</t>
  </si>
  <si>
    <t>Antarctic Climate Evolution (ACE) scientific research programme of the Scientific Committee on Antarctic Research (SCAR); VUW Foundation Grant 'Antarctic Research Centre Climate and Ice-Sheet Modelling'; BeISPO (Holant project); InBev-Baillet-Latour Fund; ANR CLIMICE; NERC [bas0100024] Funding Source: UKRI; Division Of Ocean Sciences; Directorate For Geosciences [1129101] Funding Source: National Science Foundation; Natural Environment Research Council [bas0100024] Funding Source: researchfish; Grants-in-Aid for Scientific Research [21253001] Funding Source: KAKEN</t>
  </si>
  <si>
    <t>Antarctic Climate Evolution (ACE) scientific research programme of the Scientific Committee on Antarctic Research (SCAR); VUW Foundation Grant 'Antarctic Research Centre Climate and Ice-Sheet Modelling'; BeISPO (Holant project); InBev-Baillet-Latour Fund; ANR CLIMICE(Agence Nationale de la Recherche (ANR)); NERC(UK Research &amp; Innovation (UKRI)Natural Environment Research Council (NERC)); Division Of Ocean Sciences; Directorate For Geosciences(National Science Foundation (NSF)NSF - Directorate for Geosciences (GEO));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</si>
  <si>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acknowledge financial support from the Antarctic Climate Evolution (ACE) scientific research programme of the Scientific Committee on Antarctic Research (SCAR) for a workshop held in 2011 in Edinburgh (UK) that initiated the Antarctic Ice Sheet community reconstruction initiative. Mackintosh and Golledge acknowledge financial support from the VUW Foundation Grant 'Antarctic Research Centre Climate and Ice-Sheet Modelling'. Verleyen and Vyverman acknowledge financial support from BeISPO (Holant project) and the InBev-Baillet-Latour Fund. Crosta and Masse acknowledge financial support from ANR CLIMICE. We thank Pippa Whitehouse for providing modelled ice sheet elevations, David Pollard and Robert DeConto for discussion of their ice sheet model and Shaun Eaves for providing feedback on the manuscript. We also thank two anonymous reviewers and guest editor John Anderson for feedback that improved the manuscript.</t>
  </si>
  <si>
    <t>1873-457X</t>
  </si>
  <si>
    <t>10.1016/j.quascirev.2013.07.024</t>
  </si>
  <si>
    <t>WOS:000342252700002</t>
  </si>
  <si>
    <t>Anderson, JB; Conway, H; Bart, PJ; Witus, AE; Greenwood, SL; McKay, RM; Hall, BL; Ackert, RP; Licht, K; Jakobsson, M; Stone, JO</t>
  </si>
  <si>
    <t>Anderson, John B.; Conway, Howard; Bart, Philip J.; Witus, Alexandra E.; Greenwood, Sarah L.; McKay, Robert M.; Hall, Brenda L.; Ackert, Robert P.; Licht, Kathy; Jakobsson, Martin; Stone, John O.</t>
  </si>
  <si>
    <t>Ross Sea paleo-ice sheet drainage and deglacial history during and since the LGM</t>
  </si>
  <si>
    <t>Ross Sea; Glacial history; LGM-post LGM; Paleodrainage</t>
  </si>
  <si>
    <t>GROUNDING-LINE RETREAT; LAST GLACIAL MAXIMUM; PLEISTOCENE-HOLOCENE RETREAT; TERRA-NOVA BAY; WEST ANTARCTICA; VICTORIA LAND; MCMURDO SOUND; SURFACE FLUCTUATIONS; HATHERTON GLACIER; MARINE-SEDIMENTS</t>
  </si>
  <si>
    <t>Onshore and offshore studies show that an expanded, grounded ice sheet occupied the Ross Sea Embayment during the Last Glacial Maximum (LGM). Results from studies of till provenance and the orientation of geomorphic features on the continental shelf show that more than half of the grounded ice sheet consisted of East Antarctic ice flowing through Transantarctic Mountain (TAM) outlet glaciers; the remainder came from West Antarctica. Terrestrial data indicate little or no thickening in the upper catchment regions in both West and East Antarctica during the LGM. In contrast, evidence from the mouths of the southern and central TAM outlet glaciers indicate surface elevations between 1000 m and 1100 m (above present-day sea level). Farther north along the western margin of the Ross Ice Sheet, surface elevations reached 720 m on Ross Island, and 400 m at Terra Nova Bay. Evidence from Marie Byrd Land at the eastern margin of the ice sheet indicates that the elevation near the present-day grounding line was more than 800 m asl, while at Siple Dome in the central Ross Embayment, the surface elevation was about 950 m asl. Farther north, evidence that the ice sheet was grounded on the middle and the outer continental shelf during the LGM implies that surface elevations had to be at least 100 m above the LGM sea level. The apparent low surface profile and implied low basal shear stress in the central and eastern embayment suggests that although the ice streams may have slowed during the LGM, they remained active. Ice-sheet retreat from the western Ross Embayment during the Holocene is constrained by marine and terrestrial data. Ages from marine sediments suggest that the grounding line had retreated from its LGM outer shelf location only a few tens of kilometer to a location south of Coulman Island by similar to 13 ka BP. The ice sheet margin was located in the vicinity of the Drygalski Ice Tongue by similar to 11 ka BP, just north of Ross Island by similar to 7.8 ka BP, and near Hatherton Glacier by similar to 6.8 ka BP. Farther south, Be-10 exposure ages from glacial erratics on nunataks near the mouths of Reedy, Scott and Beardmore Glaciers indicate thinning during the mid to late Holocene, but the grounding line did not reach its present position until 2 to 3 ka BP. Marine dates, which are almost exclusively Acid Insoluble Organic (AIO) dates, are consistently older than those derived from terrestrial data. However, even these ages indicate that the ice sheet experienced significant retreat after similar to 13 ka BP. Geomorphic features indicate that during the final stages of ice sheet retreat ice flowing through the TAM remained grounded on the shallow western margin of Ross Sea. The timing of retreat from the central Ross Sea remains unresolved; the simplest reconstruction is to assume that the grounding line here started to retreat from the continental shelf more or less in step with the retreat from the western and eastern sectors. An alternative hypothesis, which relies on the validity of radiocarbon ages from marine sediments, is that grounded ice had retreated from the outer continental shelf prior to the LGM. More reliable ages from marine sediments in the central Ross Embayment are needed to test and validate this hypothesis. (C) 2014 The Authors. Published by Elsevier Ltd. All rights reserved.</t>
  </si>
  <si>
    <t>[Anderson, John B.; Witus, Alexandra E.] Rice Univ, Dept Earth Sci, Houston, TX 77005 USA; [Conway, Howard; Stone, John O.] Univ Washington, Dept Earth &amp; Space Sci, Seattle, WA 98195 USA; [Bart, Philip J.] Louisiana State Univ, Dept Geol &amp; Geophys, Baton Rouge, LA 70803 USA; [Greenwood, Sarah L.; Jakobsson, Martin] Stockholm Univ, Dept Geol Sci, S-10691 Stockholm, Sweden; [McKay, Robert M.] Victoria Univ Wellington, Antarctic Res Ctr, Victoria, New Zealand; [Hall, Brenda L.] Univ Maine, Sch Earth &amp; Climate Sci, Orono, ME USA; [Hall, Brenda L.] Univ Maine, Climate Change Inst, Orono, ME USA; [Ackert, Robert P.] Harvard Univ, Dept Earth &amp; Planetary Sci, Cambridge, MA 02138 USA; [Licht, Kathy] Indiana Univ Purdue Univ, Dept Earth Sci, Indianapolis, IN 46202 USA</t>
  </si>
  <si>
    <t>Rice University; University of Washington; University of Washington Seattle; Louisiana State University System; Louisiana State University; Stockholm University; Victoria University Wellington; University of Maine System; University of Maine Orono; University of Maine System; University of Maine Orono; Harvard University; Indiana University System; Indiana University-Purdue University Indianapolis</t>
  </si>
  <si>
    <t>Anderson, JB (corresponding author), Rice Univ, Dept Earth Sci, 6100 Main St, Houston, TX 77005 USA.</t>
  </si>
  <si>
    <t>johna@rice.edu</t>
  </si>
  <si>
    <t>Jakobsson, Martin/JAN-6828-2023; McKay, Robert/N-2449-2015; Jakobsson, Martin/F-6214-2010</t>
  </si>
  <si>
    <t>McKay, Robert/0000-0002-5602-6985;</t>
  </si>
  <si>
    <t>Office of Polar Programs of the National Science Foundation; Swedish Polar Research Secretariat, Swedish Research Council; New Zealand Foundation for Research Science and Technology; Directorate For Geosciences; Office of Polar Programs (OPP) [0838818, 0944307, 1246353] Funding Source: National Science Foundation; Office of Polar Programs (OPP); Directorate For Geosciences [0944150] Funding Source: National Science Foundation</t>
  </si>
  <si>
    <t>Office of Polar Programs of the National Science Foundation; Swedish Polar Research Secretariat, Swedish Research Council; New Zealand Foundation for Research Science and Technology(New Zealand Foundation for Research, Science and Technology); Directorate For Geosciences; Office of Polar Programs (OPP)(National Science Foundation (NSF)NSF - Directorate for Geosciences (GEO)); Office of Polar Programs (OPP); Directorate For Geosciences(National Science Foundation (NSF)NSF - Directorate for Geosciences (GEO))</t>
  </si>
  <si>
    <t>We thank all of the many colleagues and students, past and present, who have worked with us on the glacial history of the Ross Sea region. The Office of Polar Programs of the National Science Foundation funded the US component of this work. The Swedish component was funded by the Swedish Polar Research Secretariat, Swedish Research Council and the New Zealand component by the New Zealand Foundation for Research Science and Technology.</t>
  </si>
  <si>
    <t>10.1016/j.quascirev.2013.08.020</t>
  </si>
  <si>
    <t>WOS:000342252700003</t>
  </si>
  <si>
    <t>Larter, RD; Anderson, JB; Graham, AGC; Gohl, K; Hillenbrand, CD; Jakobsson, M; Johnson, JS; Kuhn, G; Nitsche, FO; Smith, JA; Witus, AE; Bentley, MJ; Dowdeswell, JA; Ehrmann, W; Klages, JP; Lindow, J; Cofaigh, CO; Spiegel, C</t>
  </si>
  <si>
    <t>Larter, Robert D.; Anderson, John B.; Graham, Alastair G. C.; Gohl, Karsten; Hillenbrand, Claus-Dieter; Jakobsson, Martin; Johnson, Joanne S.; Kuhn, Gerhard; Nitsche, Frank O.; Smith, James A.; Witus, Alexandra E.; Bentley, Michael J.; Dowdeswell, Julian A.; Ehrmann, Werner; Klages, Johann P.; Lindow, Julia; Cofaigh, Colm O.; Spiegel, Cornelia</t>
  </si>
  <si>
    <t>Reconstruction of changes in the Amundsen Sea and Bellingshausen Sea sector of the West Antarctic Ice Sheet since the Last Glacial Maximum</t>
  </si>
  <si>
    <t>Editorial Material</t>
  </si>
  <si>
    <t>Ice sheet; Last Glacial Maximum; Holocene; Ice stream; Grounding line; Radiocarbon; Cosmogenic isotope; Surface exposure age; Multibeam swath bathymetry; Sediment; Glacimarine; Diamicton; Continental shelf; Circumpolar deep water; Subglacial meltwater; Sea level</t>
  </si>
  <si>
    <t>PINE ISLAND BAY; GROUNDING-LINE RETREAT; MARIE-BYRD-LAND; CIRCUMPOLAR DEEP-WATER; ROSS-SEA; SEDIMENTARY PROCESSES; CONTINENTAL-MARGIN; PRODUCTION-RATES; EMBAYMENT SHELF; EXPOSURE AGES</t>
  </si>
  <si>
    <t>Marine and terrestrial geological and marine geophysical data that constrain deglaciation since the Last Glacial Maximum (LGM) of the sector of the West Antarctic Ice Sheet (WAIS) draining into the Amundsen Sea and Bellingshausen Sea have been collated and used as the basis for a set of time-slice reconstructions. The drainage basins in these sectors constitute a little more than one-quarter of the area of the WAIS, but account for about one-third of its surface accumulation. Their mass balance is becoming increasingly negative, and therefore they account for an even larger fraction of current WAIS discharge. If all of the ice in these sectors of the WAIS were discharged to the ocean, global sea level would rise by ca 2 m. There is compelling evidence that grounding lines of palaeo-ice streams were at, or close to, the continental shelf edge along the Amundsen Sea and Bellingshausen Sea margins during the last glacial period. However, the few cosmogenic surface exposure ages and ice core data available from the interior of West Antarctica indicate that ice surface elevations there have changed little since the LGM. In the few areas from which cosmogenic surface exposure ages have been determined near the margin of the ice sheet, they generally suggest that there has been a gradual decrease in ice surface elevation since pre-Holocene times. Radiocarbon dates from glacimarine and the earliest seasonally open marine sediments in continental shelf cores that have been interpreted as providing approximate ages for post-LGM grounding-line retreat indicate different trajectories of palaeo-ice stream recession in the Amundsen Sea and Bellingshausen Sea embayments. The areas were probably subject to similar oceanic, atmospheric and eustatic forcing, in which case the differences are probably largely a consequence of how topographic and geological factors have affected ice flow, and of topographic influences on snow accumulation and warm water inflow across the continental shelf. Pauses in ice retreat are recorded where there are bottle necks in cross-shelf troughs in both embayments. The highest retreat rates presently constrained by radiocarbon dates from sediment cores are found where the grounding line retreated across deep basins on the inner shelf in the Amundsen Sea, which is consistent with the marine ice sheet instability hypothesis. Deglacial ages from the Amundsen Sea Embayment (ASE) and Eltanin Bay (southern Bellingshausen Sea) indicate that the ice sheet had already retreated close to its modern limits by early Holocene time, which suggests that the rapid ice thinning, flow acceleration, and grounding line retreat observed in this sector over recent decades are unusual in the context of the past 10,000 years. (C) 2014 The Authors. Published by Elsevier Ltd. All rights reserved.</t>
  </si>
  <si>
    <t>[Larter, Robert D.; Graham, Alastair G. C.; Hillenbrand, Claus-Dieter; Johnson, Joanne S.; Smith, James A.] British Antarctic Survey, Cambridge CB3 0ET, England; [Anderson, John B.; Witus, Alexandra E.] Rice Univ, Dept Earth Sci, Houston, TX 77005 USA; [Graham, Alastair G. C.] Univ Exeter, Coll Life &amp; Environm Sci, Exeter EX4 4RJ, Devon, England; [Gohl, Karsten; Kuhn, Gerhard; Klages, Johann P.] Helmholtz Ctr Polar &amp; Marine Res, Alfred Wegener Inst, D-27568 Bremerhaven, Germany; [Jakobsson, Martin] Stockholm Univ, Dept Geol Sci, S-10691 Stockholm, Sweden; [Nitsche, Frank O.] Columbia Univ, Lamont Doherty Earth Observ, Palisades, NY USA; [Bentley, Michael J.; Cofaigh, Colm O.] Univ Durham, Dept Geog, Durham DH1 3LE, England; [Dowdeswell, Julian A.] Univ Cambridge, Scott Polar Res Inst, Cambridge CB2 1ER, England; [Ehrmann, Werner] Univ Leipzig, Inst Geol &amp; Geophys, D-04103 Leipzig, Germany; [Lindow, Julia; Spiegel, Cornelia] Univ Bremen, Dept Geosci, D-28359 Bremen, Germany</t>
  </si>
  <si>
    <t>UK Research &amp; Innovation (UKRI); Natural Environment Research Council (NERC); NERC British Antarctic Survey; Rice University; University of Exeter; Helmholtz Association; Alfred Wegener Institute, Helmholtz Centre for Polar &amp; Marine Research; Stockholm University; Columbia University; Durham University; University of Cambridge; Leipzig University; University of Bremen</t>
  </si>
  <si>
    <t>Larter, RD (corresponding author), British Antarctic Survey, Madingley Rd, Cambridge CB3 0ET, England.</t>
  </si>
  <si>
    <t>rdla@bas.ac.uk</t>
  </si>
  <si>
    <t>Nitsche, Frank O/A-9343-2009; Jakobsson, Martin/F-6214-2010; Smith, James A/N-1836-2013; Lindow, Julia/IWU-9276-2023; Bentley, Michael J/F-7386-2011; Jakobsson, Martin/JAN-6828-2023</t>
  </si>
  <si>
    <t>Nitsche, Frank O/0000-0002-4137-547X; Lindow, Julia/0000-0002-7922-5135; Bentley, Michael J/0000-0002-2048-0019; Dowdeswell, Julian/0000-0003-1369-9482; Jakobsson, Martin/0000-0002-9033-3559; Johnson, Joanne/0000-0003-4537-4447; Klages, Johann Philipp/0000-0003-0968-1183; Spiegel, Cornelia/0000-0002-1432-3447; Larter, Robert/0000-0002-8414-7389; Graham, Alastair/0000-0002-2880-2908; Gohl, Karsten/0000-0002-9558-2116; Kuhn, Gerhard/0000-0001-6069-7485</t>
  </si>
  <si>
    <t>Directorate For Geosciences; Office of Polar Programs (OPP) [1246353] Funding Source: National Science Foundation; NERC [NE/J008176/1, NE/J005673/1, bas0100027, NE/F000359/1] Funding Source: UKRI; Natural Environment Research Council [NE/J005673/1, bas0100027, NE/J008176/1, NE/F000359/1] Funding Source: researchfish</t>
  </si>
  <si>
    <t>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</si>
  <si>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10.1016/j.quascirev.2013.10.016</t>
  </si>
  <si>
    <t>Green Accepted, hybrid, Green Published</t>
  </si>
  <si>
    <t>WOS:000342252700004</t>
  </si>
  <si>
    <t>Cofaigh, CO; Davies, BJ; Livingstone, SJ; Smith, JA; Johnson, JS; Hocking, EP; Hodgson, DA; Anderson, JB; Bentley, MJ; Canals, M; Domack, E; Dowdeswell, JA; Evans, J; Glasser, NF; Hillenbrand, CD; Larter, RD; Roberts, SJ; Simms, AR</t>
  </si>
  <si>
    <t>Cofaigh, Coim O.; Davies, Bethan J.; Livingstone, Stephen J.; Smith, James A.; Johnson, Joanne S.; Hocking, Emma P.; Hodgson, Dominic A.; Anderson, John B.; Bentley, Michael J.; Canals, Miquel; Domack, Eugene; Dowdeswell, Julian A.; Evans, Jeffrey; Glasser, Neil F.; Hillenbrand, Claus-Dieter; Larter, Robert D.; Roberts, Stephen J.; Simms, Alexander R.</t>
  </si>
  <si>
    <t>Reconstruction of ice-sheet changes in the Antarctic Peninsula since the Last Glacial Maximum</t>
  </si>
  <si>
    <t>Antarctic Peninsula Ice Sheet; Last Glacial Maximum; Deglaciation; Antarctica; Glacial geology</t>
  </si>
  <si>
    <t>SOUTH-SHETLAND-ISLANDS; KING-GEORGE-ISLAND; JAMES-ROSS-ISLAND; RADIOCARBON AGE CALIBRATION; PRINCE GUSTAV CHANNEL; SEA-LEVEL CHANGES; MARGUERITE BAY; LATE-HOLOCENE; EXPOSURE AGES; WEDDELL SEA</t>
  </si>
  <si>
    <t>This paper compiles and reviews marine and terrestrial data constraining the dimensions and configuration of the Antarctic Peninsula Ice Sheet (APIS) from the Last Glacial Maximum (LGM) through deglaciation to the present day. These data are used to reconstruct grounding-line retreat in 5 ka time-steps from 25 ka BP to present. Glacial landforms and subglacial tills on the eastern and western Antarctic Peninsula (AP) shelf indicate that the APIS was grounded to the outer shelf/shelf edge at the LGM and contained a series of fast-flowing ice streams that drained along cross-shelf bathymetric troughs. The ice sheet was grounded at the shelf edge until similar to 20 cal ka BP. Chronological control on retreat is provided by radiocarbon dates on glacimarine sediments from the shelf troughs and on lacustrine and terrestrial organic remains, as well as cosmogenic nuclide dates on erratics and ice moulded bedrock. Retreat in the east was underway by about 18 cal ka BP. The earliest dates on recession in the west are from Bransfield Basin where recession was underway by 17.5 cal ka BP. Ice streams were active during deglaciation at least until the ice sheet had pulled back to the mid-shelf. The timing of initial retreat decreased progressively southwards along the western AP shelf; the large ice stream in Marguerite Trough may have remained grounded at the shelf edge until about 14 cal ka BP, although terrestrial cosmogenic nuclide ages indicate that thinning had commenced by 18 ka BP. Between 15 and 10 cal ka BP the APIS underwent significant recession along the western AP margin, although retreat between individual troughs was asynchronous. Ice in Marguerite Trough may have still been grounded on the mid-shelf at 10 cal ka BP. In the Larsen-A region the transition from grounded to floating ice was established by 10.7-10.6 cal ka BP. The APIS had retreated towards its present configuration in the western AP by the mid-Holocene but on the eastern peninsula may have approached its present configuration several thousand years earlier, by the start of the Holocene. Mid to late-Holocene retreat was diachronous with stillstands, re-advances and changes in ice-shelf configuration being recorded in most places. Subglacial topography exerted a major control on grounding-line retreat with grounding-zone wedges, and thus by inference slow-downs or stillstands in the retreat of the grounding line, occurring in some cases on reverse bed slopes. (C) 2014 Durham University. Published by Elsevier Ltd.</t>
  </si>
  <si>
    <t>[Cofaigh, Coim O.; Bentley, Michael J.] Univ Durham, Dept Geog, Durham DH1 3LE, England; [Davies, Bethan J.; Glasser, Neil F.] Aberystwyth Univ, Dept Geog &amp; Earth Sci, Ctr Glaciol, Aberystwyth SY23 3DB, Dyfed, Wales; [Livingstone, Stephen J.] Univ Sheffield, Dept Geog, Sheffield S10 2TN, S Yorkshire, England; [Smith, James A.; Johnson, Joanne S.; Hodgson, Dominic A.; Hillenbrand, Claus-Dieter; Larter, Robert D.; Roberts, Stephen J.] British Antarctic Survey, Cambridge CB3 0ET, England; [Hocking, Emma P.] Northumbria Univ, Dept Geog, Newcastle Upon Tyne NE1 8ST, Tyne &amp; Wear, England; [Anderson, John B.] Rice Univ, Dept Earth Sci, Houston, TX USA; [Canals, Miquel] Univ Barcelona, Fac Geol, CRG Marine Geosci, Dept Stratig Paleontol &amp; Marine Geosci, E-08028 Barcelona, Spain; [Domack, Eugene] Univ S Florida, Coll Marine Sci, St Petersburg, FL 33701 USA; [Dowdeswell, Julian A.] Univ Cambridge, Scott Polar Res Inst, Cambridge CB2 1ER, England; [Evans, Jeffrey] Univ Loughborough, Dept Geog, Loughborough LE11 3TU, Leics, England; [Simms, Alexander R.] Univ Calif Santa Barbara, Dept Earth Sci, Santa Barbara, CA 93106 USA</t>
  </si>
  <si>
    <t>Durham University; Aberystwyth University; University of Sheffield; UK Research &amp; Innovation (UKRI); Natural Environment Research Council (NERC); NERC British Antarctic Survey; Northumbria University; Rice University; University of Barcelona; State University System of Florida; University of South Florida; University of Cambridge; Loughborough University; University of California System; University of California Santa Barbara</t>
  </si>
  <si>
    <t>Cofaigh, CO (corresponding author), Univ Durham, Dept Geog, Durham DH1 3LE, England.</t>
  </si>
  <si>
    <t>colm.ocofaigh@durham.ac.uk</t>
  </si>
  <si>
    <t>Bentley, Michael J/F-7386-2011; Smith, James A/N-1836-2013; Hocking, Emma/Q-6241-2019; Simms, Alexander R/E-5609-2012; Canals, Miquel/F-4922-2013</t>
  </si>
  <si>
    <t>Bentley, Michael J/0000-0002-2048-0019; Hocking, Emma/0000-0002-8925-1695; Larter, Robert/0000-0002-8414-7389; Glasser, Neil/0000-0002-8245-2670; Livingstone, Stephen/0000-0002-7240-5037; Roberts, Stephen/0000-0003-3407-9127; Johnson, Joanne/0000-0003-4537-4447; Simms, Alexander/0000-0001-5034-2189; Canals, Miquel/0000-0001-5267-7601; Davies, Bethan/0000-0002-8636-1813; Dowdeswell, Julian/0000-0003-1369-9482</t>
  </si>
  <si>
    <t>Scientific Committee for Antarctic Research Antarctic Climate Evolution Programme (SCAR-ACE); UK Natural Environment Research Council (NERC); USA National Science Foundation (Office of Polar Programs); Spanish National Antarctic Program and MINECO Polar Research Area; Catalonian government; NERC [NE/J008176/1, NE/F014260/1, bas0100027, NE/J005673/1, bas0100024] Funding Source: UKRI; Natural Environment Research Council [NE/F014260/1, NE/J008176/1, bas0100027, bas0100024, NE/J005673/1] Funding Source: researchfish; Directorate For Geosciences; Office of Polar Programs (OPP) [1430002] Funding Source: National Science Foundation; Office of Polar Programs (OPP); Directorate For Geosciences [1246353] Funding Source: National Science Foundation</t>
  </si>
  <si>
    <t>Scientific Committee for Antarctic Research Antarctic Climate Evolution Programme (SCAR-ACE); UK Natural Environment Research Council (NERC)(UK Research &amp; Innovation (UKRI)Natural Environment Research Council (NERC)); USA National Science Foundation (Office of Polar Programs); Spanish National Antarctic Program and MINECO Polar Research Area; Catalonian government;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</si>
  <si>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This review is a contribution to the 'Reconstruction of Antarctic Ice Sheet Deglaciation' project which is supported by the Scientific Committee for Antarctic Research Antarctic Climate Evolution Programme (SCAR-ACE). The research that underpins this review was supported in numerous grants over many years awarded through various funding agencies but notably the UK Natural Environment Research Council (NERC), the USA National Science Foundation (Office of Polar Programs), the Spanish National Antarctic Program and MINECO Polar Research Area, and the Catalonian government.</t>
  </si>
  <si>
    <t>10.1016/j.quascirev.2014.06.023</t>
  </si>
  <si>
    <t>WOS:000342252700005</t>
  </si>
  <si>
    <t>Hillenbrand, CD; Bentley, MJ; Stolldorf, TD; Hein, AS; Kuhn, G; Graham, AGC; Fogwill, CJ; Kristoffersen, Y; Smith, JA; Anderson, JB; Larter, RD; Melles, M; Hodgson, DA; Mulvaney, R; Sugden, DE</t>
  </si>
  <si>
    <t>Hillenbrand, Claus-Dieter; Bentley, Michael J.; Stolldorf, Travis D.; Hein, Andrew S.; Kuhn, Gerhard; Graham, Alastair G. C.; Fogwill, Christopher J.; Kristoffersen, Yngve; Smith, James A.; Anderson, John B.; Larter, Robert D.; Melles, Martin; Hodgson, Dominic A.; Mulvaney, Robert; Sugden, David E.</t>
  </si>
  <si>
    <t>Reconstruction of changes in the Weddell Sea sector of the Antarctic Ice Sheet since the Last Glacial Maximum</t>
  </si>
  <si>
    <t>Antarctica; Cosmogenic nuclide surface exposure age dating; Deglaciation; Geomorphology; Glacial history; Ice sheet; Ice Shelf; Last Glacial Maximum; Radiocarbon dating; Sea level; Weddell Sea</t>
  </si>
  <si>
    <t>DRONNING MAUD LAND; PLEISTOCENE-HOLOCENE RETREAT; FILCHNER-RONNE ICE; WESTERN ROSS-SEA; TROUGH-MOUTH FAN; DEGLACIAL HISTORY; SOUTHERN-OCEAN; EMBAYMENT CONSTRAINTS; CONTINENTAL-MARGIN; MARINE-SEDIMENTS</t>
  </si>
  <si>
    <t>The Weddell Sea sector is one of the main formation sites for Antarctic Bottom Water and an outlet for about one fifth of Antarctica's continental ice volume. Over the last few decades, studies on glacial geological records in this sector have provided conflicting reconstructions of changes in ice-sheet extent and ice-sheet thickness since the Last Glacial Maximum (LGM at ca 23-19 calibrated kiloyears before present, cal ka BP). Terrestrial geomorphological records and exposure ages obtained from rocks in the hinterland of the Weddell Sea, ice-sheet thickness constraints from ice cores and some radiocarbon dates on offshore sediments were interpreted to indicate no significant ice thickening and locally restricted grounding-line advance at the LGM. Other marine geological and geophysical studies concluded that subglacial bedforms mapped on the Weddell Sea continental shelf, subglacial deposits and sediments over-compacted by overriding ice recovered in cores, and the few available radiocarbon ages from marine sediments are consistent with major ice-sheet advance at the LGM. Reflecting the geological interpretations, different ice-sheet models have reconstructed conflicting LGM ice-sheet configurations for the Weddell Sea sector. Consequently, the estimated contributions of ice-sheet build-up in the Weddell Sea sector to the LGM sea-level low-stand of similar to 130 m vary considerably. In this paper, we summarise and review the geological records of past ice-sheet margins and past ice-sheet elevations in the Weddell Sea sector. We compile marine and terrestrial chronological data constraining former ice-sheet size, thereby highlighting different levels of certainty, and present two alternative scenarios of the LGM ice-sheet configuration, including time-slice reconstructions for post-LGM grounding-line retreat. Moreover, we discuss consistencies and possible reasons for inconsistencies between the various reconstructions and propose objectives for future research. The aim of our study is to provide two alternative interpretations of glacial-geological datasets on Antarctic Ice-Sheet History for the Weddell Sea sector, which can be utilised to test and improve numerical ice-sheet models. (C) 2014 The Authors. Published by Elsevier Ltd. All rights reserved.</t>
  </si>
  <si>
    <t>[Hillenbrand, Claus-Dieter; Smith, James A.; Larter, Robert D.; Hodgson, Dominic A.; Mulvaney, Robert] British Antarctic Survey, Cambridge CB3 0ET, England; [Bentley, Michael J.] Univ Durham, Dept Geog, Durham DH1 3LE, England; [Stolldorf, Travis D.; Anderson, John B.] Rice Univ, Dept Earth Sci, Houston, TX 77005 USA; [Hein, Andrew S.; Sugden, David E.] Univ Edinburgh, Sch Geosci, Edinburgh EH8 9XP, Midlothian, Scotland; [Kuhn, Gerhard] Hemholtz Zentrum Polar &amp; Meeresforsch, Alfred Wegener Inst, D-27568 Bremerhaven, Germany; [Graham, Alastair G. C.] Univ Exeter, Coll Life &amp; Environm Sci, Exeter EX4 4RJ, Devon, England; [Fogwill, Christopher J.] Univ New S Wales, Climate Change Res Ctr, Sydney, NSW, Australia; [Kristoffersen, Yngve] Univ Bergen, Dept Earth Sci, N-5014 Bergen, Norway; [Melles, Martin] Univ Cologne, Inst Geol &amp; Mineral, D-50674 Cologne, Germany</t>
  </si>
  <si>
    <t>UK Research &amp; Innovation (UKRI); Natural Environment Research Council (NERC); NERC British Antarctic Survey; Durham University; Rice University; University of Edinburgh; Helmholtz Association; Alfred Wegener Institute, Helmholtz Centre for Polar &amp; Marine Research; University of Exeter; University of New South Wales Sydney; University of Bergen; University of Cologne</t>
  </si>
  <si>
    <t>Hillenbrand, CD (corresponding author), British Antarctic Survey, Madingley Rd, Cambridge CB3 0ET, England.</t>
  </si>
  <si>
    <t>hilc@bas.ac.uk</t>
  </si>
  <si>
    <t>Mulvaney, Robert/K-3929-2012; Fogwill, Chris/AAW-3502-2021; Fogwill, Christopher/HPF-1150-2023; Bentley, Michael J/F-7386-2011; Hein, Andrew/JWO-3756-2024; Smith, James A/N-1836-2013; Melles, Martin/J-4070-2012</t>
  </si>
  <si>
    <t>Fogwill, Chris/0000-0002-6471-1106; Bentley, Michael J/0000-0002-2048-0019; Melles, Martin/0000-0003-0977-9463; Larter, Robert/0000-0002-8414-7389</t>
  </si>
  <si>
    <t>Antarctic Climate Evolution (ACE) scientific research programme of the Scientific Committee on Antarctic Research (SCAR); Australian Research Council [FT120100004]; Directorate For Geosciences; Office of Polar Programs (OPP) [1246353] Funding Source: National Science Foundation; Natural Environment Research Council [NE/J005673/1, bas0100027, NE/J008176/1, NE/F014260/1, NE/I025840/1, NE/E018254/1, NE/F014252/1] Funding Source: researchfish; NERC [NE/F014252/1, NE/J008176/1, NE/E018254/1, NE/I025840/1, NE/F014260/1, NE/J005673/1, bas0100027] Funding Source: UKRI</t>
  </si>
  <si>
    <t>Antarctic Climate Evolution (ACE) scientific research programme of the Scientific Committee on Antarctic Research (SCAR); Australian Research Council(Australian Research Council);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</si>
  <si>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We thank the officers, crews and scientific shipboard parties participating in the various marine expeditions to the Weddell Sea sector, the field parties carrying out the terrestrial studies in the hinterland of the Weddell Sea sector, and the logistics organisations making this field work possible. We acknowledge financial support from the Antarctic Climate Evolution (ACE) scientific research programme of the Scientific Committee on Antarctic Research (SCAR) for a workshop held in 2011 in Edinburgh (UK) that kick-started the Antarctic Ice Sheet community reconstruction initiative. CJF is supported by Australian Research Council (FT120100004). Finally, we are grateful to two anonymous reviewers whose constructive and thoughtful comments helped to improve this paper.</t>
  </si>
  <si>
    <t>10.1016/j.quascirev.2013.07.020</t>
  </si>
  <si>
    <t>Green Accepted, Green Published, hybrid</t>
  </si>
  <si>
    <t>WOS:000342252700006</t>
  </si>
  <si>
    <t>Hodgson, DA; Graham, AGC; Roberts, SJ; Bentley, MJ; Cofaigh, CO; Verleyen, E; Vyverman, W; Jomelli, V; Favier, V; Brunstein, D; Verfaillie, D; Colhoun, EA; Saunders, KM; Selkirk, PM; Mackintosh, A; Hedding, DW; Nel, W; Hall, K; McGlone, MS; Van der Putten, N; Dickens, WA; Smith, JA</t>
  </si>
  <si>
    <t>Hodgson, Dominic A.; Graham, Alastair G. C.; Roberts, Stephen J.; Bentley, Michael J.; Cofaigh, Colm O.; Verleyen, Elie; Vyverman, Wim; Jomelli, Vincent; Favier, Vincent; Brunstein, Daniel; Verfaillie, Deborah; Colhoun, Eric A.; Saunders, Krystyna M.; Selkirk, Patricia M.; Mackintosh, Andrew; Hedding, David W.; Nel, Werner; Hall, Kevin; McGlone, Matt S.; Van der Putten, Nathalie; Dickens, William A.; Smith, James A.</t>
  </si>
  <si>
    <t>Terrestrial and submarine evidence for the extent and timing of the Last Glacial Maximum and the onset of deglaciation on the maritime-Antarctic and sub-Antarctic islands</t>
  </si>
  <si>
    <t>Antarctic ice sheet; Sub-Antarctica; Maritime Antarctica glaciation; Deglaciation; Quaternary; Climate</t>
  </si>
  <si>
    <t>SOUTHERNMOST SOUTH-AMERICA; TIERRA-DEL-FUEGO; FALKLAND-ISLANDS; CLIMATE-CHANGE; ENVIRONMENTAL-CHANGE; MACQUARIE-ISLAND; MARION-ISLAND; HEARD ISLAND; ICE-SHEET; COSMOGENIC RADIONUCLIDES</t>
  </si>
  <si>
    <t>This paper is the maritime and sub Antarctic contribution to the Scientific Committee for Antarctic Research (SCAR) Past Antarctic Ice Sheet Dynamics (PAIS) community Antarctic Ice Sheet reconstruction. The overarching aim for all sectors of Antarctica was to reconstruct the Last Glacial Maximum (LGM) ice sheet extent and thickness, and map the subsequent deglaciation in a series of 5000 year time slices. However, our review of the literature found surprisingly few high quality chronological constraints on changing glacier extents on these timescales in the maritime and sub Antarctic sector. Therefore, in this paper we focus on an assessment of the terrestrial and offshore evidence for the LGM ice extent, establishing minimum ages for the onset of deglaciation, and separating evidence of deglaciation from LGM limits from those associated with later Holocene glacier fluctuations. Evidence included geomorphological descriptions of glacial landscapes, radiocarbon dated basal peat and lake sediment deposits, cosmogenic isotope ages of glacial features and molecular biological data. We propose a classification of the glacial history of the maritime and sub Antarctic islands based on this assembled evidence. These include: (Type I) islands which accumulated little or no LGM ice; (Type II) islands with a limited LGM ice extent but evidence of extensive earlier continental shelf glaciations; (Type III) seamounts and volcanoes unlikely to have accumulated significant LGM ice cover; (Type IV) islands on shallow shelves with both terrestrial and submarine evidence of LGM (and/or earlier) ice expansion; (Type V) Islands north of the Antarctic Polar Front with terrestrial evidence of LGM ice expansion; and (Type VI) islands with no data. Finally, we review the climatological and geomorphological settings that separate the glaciological history of the islands within this classification scheme. (C) 2014 The Authors. Published by Elsevier Ltd. All rights reserved.</t>
  </si>
  <si>
    <t>[Hodgson, Dominic A.; Roberts, Stephen J.; Dickens, William A.; Smith, James A.] British Antarctic Survey, Nat Environm Res Council, Cambridge CB3 0ET, England; [Graham, Alastair G. C.] Univ Exeter, Dept Geog, Coll Life &amp; Environm Sci, Exeter EX4 4RJ, Devon, England; [Hodgson, Dominic A.; Bentley, Michael J.; Cofaigh, Colm O.] Univ Durham, Dept Geog, Durham DH1 3LE, England; [Verleyen, Elie; Vyverman, Wim] Univ Ghent, Dept Biol, Lab Protistol &amp; Aquat Ecol, B-9000 Ghent, Belgium; [Jomelli, Vincent; Brunstein, Daniel] Univ Paris 01, CNRS, Lab Geog Phys, F-92195 Meudon, France; [Favier, Vincent; Verfaillie, Deborah] UJF CNRS, LGGE, UMR5183, F-38402 St Martin Dheres, France; [Colhoun, Eric A.] Univ Newcastle, Sch Environm &amp; Life Sci, Callaghan, NSW 2308, Australia; [Saunders, Krystyna M.] Univ Bern, Inst Geog, CH-3012 Bern, Switzerland; [Saunders, Krystyna M.] Univ Bern, Oeschger Ctr Climate Change Res, CH-3012 Bern, Switzerland; [Selkirk, Patricia M.] Macquarie Univ, Dept Biol Sci, Sydney, NSW 2109, Australia; [Mackintosh, Andrew] Victoria Univ Wellington, Antarctic Res Ctr, Wellington 6012, New Zealand; [Hedding, David W.] Univ S Africa, Dept Geog, ZA-1710 Florida, South Africa; [Nel, Werner] Univ Ft Hare, Dept Geog &amp; Environm Sci, ZA-5700 Alice, South Africa; [Hall, Kevin] Univ No British Columbia, Geog Programme, Prince George, BC V2N 479, Canada; [McGlone, Matt S.] Landcare Res, Lincoln 7640, New Zealand; [Van der Putten, Nathalie] Lund Univ, Dept Geol, SE-22362 Lund, Sweden</t>
  </si>
  <si>
    <t>UK Research &amp; Innovation (UKRI); Natural Environment Research Council (NERC); NERC British Antarctic Survey; University of Exeter; Durham University; Ghent University; Universite Paris-Est-Creteil-Val-de-Marne (UPEC); Centre National de la Recherche Scientifique (CNRS); Communaute Universite Grenoble Alpes; Universite Grenoble Alpes (UGA); Centre National de la Recherche Scientifique (CNRS); University of Newcastle; University of Bern; University of Bern; Macquarie University; Victoria University Wellington; University of South Africa; University of Fort Hare; University of Northern British Columbia; Landcare Research - New Zealand; Lund University</t>
  </si>
  <si>
    <t>Hodgson, DA (corresponding author), British Antarctic Survey, Nat Environm Res Council, Madingley Rd, Cambridge CB3 0ET, England.</t>
  </si>
  <si>
    <t>daho@bas.ac.uk</t>
  </si>
  <si>
    <t>Smith, James A/N-1836-2013; Bentley, Michael J/F-7386-2011; jomelli, vincent/AAO-9488-2020; Hedding, David William/F-3044-2011; Saunders, Krystyna/G-1368-2019; Favier, Vincent/T-1936-2017</t>
  </si>
  <si>
    <t>Bentley, Michael J/0000-0002-2048-0019; jomelli, vincent/0000-0002-4512-5216; Hedding, David William/0000-0002-9748-4499; Nel, Werner/0000-0002-3769-4937; Saunders, Krystyna/0000-0002-6800-2630; Verfaillie, Deborah/0000-0003-0603-0780; Graham, Alastair/0000-0002-2880-2908; Van der Putten, Nathalie/0000-0002-0271-9321; Mackintosh, Andrew/0000-0002-6430-4711; brunstein, daniel/0000-0001-5496-8349; Favier, Vincent/0000-0001-6024-9498; Roberts, Stephen/0000-0003-3407-9127</t>
  </si>
  <si>
    <t>Antarctic Climate Evolution (ACE); Past Antarctic Ice Sheet Dynamics (PAIS) scientific research programmes of the Scientific Committee on Antarctic Research (SCAR); Natural Environment Research Council (NERC) New Investigator Award [NE/K000527/1]; Natural Environment Research Council [NE/J005673/1, bas0100024, bas0100027, NE/K000527/2, NE/K000527/1] Funding Source: researchfish; NERC [NE/K000527/1, bas0100024, NE/K000527/2, NE/J005673/1, bas0100027] Funding Source: UKRI</t>
  </si>
  <si>
    <t>Antarctic Climate Evolution (ACE); Past Antarctic Ice Sheet Dynamics (PAIS) scientific research programmes of the Scientific Committee on Antarctic Research (SCAR); Natural Environment Research Council (NERC) New Investigator Award(UK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</si>
  <si>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field parties carrying out terrestrial glaciological studies in the sub-Antarctic Islands and the crews and scientific shipboard parties participating in marine geophysical surveys, and the logistics organisations for making all of this field work possible. Furthermore, we acknowledge financial support from the Antarctic Climate Evolution (ACE) and its successor Past Antarctic Ice Sheet Dynamics (PAIS) scientific research programmes of the Scientific Committee on Antarctic Research (SCAR) for a workshop held in 2011 in Edinburgh (UK) that kick-started the Antarctic Ice Sheet community reconstruction initiative. AGCG was supported by a Natural Environment Research Council (NERC) New Investigator Award, NE/K000527/1. We are most grateful to our reviewers for their constructive observations.</t>
  </si>
  <si>
    <t>10.1016/j.quascirev.2013.12.001</t>
  </si>
  <si>
    <t>WOS:000342252700007</t>
  </si>
  <si>
    <t>Lindhorst, S; Schutter, I</t>
  </si>
  <si>
    <t>Lindhorst, Sebastian; Schutter, Ilona</t>
  </si>
  <si>
    <t>Polar gravel beach-ridge systems: Sedimentary architecture, genesis, and implications for climate reconstructions (South Shetland Islands/Western Antarctic Peninsula)</t>
  </si>
  <si>
    <t>GEOMORPHOLOGY</t>
  </si>
  <si>
    <t>Gravel beach ridge; Sedimentary architecture; Storm-wave run-up; Climate archive; Ground-penetrating radar (GPR); Antarctic Peninsula</t>
  </si>
  <si>
    <t>KING-GEORGE ISLAND; MAXWELL BAY; ICE CAP; SEA-ICE; FLUCTUATIONS; RADIOCARBON; ADVANCE; CALIBRATION; INDICATORS; DEPOSITS</t>
  </si>
  <si>
    <t>The sedimentary architecture of polar gravel-beach ridges is presented and it is shown that ridge internal geometries reflect past wave-climate conditions. Ground-penetrating radar (GPR) data obtained along the coasts of Potter Peninsula (King George Island) show that beach ridges unconformably overlie the prograding strand plain. Development of individual ridges is seen to result from multiple storms in periods of increased stormwave impact on the coast. Strand-plain progradation, by contrast, is the result of swash sedimentation at the beach-face under persistent calm conditions. The sedimentary architecture of beach ridges in sheltered parts of the coast is characterized by seaward-dipping prograding beds, being the result of swash deposition under stormy conditions, or aggrading beds formed by wave overtopping. By contrast, ridges exposed to high-energy waves are composed of seaward- as well as landward-dipping strata, bundled by numerous erosional unconformities. These erosional unconformities are the result of sediment starvation or partial reworking of ridge material during exceptional strong storms. The number of individual ridges which are preserved from a given time interval varies along the coast depending on the morphodynamic setting: sheltered coasts are characterized by numerous small ridges, whereas fewer but larger ridges develop on exposed beaches. The frequency of ridge building ranges from decades in the low-energy settings up to 1600 years under high-energy conditions. Beach ridges in the study area cluster at 9.5, 7.5, 5.5, and below 3.5 m above the present-day storm beach. Based on radiocarbon data, this is interpreted to reflect distinct periods of increased storminess and/or shortened annual sea-ice coverage in the area of the South Shetland Islands for the times around 4.3, c. 3.1, 1.9 ka cal BP, and after 0.65 ka cal BP. Ages further indicate that even ridges at higher elevations can be subject to later reactivation and reworking. A careful investigation of the stratigraphic architecture is therefore essential prior to sampling for dating purposes. (C) 2014 Elsevier B.V. All rights reserved.</t>
  </si>
  <si>
    <t>[Lindhorst, Sebastian; Schutter, Ilona] Univ Hamburg, Inst Geol, D-20146 Hamburg, Germany</t>
  </si>
  <si>
    <t>University of Hamburg</t>
  </si>
  <si>
    <t>Lindhorst, S (corresponding author), Univ Hamburg, Inst Geol, Bundesstr 55, D-20146 Hamburg, Germany.</t>
  </si>
  <si>
    <t>sebastian.lindhorst@uni-hamburg.de</t>
  </si>
  <si>
    <t>German Research Foundation (DFG) [Li2005/1-1]</t>
  </si>
  <si>
    <t>German Research Foundation (DFG)(German Research Foundation (DFG))</t>
  </si>
  <si>
    <t>We acknowledge the funding by the German Research Foundation (DFG project Li2005/1-1) in the framework of the DFG-priority program 1158 Antarctic Research with comparative investigations in Arctic ice areas. We thank the Alfred Wegener Institute for Polar and Marine Research (AWI), namely Dirk Mengedoht and Tom Brey, for their logistical support and for the possibility to use the Dallmann Laboratory on King George Island. Special thanks go to the crews of Argentine Jubany/Carlini Station in 2010 and 2011 for their cordial hospitality and practical logistical support. Christian Betzler and Christian Hass are thanked for their fruitful discussions and advice. Juliane Ludwig is thanked for the invaluable help in the field during the second field campaign. Geomorphology editor Andrew James Plater and two anonymous reviewers are thanked for their constructive reviews, which substantially improved our manuscript</t>
  </si>
  <si>
    <t>0169-555X</t>
  </si>
  <si>
    <t>1872-695X</t>
  </si>
  <si>
    <t>Geomorphology</t>
  </si>
  <si>
    <t>10.1016/j.geomorph.2014.06.013</t>
  </si>
  <si>
    <t>AN1JG</t>
  </si>
  <si>
    <t>WOS:000340338000015</t>
  </si>
  <si>
    <t>Rontani, JF; Belt, ST; Brown, TA; Aubert, C</t>
  </si>
  <si>
    <t>Rontani, Jean-Francois; Belt, Simon T.; Brown, Thomas A.; Aubert, Claude</t>
  </si>
  <si>
    <t>Electron ionization mass spectrometry fragmentation pathways of trimethylsilyl derivatives of isomeric allylic alcohols derived from HBI alkene oxidation</t>
  </si>
  <si>
    <t>RAPID COMMUNICATIONS IN MASS SPECTROMETRY</t>
  </si>
  <si>
    <t>BRANCHED ISOPRENOID ALKENES; HASLEA-OSTREARIA; C-25; HYDROCARBONS; BIOMARKERS; SEDIMENTS</t>
  </si>
  <si>
    <t>RATIONALE: C-25 tri-unsaturated highly branched isoprenoid (HBI) alkenes are produced by a number of marine diatoms around the world yet are very easily oxidized during senescence to yield several isomeric allylic 9-hydroperoxides. Elucidation of the electron ionization mass spectrometry (EIMS) fragmentation pathways of the trimethylsilyl (TMS) derivatives of the alcohols (obtained by reduction of the corresponding 9-hydroperoxides) is essential for their characterization and quantification in natural samples. METHODS: EIMS fragmentation pathways of TMS derivatives of isomeric allylic alcohols resulting from NaBH4 reduction of photo-and autoxidation products of HBI alkenes were investigated. These pathways were deduced by: (i) low-energy collision-induced dissociation gas chromatography/tandem mass spectrometry (CID-GC/MS/MS) and (ii) deuterium labelling. RESULTS: CID-MS/MS analyses and deuterium labelling allowed us to elucidate EIMS fragmentations of TMS derivatives of several isomeric allylic alcohols resulting from NaBH4 reduction of HBI alkene oxidation products and to propose some specific fragment ions for differentiating individual isomers. As an application of some of the described fragmentations, these oxidized compounds in phytoplanktonic cells collected from the Antarctic were characterized and quantified in multiple reaction monitoring (MRM) mode. CONCLUSIONS: EIMS fragmentations of TMS derivatives of several isomeric allylic alcohols resulting from NaBH4 reduction of HBI alkene oxidation products are shown to be strongly dependent on the position and configuration of double bonds, allowing simple, yet robust differentiation of individual isomers in natural samples. Copyright (C) 2014 John Wiley &amp; Sons, Ltd.</t>
  </si>
  <si>
    <t>[Rontani, Jean-Francois] Aix Marseille Univ, MIO, F-13288 Marseille 9, France; [Rontani, Jean-Francois] Univ Sud Toulon Var, CNRS INSU IRD UM 110, La Garde, France; [Belt, Simon T.; Brown, Thomas A.] Univ Plymouth, Sch Geog Earth &amp; Environm Sci, Biogeochem Res Ctr, Plymouth PL4 8AA, Devon, England; [Aubert, Claude] Fac Pharm Marseille, Lab Pharmacocinet &amp; Toxicocinet EA 3286, F-13385 Marseille, France</t>
  </si>
  <si>
    <t>Aix-Marseille Universite; University of Plymouth</t>
  </si>
  <si>
    <t>Rontani, JF (corresponding author), Aix Marseille Univ, MIO, F-13288 Marseille 9, France.</t>
  </si>
  <si>
    <t>jean-francois.rontani@univ-amu.fr</t>
  </si>
  <si>
    <t>Brown, Thomas/0000-0003-0322-474X</t>
  </si>
  <si>
    <t>Centre National de la Recherche Scientifique (CNRS-INSU); Universite d'Aix-Marseille</t>
  </si>
  <si>
    <t>Centre National de la Recherche Scientifique (CNRS-INSU)(Centre National de la Recherche Scientifique (CNRS)); Universite d'Aix-Marseille</t>
  </si>
  <si>
    <t>Financial support from the Centre National de la Recherche Scientifique (CNRS-INSU) and the Universite d'Aix-Marseille is gratefully acknowledged. We also thank G. Masse for the donation of the Antarctic phytoplankton samples and four anonymous reviewers for their useful and constructive comments.</t>
  </si>
  <si>
    <t>0951-4198</t>
  </si>
  <si>
    <t>1097-0231</t>
  </si>
  <si>
    <t>RAPID COMMUN MASS SP</t>
  </si>
  <si>
    <t>Rapid Commun. Mass Spectrom.</t>
  </si>
  <si>
    <t>10.1002/rcm.6974</t>
  </si>
  <si>
    <t>Biochemical Research Methods; Chemistry, Analytical; Spectroscopy</t>
  </si>
  <si>
    <t>Biochemistry &amp; Molecular Biology; Chemistry; Spectroscopy</t>
  </si>
  <si>
    <t>AN2YN</t>
  </si>
  <si>
    <t>WOS:000340452100010</t>
  </si>
  <si>
    <t>Rebesco, M; Domack, E; Zgur, F; Lavoie, C; Leventer, A; Brachfeld, S; Willmott, V; Halverson, G; Truffer, M; Scambos, T; Smith, J; Pettit, E</t>
  </si>
  <si>
    <t>Rebesco, M.; Domack, E.; Zgur, F.; Lavoie, C.; Leventer, A.; Brachfeld, S.; Willmott, V.; Halverson, G.; Truffer, M.; Scambos, T.; Smith, J.; Pettit, E.</t>
  </si>
  <si>
    <t>Boundary condition of grounding lines prior to collapse, Larsen-B Ice Shelf, Antarctica</t>
  </si>
  <si>
    <t>SCIENCE</t>
  </si>
  <si>
    <t>GLACIAL MORPHOLOGY; PALMER DEEP; SEA; DISINTEGRATION; STABILITY; BENEATH; SHEET; PENINSULA; RETREAT; SYSTEM</t>
  </si>
  <si>
    <t>Grounding zones, where ice sheets transition between resting on bedrock to full floatation, help regulate ice flow. Exposure of the sea floor by the 2002 Larsen-B Ice Shelf collapse allowed detailed morphologic mapping and sampling of the embayment sea floor. Marine geophysical data collected in 2006 reveal a large, arcuate, complex grounding zone sediment system at the front of Crane Fjord. Radiocarbon-constrained chronologies from marine sediment cores indicate loss of ice contact with the bed at this site about 12,000 years ago. Previous studies and morphologic mapping of the fjord suggest that the Crane Glacier grounding zone was well within the fjord before 2002 and did not retreat further until after the ice shelf collapse. This implies that the 2002 Larsen-B Ice Shelf collapse likely was a response to surface warming rather than to grounding zone instability, strengthening the idea that surface processes controlled the disintegration of the Larsen Ice Shelf.</t>
  </si>
  <si>
    <t>[Rebesco, M.; Zgur, F.; Lavoie, C.] Ist Nazl Oceanog &amp; Geofis Sperimentale OGS, I-34010 Sgonico, TS, Italy; [Domack, E.] Hamilton Coll, Dept Geosci, Clinton, NY 13323 USA; [Domack, E.] Univ S Florida, Coll Marine Sci, St Petersburg, FL 33701 USA; [Lavoie, C.] Univ Aveiro, Dept Geosci, Ctr Environm &amp; Marine Studies, P-3810193 Aveiro, Portugal; [Leventer, A.] Colgate Univ, Dept Geol, Hamilton, NY 13346 USA; [Brachfeld, S.] Montclair State Univ, Dept Earth &amp; Environm Studies, Montclair, NJ 07043 USA; [Willmott, V.] Alfred Wegener Inst Helmholtz Zentrum Polar &amp; Mee, Int Cooperat, D-27570 Bremerhaven, Germany; [Halverson, G.] McGill Univ, Montreal, PQ H3A 2A7, Canada; [Truffer, M.] Univ Alaska Fairbanks, Inst Geophys, Fairbanks, AK 99775 USA; [Scambos, T.] Univ Colorado, Natl Snow &amp; Ice Data Ctr, Boulder, CO 80309 USA; [Smith, J.] British Antarctic Survey, Cambridge CB3 0ET, England; [Pettit, E.] Univ Alaska Fairbanks, Dept Geosci, Fairbanks, AK 99775 USA</t>
  </si>
  <si>
    <t>Istituto Nazionale di Oceanografia e di Geofisica Sperimentale; Hamilton College; State University System of Florida; University of South Florida; Universidade de Aveiro; Colgate University; Montclair State University; Helmholtz Association; Alfred Wegener Institute, Helmholtz Centre for Polar &amp; Marine Research; McGill University; University of Alaska System; University of Alaska Fairbanks; University of Colorado System; University of Colorado Boulder; UK Research &amp; Innovation (UKRI); Natural Environment Research Council (NERC); NERC British Antarctic Survey; University of Alaska System; University of Alaska Fairbanks</t>
  </si>
  <si>
    <t>Domack, E (corresponding author), Hamilton Coll, Dept Geosci, Clinton, NY 13323 USA.</t>
  </si>
  <si>
    <t>edomack@usf.edu</t>
  </si>
  <si>
    <t>Rebesco, Michele/B-7462-2014; Scambos, Ted A/B-1856-2009; Willmott Puig, Veronica/AGN-3478-2022; Smith, James A/N-1836-2013</t>
  </si>
  <si>
    <t>Rebesco, Michele/0000-0002-9492-4081; Willmott Puig, Veronica/0000-0002-6552-8901; Brachfeld, Stefanie/0000-0003-4612-2866; Pettit, Erin Christine/0000-0002-6765-9841; SCAMBOS, Ted A./0000-0003-4268-6322; Halverson, Galen/0000-0003-3061-7928; Leventer, Amy/0000-0001-9401-0987; Zgur, Fabrizio/0000-0002-7761-4110</t>
  </si>
  <si>
    <t>NSF-Office of Polar Programs [0732467, 0732625, 0732605]; Italian Programma Nazionale di Ricerche in Antartide project ULISSE; NERC [bas0100027] Funding Source: UKRI; Natural Environment Research Council [bas0100027] Funding Source: researchfish; Directorate For Geosciences; Office of Polar Programs (OPP) [0732625, 0855265, 0732467] Funding Source: National Science Foundation; Office of Polar Programs (OPP); Directorate For Geosciences [1430002, 0732605] Funding Source: National Science Foundation</t>
  </si>
  <si>
    <t>NSF-Office of Polar Programs(National Science Foundation (NSF)); Italian Programma Nazionale di Ricerche in Antartide project ULISSE;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</si>
  <si>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We thank the shipboard participants, captain, and crew of cruises NBP0603 and LMG0502 and the staff at the Antarctic Marine Geology Research Facility, Florida State University. This project was supported by grants from the NSF-Office of Polar Programs (0732467 to E. D.; 0732625 to A. L.; 0732605 to S. B.) and from Italian Programma Nazionale di Ricerche in Antartide project ULISSE. The data reported in this paper are tabulated in the supplementary materials. M. R. collected and interpreted seismic reflection data aboard cruise NBP0603 and assisted with writing major portions of the manuscript. E. D. supervised collection of field data and sedimentologic core data for cruises LMG0502 and NBP0603, wrote major portions of the paper, and drafted Figs. 2 and 3. F.Z. collected, processed, and interpreted seismic reflection data aboard cruise NBP0603 and wrote sections of the paper dealing with interpretation of the reflection data. C. L. processed multibeam data, drafted Fig. 1, and wrote sections of the paper dealing with multibeam data. A. L. helped collect data aboard LMG0502 and NBP0603, analyzed diatom abundance data, and wrote sections of the paper dealing with diatom abundance and interpretation. S. B. helped collect data aboard NBP0603, collected and analyzed magnetic susceptibility data, and wrote sections of the paper dealing with physical properties of sediment cores. V. W. assisted in collecting sediment cores during LMG0502, collected color images of sediment cores during this cruise, and helped to draft portions of Fig. 2. G. H. assisted in collecting sediment cores during NBP0603, provided color images of sediment cores collected in this cruise, and helped with editing the manuscript. M.T. imported air geophysical data for interpretation of longitudinal profile of the Crane Glacier and provided editing of the manuscript. T.S. imported remote sensing data and interpretation of grounding line fluctuation before and after ice shelf collapse and assisted in writing and editing the paper. J.S. participated in collecting sediment cores and other data during LMG0502 and assisted in writing and editing the paper. E.P. was instrumental in the extensive discussion related to supplemental material dealing with ice terraces and morainal debris.</t>
  </si>
  <si>
    <t>AMER ASSOC ADVANCEMENT SCIENCE</t>
  </si>
  <si>
    <t>1200 NEW YORK AVE, NW, WASHINGTON, DC 20005 USA</t>
  </si>
  <si>
    <t>0036-8075</t>
  </si>
  <si>
    <t>1095-9203</t>
  </si>
  <si>
    <t>Science</t>
  </si>
  <si>
    <t>SEP 12</t>
  </si>
  <si>
    <t>10.1126/science.1256697</t>
  </si>
  <si>
    <t>AO6TG</t>
  </si>
  <si>
    <t>WOS:000341483800067</t>
  </si>
  <si>
    <t>Jomelli, V; Favier, V; Vuille, M; Braucher, R; Martin, L; Blard, PH; Colose, C; Brunstein, D; He, F; Khodri, M; Bourlès, DL; Leanni, L; Rinterknecht, V; Grancher, D; Francou, B; Ceballos, JL; Fonseca, H; Liu, Z; Otto-Bliesner, BL</t>
  </si>
  <si>
    <t>Jomelli, V.; Favier, V.; Vuille, M.; Braucher, R.; Martin, L.; Blard, P. -H.; Colose, C.; Brunstein, D.; He, F.; Khodri, M.; Bourles, D. L.; Leanni, L.; Rinterknecht, V.; Grancher, D.; Francou, B.; Ceballos, J. L.; Fonseca, H.; Liu, Z.; Otto-Bliesner, B. L.</t>
  </si>
  <si>
    <t>A major advance of tropical Andean glaciers during the Antarctic cold reversal</t>
  </si>
  <si>
    <t>PERUVIAN ANDES; BE-10; CLIMATE; SURFACE; RATES; AGE; FLUCTUATIONS; GLACIATION; INTENSITY; ATLANTIC</t>
  </si>
  <si>
    <t>The Younger Dryas stadial, a cold event spanning 12,800 to 11,500 years ago, during the last deglaciation, is thought to coincide with the last major glacial re-advance in the tropical Andes(1). This interpretation relies mainly on cosmic-ray exposure dating of glacial deposits. Recent studies, however, have established new production rates' for cosmogenic Be-10 and He-3, which make it necessary to update all chronologies in this region(1,5-15) and revise our understanding of cryospheric responses to climate variability. Here we present a new Be-10 moraine chronology in Colombia showing that glaciers in the northern tropical Andes expanded to a larger extent during the Antarctic cold reversal (14,500 to 12,900 years ago) than during the Younger Dryas. On the basis of a homogenized chronology of all Be-10 and He-3 moraine ages across the tropical Andes, we show that this behaviour was common to the northern and southern tropical Andes. Transient simulations with a coupled global climate model suggest that the common glacier behaviour was the result of Atlantic meridional overturning circulation variability superimposed on a deglacial increase in the atmospheric carbon dioxide concentration. During the Antarctic cold reversal, glaciers advanced primarily in response to cold sea surface temperatures over much of the Southern Hemisphere. During the Younger Dryas, however, northern tropical Andes glaciers retreated owing to abrupt regional warming in response to reduced precipitation and land-surface feedbacks triggered by a weakened Atlantic meridional overturning circulation. Conversely, glacier retreat during the Younger Dryas in the southern tropical Andes occurred as a result of progressive warming, probably influenced by an increase in atmospheric carbon dioxide. Considered with evidence from mid-latitude Andean glaciers(16), our results argue for a common glacier response to cold conditions in the Antarctic cold reversal exceeding that of the Younger Dryas.</t>
  </si>
  <si>
    <t>[Jomelli, V.; Brunstein, D.; Grancher, D.] Univ Paris 01, CNRS, Lab Geog Phys, F-92195 Meudon, France; [Favier, V.] Univ Grenoble Alpes, LGGE, UMR 5183, F-38041 Grenoble, France; [Vuille, M.; Colose, C.] SUNY Albany, Dept Atmospher &amp; Environm Sci, Albany, NY 12222 USA; [Braucher, R.; Bourles, D. L.; Leanni, L.] Aix Marseille Univ, CNRS, Coll France, IRD,CEREGE,UM34, F-13545 Aix En Provence, France; [Martin, L.; Blard, P. -H.] Univ Lorraine, UMR 7358, CNRS, Ctr Rech Petrog &amp; Geochim, F-54501 Vandoeuvre Les Nancy, France; [He, F.] Univ Wisconsin, Nelson Inst Environm Studies, Ctr Climat Res, Madison, WI 53706 USA; [Khodri, M.] Univ Paris 06, IRD, Lab Oceanog &amp; Climat Experimentat &amp; Approche Nume, F-75252 Paris 05, France; [Rinterknecht, V.] Univ St Andrews, Sch Geog &amp; Geosci Irvine Bldg, St Andrews KY16 9AL, Fife, Scotland; [Francou, B.] Inst Rech Dev, La Paz 9214, Bolivia; [Ceballos, J. L.] Inst Hydrol Meteorol &amp; Environm Studies, Bogota 07603, Colombia; [Fonseca, H.] UPTC Sede Secc Sogamoso, Escuela Ingn Geol, Sogamoso, Colombia; [Liu, Z.] Univ Wisconsin, Ctr Climat Res, Madison, WI 53706 USA; [Liu, Z.] Univ Wisconsin, Dept Atmospher &amp; Ocean Sci, Madison, WI 53706 USA; [Otto-Bliesner, B. L.] Natl Ctr Atmospher Res, Climate &amp; Global Dynam Div, Boulder, CO 80305 USA</t>
  </si>
  <si>
    <t>Universite Paris-Est-Creteil-Val-de-Marne (UPEC); Centre National de la Recherche Scientifique (CNRS); Communaute Universite Grenoble Alpes; Universite Grenoble Alpes (UGA); State University of New York (SUNY) System; State University of New York (SUNY) Albany; Universite PSL; College de France; Aix-Marseille Universite; Institut de Recherche pour le Developpement (IRD); Centre National de la Recherche Scientifique (CNRS); Centre National de la Recherche Scientifique (CNRS); CNRS - National Institute for Earth Sciences &amp; Astronomy (INSU); Universite de Lorraine; University of Wisconsin System; University of Wisconsin Madison; Sorbonne Universite; Institut de Recherche pour le Developpement (IRD); University of St Andrews; Institut de Recherche pour le Developpement (IRD); University of Wisconsin System; University of Wisconsin Madison; University of Wisconsin System; University of Wisconsin Madison; National Center Atmospheric Research (NCAR) - USA</t>
  </si>
  <si>
    <t>Jomelli, V (corresponding author), Univ Paris 01, CNRS, Lab Geog Phys, F-92195 Meudon, France.</t>
  </si>
  <si>
    <t>vincent.jomelli@lgp.cnrs.fr</t>
  </si>
  <si>
    <t>Vuille, Mathias/O-8128-2019; Martin, Leo/V-5865-2019; , Braucher/Q-5971-2017; BLARD, Pierre-Henri/ABB-9401-2021; he, feng/HOF-1989-2023; jomelli, vincent/AAO-9488-2020; , B/HZK-8896-2023; Otto-Bliesner, Bette/AAY-7691-2020; Vuille, Mathias/S-3906-2019; Khodri, Myriam/K-1399-2016; rinterknecht, vincent/A-9229-2010; Khodri, Myriam/JCE-1616-2023; He, Feng/B-3583-2008; Favier, Vincent/T-1936-2017</t>
  </si>
  <si>
    <t>, Braucher/0000-0002-4637-4302; jomelli, vincent/0000-0002-4512-5216; Vuille, Mathias/0000-0002-9736-4518; Khodri, Myriam/0000-0003-1941-1646; brunstein, daniel/0000-0001-5496-8349; Blard, Pierre-Henri/0000-0002-8455-8014; Martin, Leo/0000-0001-5405-0175; Rinterknecht, Vincent/0000-0002-5410-2075; Bourles, Didier/0000-0001-5991-6126; He, Feng/0000-0002-3355-6406; Favier, Vincent/0000-0001-6024-9498</t>
  </si>
  <si>
    <t>French ANR El Paso programme [10-blan-68-01]</t>
  </si>
  <si>
    <t>French ANR El Paso programme(Agence Nationale de la Recherche (ANR))</t>
  </si>
  <si>
    <t>Financial support was provided by the French ANR El Paso programme no. 10-blan-68-01. The 10Be measurements were performed at the ASTER AMS national facility (CEREGE, Aix en Provence), which is supported by the INSU/CNRS,the French Ministry of Research and Higher Education, IRD and CEA. TRACE21 is supported by the P2C2 programme (NSF), the Abrupt Change Program (DOE), the EaSM programme (DOE) and the INCITE computing programme (DOE and NCAR). We thank M. Arnold, G. Aumaitre and K. Keddadouche for their assistance during 10Be measurements.</t>
  </si>
  <si>
    <t>SEP 11</t>
  </si>
  <si>
    <t>10.1038/nature13546</t>
  </si>
  <si>
    <t>AO5DP</t>
  </si>
  <si>
    <t>WOS:000341362800048</t>
  </si>
  <si>
    <t>Sime, LC</t>
  </si>
  <si>
    <t>Sime, Louise Claire</t>
  </si>
  <si>
    <t>Greenland deglaciation puzzles</t>
  </si>
  <si>
    <t>CLIMATE</t>
  </si>
  <si>
    <t>British Antarctic Survey, Cambridge CB23 7PP, England</t>
  </si>
  <si>
    <t>Sime, LC (corresponding author), British Antarctic Survey, Cambridge CB23 7PP, England.</t>
  </si>
  <si>
    <t>lsim@bas.ac.uk</t>
  </si>
  <si>
    <t>Sime, Louise/AAX-7730-2021; Sime, Louise/F-8058-2012</t>
  </si>
  <si>
    <t>Sime, Louise/0000-0002-9093-7926; Sime, Louise/0000-0002-9093-7926</t>
  </si>
  <si>
    <t>NERC [NE/J004804/1, bas0100024] Funding Source: UKRI; Natural Environment Research Council [bas0100024, NE/J004804/1] Funding Source: researchfish</t>
  </si>
  <si>
    <t>SEP 5</t>
  </si>
  <si>
    <t>10.1126/science.1257842</t>
  </si>
  <si>
    <t>AO2TV</t>
  </si>
  <si>
    <t>WOS:000341179800019</t>
  </si>
  <si>
    <t>de la Mare, W; Gales, N; Mangel, M</t>
  </si>
  <si>
    <t>de la Mare, William; Gales, Nick; Mangel, Marc</t>
  </si>
  <si>
    <t>Applying scientific principles in international law on whaling</t>
  </si>
  <si>
    <t>[de la Mare, William; Gales, Nick] Australian Antarctic Div, Kingston, Tas 6050, Australia; [Mangel, Marc] Univ Calif Santa Cruz, Santa Cruz, CA 95064 USA</t>
  </si>
  <si>
    <t>Australian Antarctic Division; University of California System; University of California Santa Cruz</t>
  </si>
  <si>
    <t>Mangel, M (corresponding author), Univ Calif Santa Cruz, Santa Cruz, CA 95064 USA.</t>
  </si>
  <si>
    <t>msmangel@ucsc.edu</t>
  </si>
  <si>
    <t>10.1126/science.1254616</t>
  </si>
  <si>
    <t>Science Citation Index Expanded (SCI-EXPANDED); Social Science Citation Index (SSCI)</t>
  </si>
  <si>
    <t>WOS:000341179800025</t>
  </si>
  <si>
    <t>Buxton, CD; Hartmann, K; Kearney, R; Gardner, C</t>
  </si>
  <si>
    <t>Buxton, Colin D.; Hartmann, Klaas; Kearney, Robert; Gardner, Caleb</t>
  </si>
  <si>
    <t>When Is Spillover from Marine Reserves Likely to Benefit Fisheries?</t>
  </si>
  <si>
    <t>PROTECTED AREAS; SPINY LOBSTER; REEF FISHES; LONG-TERM; PALINURUS-ELEPHAS; LARVAL DISPERSAL; ADJACENT FISHERY; NEW-ZEALAND; APO ISLAND; ADULT FISH</t>
  </si>
  <si>
    <t>The net movement of individuals from marine reserves (also known as no-take marine protected areas) to the remaining fishing grounds is known as spillover and is frequently used to promote reserves to fishers on the grounds that it will benefit fisheries. Here we consider how mismanaged a fishery must be before spillover from a reserve is able to provide a net benefit for a fishery. For our model fishery, density of the species being harvested becomes higher in the reserve than in the fished area but the reduction in the density and yield of the fished area was such that the net effect of the closure was negative, except when the fishery was mismanaged. The extent to which effort had to exceed traditional management targets before reserves led to a spillover benefit varied with rates of growth and movement of the model species. In general, for well-managed fisheries, the loss of yield from the use of reserves was less for species with greater movement and slower growth. The spillover benefit became more pronounced with increasing mis-management of the stocks remaining available to the fishery. This model-based result is consistent with the literature of field-based research where a spillover benefit from reserves has only been detected when the fishery is highly depleted, often where traditional fisheries management controls are absent. We conclude that reserves in jurisdictions with well-managed fisheries are unlikely to provide a net spillover benefit.</t>
  </si>
  <si>
    <t>[Buxton, Colin D.; Hartmann, Klaas; Gardner, Caleb] Univ Tasmania, Inst Marine &amp; Antarctic Studies, Fisheries Aquaculture &amp; Coasts Ctr, Hobart, Tas, Australia; [Kearney, Robert] Univ Canberra, Inst Appl Ecol, Canberra, ACT 2601, Australia</t>
  </si>
  <si>
    <t>University of Tasmania; University of Canberra</t>
  </si>
  <si>
    <t>Buxton, CD (corresponding author), Univ Tasmania, Inst Marine &amp; Antarctic Studies, Fisheries Aquaculture &amp; Coasts Ctr, Hobart, Tas, Australia.</t>
  </si>
  <si>
    <t>colin.buxton@utas.edu.au</t>
  </si>
  <si>
    <t>Hartmann, Klaas/B-3991-2008; Buxton, Colin/AAV-3489-2021; Gardner, Caleb/I-7086-2013</t>
  </si>
  <si>
    <t>Gardner, Caleb/0000-0003-0324-4337; Buxton, Colin/0000-0002-3256-5220</t>
  </si>
  <si>
    <t>Fisheries Research and Development Corporation [FRDC 2010/226]</t>
  </si>
  <si>
    <t>Fisheries Research and Development Corporation</t>
  </si>
  <si>
    <t>This work was supported by the Fisheries Research and Development Corporation (FRDC 2010/226). http://frdc.com.au/Pages/home.aspx. The funders had no role in study design, data collection and analysis, decision to publish, or preparation of the manuscript.</t>
  </si>
  <si>
    <t>SEP 4</t>
  </si>
  <si>
    <t>e107032</t>
  </si>
  <si>
    <t>10.1371/journal.pone.0107032</t>
  </si>
  <si>
    <t>AO3XV</t>
  </si>
  <si>
    <t>Green Accepted, Green Published, gold, Green Submitted</t>
  </si>
  <si>
    <t>WOS:000341271500110</t>
  </si>
  <si>
    <t>Prenzel, J; Lisker, F; Elsner, M; Schöner, R; Balestrieri, ML; Läufer, AL; Berner, U; Spiegel, C</t>
  </si>
  <si>
    <t>Prenzel, J.; Lisker, F.; Elsner, M.; Schoener, R.; Balestrieri, M. L.; Laeufer, A. L.; Berner, U.; Spiegel, C.</t>
  </si>
  <si>
    <t>Burial and exhumation of the Eisenhower Range, Transantarctic Mountains, based on thermochronological, sedimentary rock maturity and petrographic constraints</t>
  </si>
  <si>
    <t>TECTONOPHYSICS</t>
  </si>
  <si>
    <t>Apatite fission track and U-Th-Sm/He thermochronology; Backstepping erosion; Basin inversion; Burial and exhumation evolution; Paleotemperature estimates; Thermal history modeling</t>
  </si>
  <si>
    <t>NORTHERN VICTORIA LAND; ANTARCTIC ICE-SHEET; FISSION-TRACK; ROSS SEA; VITRINITE REFLECTANCE; RADIATION-DAMAGE; EVOLUTION; EAST; SYSTEM; EOCENE</t>
  </si>
  <si>
    <t>The Eisenhower Range is a N-S trending mountain range in the Transantarctic Mountains (TAM) adjacent to the NW Ross Sea Embayment. New AFT and apatite (U-Th-Sm)/He (AHe) data from vertical basement profiles supplemented by paleotemperature and pressure estimates derived from Beacon sandstones provide new quantitative results on regional burial evolution and first regional constraints on basin inversion and exhumation processes. AFT ages between 32 +/- 2 and 259 +/- 18 Ma and AHe ages of 37 +/- 3-173 +/- 16 Ma correlate positively with sample elevations. Thermal history modeling of these data and complementary thermal indications detect heating of the paleosurface on the Eisenhower Range to temperatures &gt;= 80 degrees C subsequent to Ferrar magmatism, and constrain Late Eocene rapid cooling. Regression of modeled paleotemperatures against sample elevations refers to a high Jurassic (similar to 45 degrees C/km) and a moderate Cretaceous-Eocene (28 +/- 8 degrees C/km) geothermal gradient. The texture of Beacon sandstones supports strong mechanical compaction that requires a higher overburden than preserved in the stratigraphic record. Modeled paleotemperatures and pressures suggest basement burial that increases from Late Jurassic (0.7-1.1 km) to Eocene (1.8-2.1 km). The overburden comprises 0.7-1.1 km cumulative Beacon/Ferrar rocks and 0.7-1.4 km of post-Ferrar sediments. Rapid cooling of the whole sample suite between similar to 35 and 30 Ma implies fast erosion of the post-Ferrar sediments and (re-) exposure of underlying magmatic rocks. Subsequent differential sample cooling to present-day surface temperature infers ongoing exhumation by glacial incision enhanced by isostatic response to basin inversion. Decreasing amounts of exhumation from the coast (&gt;3 km) toward the interior (1.5-2.2 km) point to backstepping incision along the fault controlled Priestley Glacier. Substantial exhumation of the Eisenhower Range since the Late Eocene is hence triggered by both tectonic and climatic factors, superimposed by considerable lithological influence during the initial exhumation stage. (C) 2014 Elsevier B.V. All rights reserved.</t>
  </si>
  <si>
    <t>[Prenzel, J.; Lisker, F.; Spiegel, C.] Univ Bremen, D-28359 Bremen, Germany; [Schoener, R.] Landesamt Bergbau Energie &amp; Geol, D-30655 Hannover, Germany; [Balestrieri, M. L.] CNR, Inst Earth Sci &amp; Earth Resources, I-50121 Florence, Italy; [Laeufer, A. L.; Berner, U.] Bundesanstalt Geowissensch &amp; Rohstoffe, D-30655 Hannover, Germany</t>
  </si>
  <si>
    <t>University of Bremen; Consiglio Nazionale delle Ricerche (CNR)</t>
  </si>
  <si>
    <t>Prenzel, J (corresponding author), Univ Bremen, Dept Geosci, PF 330440, D-28334 Bremen, Germany.</t>
  </si>
  <si>
    <t>jprenzel@uni-bremen.de</t>
  </si>
  <si>
    <t>Balestrieri, Maria Laura/AAX-3560-2020; Läufer, Andreas/ABC-1465-2020</t>
  </si>
  <si>
    <t>Läufer, Andreas/0000-0003-2219-0450; Lisker, Frank/0000-0002-1615-7315; Schoner, Robert/0000-0001-6125-1389; Spiegel, Cornelia/0000-0002-1432-3447</t>
  </si>
  <si>
    <t>Deutsche Forschungsgemeinschaft (DFG) [LI745/12-1, LA1080/7-1, GA 457/11+13]</t>
  </si>
  <si>
    <t>Deutsche Forschungsgemeinschaft (DFG)(German Research Foundation (DFG))</t>
  </si>
  <si>
    <t>This work was supported by grants LI745/12-1 (F.L.), LA1080/7-1 (A.L.) and GA 457/11+13 (RS.; M.E.) of the Deutsche Forschungsgemeinschaft (DFG) within priority program SPP 1158 Antarctic Research with comparative investigations in Arctic ice areas. F.L., J.P., and R.S. are grateful to the BGR for the invitation to participate in the GANOVEX IX and X campaigns 2005/06 and 2009/10. We especially thank the personnel of Mario Zucchelli Station, the crews of MS Italica and Helicopters New Zealand for logistic support, and the members of the GANOVEX teams for cooperative fieldwork and stimulating discussions. Sincere thanks go also to our field guides Maurice Conway, Brian Staite and Mike Aitkinson. Julia Lindow and Barbara Ventura are acknowledged for constructive comments. Ann E. Blythe and an anonymous reviewer are thanked for constructive reviews that substantially improved the paper, and L. Jolivet for the editorial handling of the paper.</t>
  </si>
  <si>
    <t>0040-1951</t>
  </si>
  <si>
    <t>1879-3266</t>
  </si>
  <si>
    <t>Tectonophysics</t>
  </si>
  <si>
    <t>SEP 3</t>
  </si>
  <si>
    <t>10.1016/j.tecto.2014.05.020</t>
  </si>
  <si>
    <t>AO7QY</t>
  </si>
  <si>
    <t>WOS:000341548900010</t>
  </si>
  <si>
    <t>Zattin, M; Pace, D; Andreucci, B; Rossetti, F; Talarico, FM</t>
  </si>
  <si>
    <t>Zattin, M.; Pace, D.; Andreucci, B.; Rossetti, F.; Talarico, F. M.</t>
  </si>
  <si>
    <t>Cenozoic erosion of the Transantarctic Mountains: A source-to-sink thermochronological study</t>
  </si>
  <si>
    <t>Thermochronology; Apatite fission-track analysis; Exhumation; Transantarctic Mountains; Victoria Land Basin</t>
  </si>
  <si>
    <t>SOUTHERN VICTORIA LAND; WEST ANTARCTIC RIFT; AND-2A DRILL CORE; ROSS SEA REGION; EVOLUTION; BASIN; EAST; PROVENANCE; (U-TH)/HE; GLACIER</t>
  </si>
  <si>
    <t>The formation of the Transantarctic Mountains (TAM) is strictly related to the evolution of the West Antarctic Rift system, but the timing of their exhumation is still not fully assessed. In this work, we provide new apatite fission-track data collected on the region between the Royal Society Range and the Britannia Range. Cooling ages are late Eocene-Oligocene in the center of the region but they get older both northwards and southwards. We infer that exhumation was strictly controlled by TAM-parallel fault strands that were active after the Oligocene. The Royal Society Range and the Britannia Range represent transition zones corresponding to transverse structures, probably inherited from early basement crustal discontinuities and reactivated as transfer regions during rift propagation. The exhumation of the investigated region has been then modeled and predicted thermochronological ages have been compared with detrital data from the Miocene sedimentary succession drilled in the Victoria Land Basin. Results indicate that this sector of the TAM is the most probable candidate for the source of sediments and that during the Neogene 3 km (but up to 5 km) of rocks was exhumed. (C) 2014 Elsevier B.V. All rights reserved.</t>
  </si>
  <si>
    <t>[Zattin, M.; Andreucci, B.] Univ Padua, Dept Geosci, I-35131 Padua, Italy; [Pace, D.; Talarico, F. M.] Univ Siena, Dept Phys Sci Earth &amp; Environm, I-53100 Siena, Italy; [Rossetti, F.] Univ Roma Tre, Dept Sci, I-00146 Rome, Italy</t>
  </si>
  <si>
    <t>University of Padua; University of Siena; Roma Tre University; Italfarmaco</t>
  </si>
  <si>
    <t>Zattin, M (corresponding author), Univ Padua, Dept Geosci, Via G Gradenigo 6, I-35131 Padua, Italy.</t>
  </si>
  <si>
    <t>massimiliano.zattin@unipd.it; pac.donato@gmail.com; benedetta.andreucci@unipd.it; federico.rossetti@uniroma3.it; talarico@unisi.it</t>
  </si>
  <si>
    <t>Zattin, Massimiliano/A-8943-2012; talarico, franco/G-9472-2012</t>
  </si>
  <si>
    <t>ROSSETTI, Federico/0000-0001-8071-7252; talarico, franco/0000-0002-7254-4301; Zattin, Massimiliano/0000-0002-2265-3921</t>
  </si>
  <si>
    <t>Fondazione Cassa di Risparmio di Padova e Rovigo; PNRA [PdR 2009/A2.19]</t>
  </si>
  <si>
    <t>Fondazione Cassa di Risparmio di Padova e Rovigo(Fondazione Cariparo); PNRA</t>
  </si>
  <si>
    <t>The article greatly benefited from thorough and constructive comments by an anonymous reviewer. This work has been supported by Fondazione Cassa di Risparmio di Padova e Rovigo (Bando Progetti di Eccellenza 2009/2010; Zattin) and PNRA (PdR 2009/A2.19 - CLITEITAM; Talarico).</t>
  </si>
  <si>
    <t>10.1016/j.tecto.2014.05.022</t>
  </si>
  <si>
    <t>WOS:000341548900014</t>
  </si>
  <si>
    <t>Roy, S; Mukherjee, A</t>
  </si>
  <si>
    <t>Roy, Sreemoyee; Mukherjee, Abhik</t>
  </si>
  <si>
    <t>Exploring fractal features in the mixing height zone of planetary boundary layer from observed sodar data</t>
  </si>
  <si>
    <t>REMOTE SENSING LETTERS</t>
  </si>
  <si>
    <t>DIMENSION</t>
  </si>
  <si>
    <t>Remote sensing techniques are applied to sodar data for providing information regarding the planetary boundary layer. The temperature inhomogeneity that results from convective mixing in lower atmosphere is responsible for the backscattering of sound wave transmitted by the sodar. The intensity of echo returns fluctuates with time in the mixing height zone due to convection. In this work, fractal dimension (FD) of the data is considered as a measure for classifying the mixing height zone. A method has been proposed to tackle the noisy sodar data without losing relevant meteorological information. A comparison of the computed FD for noise-prone sodar data sets of tropical urban settings with those of relatively noise-free Antarctic settings is reported in this context.</t>
  </si>
  <si>
    <t>[Roy, Sreemoyee] Ericsson India Global Serv, CSI ADM, New Town Kolkata, W Bengal, India; [Mukherjee, Abhik] IIEST Shibpur Erstwhile Bengal Engn &amp; Sci Univ Sh, CST Dept, Howrah, W Bengal, India</t>
  </si>
  <si>
    <t>Indian Institute of Engineering Science Technology Shibpur (IIEST)</t>
  </si>
  <si>
    <t>Mukherjee, A (corresponding author), IIEST Shibpur Erstwhile Bengal Engn &amp; Sci Univ Sh, CST Dept, Howrah, W Bengal, India.</t>
  </si>
  <si>
    <t>abhik@cs.becs.ac.in</t>
  </si>
  <si>
    <t>Dept. of Science and Technology, Govt. of India</t>
  </si>
  <si>
    <t>The sodar data used here were collected as part of a project sponsored by Dept. of Science and Technology, Govt. of India during 1995-1998. Dr N.C. Deb of Electronics and Communication Sciences Unit (ECSU), ISI, Kolkata, deserves special thanks for his role in both ISI sodar and Maitri sodar.</t>
  </si>
  <si>
    <t>TAYLOR &amp; FRANCIS LTD</t>
  </si>
  <si>
    <t>ABINGDON</t>
  </si>
  <si>
    <t>4 PARK SQUARE, MILTON PARK, ABINGDON OX14 4RN, OXON, ENGLAND</t>
  </si>
  <si>
    <t>2150-704X</t>
  </si>
  <si>
    <t>2150-7058</t>
  </si>
  <si>
    <t>REMOTE SENS LETT</t>
  </si>
  <si>
    <t>Remote Sens. Lett.</t>
  </si>
  <si>
    <t>SEP 2</t>
  </si>
  <si>
    <t>10.1080/2150704X.2014.970715</t>
  </si>
  <si>
    <t>Remote Sensing; Imaging Science &amp; Photographic Technology</t>
  </si>
  <si>
    <t>AQ9WW</t>
  </si>
  <si>
    <t>WOS:000343209800006</t>
  </si>
  <si>
    <t>Gerginova, M; Litova, K; Manasiev, J; Peneva, N; Alexieva, Z</t>
  </si>
  <si>
    <t>Gerginova, Maria; Litova, Katya; Manasiev, Jordan; Peneva, Nadejda; Alexieva, Zlatka</t>
  </si>
  <si>
    <t>Analyses of enzymes involved in the degradation of catechol and o-cresol by Aspergillus fumigatus strain, isolated from Antarctic soil</t>
  </si>
  <si>
    <t>JOURNAL OF BIOTECHNOLOGY</t>
  </si>
  <si>
    <t>European Biotechnology Congress</t>
  </si>
  <si>
    <t>MAY 15-18, 2014</t>
  </si>
  <si>
    <t>Lecce, ITALY</t>
  </si>
  <si>
    <t>[Gerginova, Maria; Litova, Katya; Manasiev, Jordan; Peneva, Nadejda; Alexieva, Zlatka] Bulgarian Acad Sci, Inst Microbiol, BU-1113 Sofia, Bulgaria</t>
  </si>
  <si>
    <t>Medical University Sofia; Bulgarian Academy of Sciences</t>
  </si>
  <si>
    <t>zlatkama@yahoo.com</t>
  </si>
  <si>
    <t>Alexieva, Zlatka M/K-7822-2016; Gerginova, Maria Gerginova/K-7815-2016</t>
  </si>
  <si>
    <t>0168-1656</t>
  </si>
  <si>
    <t>1873-4863</t>
  </si>
  <si>
    <t>J BIOTECHNOL</t>
  </si>
  <si>
    <t>J. Biotechnol.</t>
  </si>
  <si>
    <t>SEP</t>
  </si>
  <si>
    <t>S</t>
  </si>
  <si>
    <t>S61</t>
  </si>
  <si>
    <t>10.1016/j.jbiotec.2014.07.205</t>
  </si>
  <si>
    <t>Science Citation Index Expanded (SCI-EXPANDED); Conference Proceedings Citation Index - Science (CPCI-S)</t>
  </si>
  <si>
    <t>CC0NH</t>
  </si>
  <si>
    <t>WOS:000350032000184</t>
  </si>
  <si>
    <t>Shanklin, J</t>
  </si>
  <si>
    <t>Shanklin, Jon</t>
  </si>
  <si>
    <t>Dog-gone it</t>
  </si>
  <si>
    <t>PHYSICS WORLD</t>
  </si>
  <si>
    <t>British Antarctic Survey, Cambridge, England</t>
  </si>
  <si>
    <t>Shanklin, J (corresponding author), British Antarctic Survey, Cambridge, England.</t>
  </si>
  <si>
    <t>jdsh@bas.ac.uk</t>
  </si>
  <si>
    <t>IOP PUBLISHING LTD</t>
  </si>
  <si>
    <t>BRISTOL</t>
  </si>
  <si>
    <t>TEMPLE CIRCUS, TEMPLE WAY, BRISTOL BS1 6BE, ENGLAND</t>
  </si>
  <si>
    <t>0953-8585</t>
  </si>
  <si>
    <t>PHYS WORLD</t>
  </si>
  <si>
    <t>Phys. World</t>
  </si>
  <si>
    <t>10.1088/2058-7058/27/09/29</t>
  </si>
  <si>
    <t>Physics, Multidisciplinary</t>
  </si>
  <si>
    <t>Physics</t>
  </si>
  <si>
    <t>AZ9FF</t>
  </si>
  <si>
    <t>WOS:000348517500025</t>
  </si>
  <si>
    <t>Wang, ZF; Wu, KJ; Xia, CS; Zhang, XS</t>
  </si>
  <si>
    <t>Wang Zhifeng; Wu Kejian; Xia Changshui; Zhang Xiaoshuang</t>
  </si>
  <si>
    <t>The impact of surface waves on the mixing of the upper ocean</t>
  </si>
  <si>
    <t>ACTA OCEANOLOGICA SINICA</t>
  </si>
  <si>
    <t>surface waves; Stokes drift; Langmuir turbulence; mixing</t>
  </si>
  <si>
    <t>MIXED-LAYER; LANGMUIR CIRCULATIONS; INDUCED CURRENTS; STOKES DRIFT; TURBULENCE; WIND; MODEL; EQUATIONS; TRANSPORT; STEADY</t>
  </si>
  <si>
    <t>A new three-dimensional numerical model is derived through a wave average on the primitive N-S equations, in which both theCoriolis-Stokes forcing and theStokes-Vortex force are considered. Three ideal experiments are run using the new model applied to the Princeton ocean model (POM). Numerical results show that surface waves play an important role on the mixing of the upper ocean. The mixed layer is enhanced when wave effect is considered in conjunction with small Langmuir numbers. Both surface wave breaking and Stokes production can strengthen the turbulent mixing near the surface. However, the influence of wave breaking is limited to a thin layer, but Stokes drift can affect the whole mixed layer. Furthermore, the vertical mixing coefficients clearly rise in the mixed layer, and the upper ocean mixed layer is deepened especially in the Antarctic Circumpolar Current when the model is applied to global simulations. It indicates that the surface gravity waves are indispensable in enhancing the mixing in the upper ocean, and should be accounted for in ocean general circulation models.</t>
  </si>
  <si>
    <t>[Wang Zhifeng] Ocean Univ China, Coll Engn, Qingdao 266100, Peoples R China; [Wu Kejian] Ocean Univ China, Coll Phys &amp; Environm Oceanog, Qingdao 266100, Peoples R China; [Xia Changshui] State Ocean Adm, Inst Oceanog 1, Qingdao 266061, Peoples R China; [Zhang Xiaoshuang] State Ocean Adm, Key Lab Marine Environm Informat Technol, Natl Marine Data &amp; Informat Serv, Tianjin 300171, Peoples R China</t>
  </si>
  <si>
    <t>Ocean University of China; Ocean University of China; First Institute of Oceanography, Ministry of Natural Resources; National Marine Data &amp; Information Service</t>
  </si>
  <si>
    <t>Wu, KJ (corresponding author), Ocean Univ China, Coll Phys &amp; Environm Oceanog, Qingdao 266100, Peoples R China.</t>
  </si>
  <si>
    <t>kejianwu@ouc.edu.cn</t>
  </si>
  <si>
    <t>Xia, Changshui/AAA-7255-2021</t>
  </si>
  <si>
    <t>Xia, Changshui/0000-0001-6941-0962; Wang, Zhifeng/0000-0001-6070-9984</t>
  </si>
  <si>
    <t>Shandong Province Key Laboratory of Ocean Engineering, Ocean University of China (Fundamental Research Funds for the Central Universities) [201362045]; Key Laboratory of Digital Ocean, State Oceanic Administration of China [KLDO201406]</t>
  </si>
  <si>
    <t>Shandong Province Key Laboratory of Ocean Engineering, Ocean University of China (Fundamental Research Funds for the Central Universities); Key Laboratory of Digital Ocean, State Oceanic Administration of China</t>
  </si>
  <si>
    <t>Foundation item: The Open Fund of the Shandong Province Key Laboratory of Ocean Engineering, Ocean University of China (Fundamental Research Funds for the Central Universities) under contract No. 201362045; the Open Fund of the Key Laboratory of Digital Ocean, State Oceanic Administration of China under contract No. KLDO201406.</t>
  </si>
  <si>
    <t>0253-505X</t>
  </si>
  <si>
    <t>1869-1099</t>
  </si>
  <si>
    <t>ACTA OCEANOL SIN</t>
  </si>
  <si>
    <t>Acta Oceanol. Sin.</t>
  </si>
  <si>
    <t>10.1007/s13131-014-0514-6</t>
  </si>
  <si>
    <t>AO4TO</t>
  </si>
  <si>
    <t>WOS:000341334500004</t>
  </si>
  <si>
    <t>Venables, E; Nicholls, K; Wolk, F; Makinson, K; Anker, P</t>
  </si>
  <si>
    <t>Venables, Emily; Nicholls, Keith; Wolk, Fabian; Makinson, Keith; Anker, Paul</t>
  </si>
  <si>
    <t>Measuring Turbulent Dissipation Rates Beneath an Antarctic Ice Shelf</t>
  </si>
  <si>
    <t>MARINE TECHNOLOGY SOCIETY JOURNAL</t>
  </si>
  <si>
    <t>turbulence; microstructure; basal melting; hot-water drilling</t>
  </si>
  <si>
    <t>Microstructure shear, temperature, and conductivity observations from a tethered profiler have been made beneath George VI Ice Shelf to examine processes driving vertical heat flux in the oceanic turbulent boundary layer. Such measurements at the ice-ocean interface within the cavity of an ice shelf are unprecedented, requiring the deployment of a profiler through 400-m deep access boreholes. We describe the drilling technique developed for this purpose, which involves using a brush to widen the deepest section of the borehole, and as evidence that this novel technique can be successful, we present shear and thermal variance spectra from the profiler. These spectra indicate that dissipation rates of turbulent kinetic energy, from which heat flux can be calculated, can be resolved beneath an ice shelf as well as they can be in open water.</t>
  </si>
  <si>
    <t>[Venables, Emily; Nicholls, Keith; Makinson, Keith; Anker, Paul] NERC, British Antarctic Survey, Cambridge, MA USA; [Wolk, Fabian] Rockland Sci Inc, Victoria, BC, Canada</t>
  </si>
  <si>
    <t>Venables, E (corresponding author), NERC, British Antarctic Survey, Cambridge, MA USA.</t>
  </si>
  <si>
    <t>eminab@nerc.ac.uk</t>
  </si>
  <si>
    <t>Makinson, Keith/A-2495-2013</t>
  </si>
  <si>
    <t>Makinson, Keith/0000-0002-5791-1767</t>
  </si>
  <si>
    <t>Natural Environment Research Council [NE/H009205/1]; NERC [NE/H009205/1, bas0100028] Funding Source: UKRI; Natural Environment Research Council [NE/H009205/1, bas0100028]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</si>
  <si>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</si>
  <si>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Natural Environment Research Council grant NE/H009205/1. The authors would like to thank Rolf Lueck for providing helpful comments during the preparation of this manuscript and Laurie Padman and two anonymous reviewers for their reviews, which improved it even further.</t>
  </si>
  <si>
    <t>MARINE TECHNOLOGY SOC INC</t>
  </si>
  <si>
    <t>COLUMBIA</t>
  </si>
  <si>
    <t>5565 STERRETT PLACE, STE 108, COLUMBIA, MD 21044 USA</t>
  </si>
  <si>
    <t>0025-3324</t>
  </si>
  <si>
    <t>1948-1209</t>
  </si>
  <si>
    <t>MAR TECHNOL SOC J</t>
  </si>
  <si>
    <t>Mar. Technol. Soc. J.</t>
  </si>
  <si>
    <t>SEP-OCT</t>
  </si>
  <si>
    <t>10.4031/MTSJ.48.5.8</t>
  </si>
  <si>
    <t>Engineering, Ocean; Oceanography</t>
  </si>
  <si>
    <t>Engineering; Oceanography</t>
  </si>
  <si>
    <t>AT6NZ</t>
  </si>
  <si>
    <t>WOS:000345057300003</t>
  </si>
  <si>
    <t>Kohut, J; Bernard, K; Fraser, W; Oliver, MJ; Statscevvich, H; Winsor, P; Miles, T</t>
  </si>
  <si>
    <t>Kohut, Josh; Bernard, Kim; Fraser, William; Oliver, Matthew J.; Statscevvich, Hank; Winsor, Peter; Miles, Travis</t>
  </si>
  <si>
    <t>Studying the Impacts of Local Oceanographic Processes on Adelie Penguin Foraging Ecology</t>
  </si>
  <si>
    <t>polar oceanography; marine ecology; ocean observing</t>
  </si>
  <si>
    <t>CHUKCHI SEA; SHELF; CIRCULATION; MODEL; WATER; VARIABILITY; ECOSYSTEMS; ABUNDANCE; KRILL</t>
  </si>
  <si>
    <t>We are conducting a multi-platform field study to investigate the impact of local physical processes on Adelie penguin foraging ecology in the vicinity of Palmer Deep off Anvers Island, Western Antarctic Peninsula (WAP). Guided by real-time remotely sensed surface current measurements of convergence derived from a network of high-frequency radars (HFRs), we adaptively sample the distribution and biomass of phytoplankton and Antarctic krill, which influence Adelie penguin foraging ecology, to understand how local oceanographic processes structure the ecosystem. The recent application of ocean observing and animal telemetry technology over Palmer Deep has led to new understanding and many new questions related to polar ecosystem processes. The HFR coastal surface current mapping network is uniquely equipped to resolve local circulation patterns over Palmer Deep. The surface current measurements enable identification of regions of convergence and divergence in real time. Guided by these maps, our field study adaptively samples the measured convergence and divergence zones within the context of semi-diurnal and diurnal mixed tidal regimes. The in situ sampling includes (a) a mooring deployment, (b) multiple underwater glider deployments, (c) small boat acoustic surveys of Antarctic krill, and (d) penguin ARGOS-linked satellite telemetry and temperature-depth recorders (TDRs). The combination of real-time surface convergence maps with adaptive in situ sampling introduces HFR to the Antarctic in a way that allows us to rigorously and efficiently test the influence of local tidal processes on top predator foraging ecology.</t>
  </si>
  <si>
    <t>[Kohut, Josh; Miles, Travis] Rutgers State Univ, Ctr Ocean Observing, New Brunswick, NJ 08901 USA; [Bernard, Kim] Oregon State Univ, Coll Earth Ocean &amp; Atmospher Sci, Corvallis, OR 97331 USA; [Fraser, William] Polar Oceans Res Grp, Sheridan, MT USA; [Oliver, Matthew J.] Univ Delaware, Coll Earth Ocean &amp; Environm, Newark, DE 19716 USA; [Statscevvich, Hank; Winsor, Peter] Univ Alaska Fairbanks, Inst Marine Sci, Fairbanks, AK USA</t>
  </si>
  <si>
    <t>Rutgers University System; Rutgers University New Brunswick; Oregon State University; University of Delaware; University of Alaska System; University of Alaska Fairbanks</t>
  </si>
  <si>
    <t>Kohut, J (corresponding author), Rutgers State Univ, Ctr Ocean Observing, 71 Dudley Rd, New Brunswick, NJ 08901 USA.</t>
  </si>
  <si>
    <t>kohut@marine.rutgers.edu</t>
  </si>
  <si>
    <t>Miles, Travis/L-7918-2013</t>
  </si>
  <si>
    <t>Miles, Travis/0000-0003-1992-0248; Statscewich, Hank/0000-0002-0294-4764</t>
  </si>
  <si>
    <t>National Science Foundation [ANT 1327248]; Directorate For Geosciences; Office of Polar Programs (OPP) [1324313, 1327248, 1326167, 1331681] Funding Source: National Science Foundation; Office of Polar Programs (OPP); Directorate For Geosciences [1326541, 1440435] Funding Source: National Science Foundation</t>
  </si>
  <si>
    <t>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</si>
  <si>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project is funded through the National Science Foundation award ANT 1327248. We are grateful to the Antarctic Support Contractor and their teams, both in Denver, CO, aboard the RVIB Laurence M. Gould, and at Palmer Station, without whom a project such as ours would be impossible. We also thank the students and field assistants for their valued involvement in the CONVERGE project. Finally, we thank the Palmer Antarctica Long-Term Ecological Research team for their advice, suggestions, and collaboration.</t>
  </si>
  <si>
    <t>10.4031/MTSJ.48.5.10</t>
  </si>
  <si>
    <t>WOS:000345057300004</t>
  </si>
  <si>
    <t>Maslov, LA</t>
  </si>
  <si>
    <t>Maslov, Lev A.</t>
  </si>
  <si>
    <t>Self-organization of the Earth's climate system versus Milankovitch-Berger astronomical cycles</t>
  </si>
  <si>
    <t>JOURNAL OF ADVANCES IN MODELING EARTH SYSTEMS</t>
  </si>
  <si>
    <t>PAST 420,000 YEARS; QUASI-PERIODICITY; ATMOSPHERE; HISTORY</t>
  </si>
  <si>
    <t>The Late Pleistocene Antarctic temperature variation curve is decomposed into two components: cyclic'' and high frequency, stochastic.'' For each of these components, a mathematical model is developed which shows that the cyclic and stochastic temperature variations are distinct, but interconnected, processes with their own self-organization. To model the cyclic component, a system of ordinary differential equations is written which represent an auto-oscillating, self-organized process with constant period. It is also shown that these equations can be used to model more realistic variations in temperature with changing cycle length. For the stochastic component, the multifractal spectrum is calculated and compared to the multifractal spectrum of a critical sine-circle map. A physical interpretation of relevant mathematical models and discussion of future climate development within the context of this work is given.</t>
  </si>
  <si>
    <t>Univ Colorado, Dept Phys &amp; Astron, Greeley, CO 80639 USA</t>
  </si>
  <si>
    <t>University of Colorado System</t>
  </si>
  <si>
    <t>Maslov, LA (corresponding author), Univ Colorado, Dept Phys &amp; Astron, Greeley, CO 80639 USA.</t>
  </si>
  <si>
    <t>lev.maslov@aims.edu</t>
  </si>
  <si>
    <t>1942-2466</t>
  </si>
  <si>
    <t>J ADV MODEL EARTH SY</t>
  </si>
  <si>
    <t>J. Adv. Model. Earth Syst.</t>
  </si>
  <si>
    <t>10.1002/2014MS000312</t>
  </si>
  <si>
    <t>AS6QP</t>
  </si>
  <si>
    <t>Green Submitted, gold</t>
  </si>
  <si>
    <t>WOS:000344387900010</t>
  </si>
  <si>
    <t>Murase, H; Hakamada, T; Matsuoka, K; Nishiwaki, S; Inagake, D; Okazaki, M; Tojo, N; Kitakado, T</t>
  </si>
  <si>
    <t>Murase, Hiroto; Hakamada, Takashi; Matsuoka, Koji; Nishiwaki, Shigetoshi; Inagake, Denzo; Okazaki, Makoto; Tojo, Naoki; Kitakado, Toshihide</t>
  </si>
  <si>
    <t>Distribution of sei whales (Balaenoptera borealis) in the subarctic-subtropical transition area of the western North Pacific in relation to oceanic fronts</t>
  </si>
  <si>
    <t>DEEP-SEA RESEARCH PART II-TOPICAL STUDIES IN OCEANOGRAPHY</t>
  </si>
  <si>
    <t>Baleen whale; Cetacean; Habitat; Ocean front; Oceanography; Kuroshio Extension Front; Kuroshio Bifurcation Front; Subarctic Front; Polar Front</t>
  </si>
  <si>
    <t>ANCHOVY ENGRAULIS-JAPONICUS; ANTARCTIC MINKE WHALES; JAPANESE ANCHOVY; REGIME SHIFTS; HUMPBACK WHALES; ABUNDANCE; VARIABILITY; HABITAT; SELECTION; FEATURES</t>
  </si>
  <si>
    <t>The subarctic-subtropical transition area of the western North Pacific is an important summer feeding grounds of sei whales. The oceanographic structure and circulation of this area are largely determined by strong oceanic fronts and associated geostrophic currents, namely the Polar Front (PF), Subarctic Front (SAF) and Kuroshio Extension Front (KEF). The relationship between the distribution of sei whales and oceanographic fronts was investigated using a generalized additive model (GAM), and the cetacean sighting survey data and oceanographic observations in July from 2000 to 2007 were used in the analysis. The number of individual sei whales was used as the response variable while the distances from the PF, SAF, and KEF to the whales were used as explanatory variables along with the longitude values. Sei whales were concentrated north and south of the SAF and the areas from 250 to 300 km north and from 100 to 200 km south of the SAF were estimated as high-density areas of sei whales. The entire inter-frontal zone between the PF and SAF featured an elevated concentration of sei whales, and the area south of the PF and along the SAF was identified as an important feeding ground of sei whales in July from 2000 to 2007. (C) 2014 Elsevier Ltd. All rights reserved.</t>
  </si>
  <si>
    <t>[Murase, Hiroto] Natl Res Inst Far Seas Fisheries, Yokohama, Kanagawa 2368648, Japan; [Hakamada, Takashi; Matsuoka, Koji; Nishiwaki, Shigetoshi] Inst Cetacean Res, Chuo Ku, Tokyo 1040055, Japan; [Inagake, Denzo; Okazaki, Makoto] Natl Res Inst Fisheries Sci, Yokohama, Kanagawa 2368648, Japan; [Tojo, Naoki] Inst Natl Rech Halieut, JICA Expert Ecosyst Monitoring &amp; Project, Casablanca 20030, Morocco; [Kitakado, Toshihide] Tokyo Univ Marine Sci &amp; Technol, Minato Ku, Tokyo 1088477, Japan</t>
  </si>
  <si>
    <t>Japan Fisheries Research &amp; Education Agency (FRA); Japan Fisheries Research &amp; Education Agency (FRA); Tokyo University of Marine Science &amp; Technology</t>
  </si>
  <si>
    <t>Murase, H (corresponding author), Natl Res Inst Far Seas Fisheries, 2-12-4 Fukuura, Yokohama, Kanagawa 2368648, Japan.</t>
  </si>
  <si>
    <t>muraseh@affrc.go.jp</t>
  </si>
  <si>
    <t>Murase, Hiroto/W-3556-2019; Kitakado, Toshihide/O-1944-2014</t>
  </si>
  <si>
    <t>Murase, Hiroto/0000-0001-7784-6555;</t>
  </si>
  <si>
    <t>Fisheries Agency of Japan; Fisheries Research Agency of Japan; Institute of Cetacean Research</t>
  </si>
  <si>
    <t>The authors express their thanks to the crews and researchers who participated in the surveys to collect these valuable data. We thank Dr. Igor Belkin for his kind invitation to submit our manuscript to this special issue Fronts, Fish, and Top Predators. He also provided us the definitions of the oceanic fronts used in the paper. Drs. Igor Belkin and Rui Prieto as well as four other reviewers provided thoughtful comments to improve our manuscript. The study was supported by the Fisheries Agency of Japan, the Fisheries Research Agency of Japan and the Institute of Cetacean Research. We thank these institutions for their support.</t>
  </si>
  <si>
    <t>0967-0645</t>
  </si>
  <si>
    <t>1879-0100</t>
  </si>
  <si>
    <t>DEEP-SEA RES PT II</t>
  </si>
  <si>
    <t>Deep-Sea Res. Part II-Top. Stud. Oceanogr.</t>
  </si>
  <si>
    <t>10.1016/j.dsr2.2014.05.002</t>
  </si>
  <si>
    <t>AR8SL</t>
  </si>
  <si>
    <t>WOS:000343844600004</t>
  </si>
  <si>
    <t>Stinnesbeck, W; Frey, E; Rivas, L; Pérez, JP; Leppe, M; Soto, CS; Lobos, PZ</t>
  </si>
  <si>
    <t>Stinnesbeck, Wolfgang; Frey, Eberhard; Rivas, Luis; Perez, Judith Pardo; Leppe, Marcelo; Soto, Christian Salazar; Lobos, Patricio Zambrano</t>
  </si>
  <si>
    <t>A Lower Cretaceous ichthyosaur graveyard in deep marine slope channel deposits at Torres del Paine National Park, southern Chile</t>
  </si>
  <si>
    <t>GEOLOGICAL SOCIETY OF AMERICA BULLETIN</t>
  </si>
  <si>
    <t>TURBIDITY CURRENTS; FORELAND BASIN; NEUQUEN BASIN; MAGALLANES BASIN; STRATIGRAPHIC ARCHITECTURE; REPTILIA ICHTHYOSAURIA; AMERICAN ICHTHYOSAUR; SUBMARINE CANYONS; ROSARIO FORMATION; PATAGONIAN-ANDES</t>
  </si>
  <si>
    <t>Remnants of ophthalmosaurid ichthyosaurs recently discovered in the vicinity of the Tyndall Glacier in the Torres del Paine National Park of southern Chile are extremely abundant and well preserved. After three field campaigns to the area, a total of 46 articulated and virtually complete ichthyosaur specimens, both adults and juveniles, were tentatively assigned to four different species of Ophthalmosauridae. Preservation is excellent and occasionally includes soft tissue and embryos. The skeletons are associated with ammonites, belemnites, inoceramid bivalves, and fishes as well as numerous plant remains. The enormous concentration of ichthyosaurs is unique for Chile and South America and places the Tyndall locality among the prime fossil Lagerstatten for Early Cretaceous marine reptiles worldwide. The deposit is Early Cretaceous (Valanginian-Hauterivian) in age and forms part of a monotonous bathyal to abyssal sequence of the Late Jurassic to late Early Cretaceous Rocas Verdes back-arc basin. In this region, the Tyndall ichthyosaur population may have profited from cold upwelling currents that caused abundant life at the shelf edge including masses of belemnites and small fish, the preferred diet of ichthyosaurs. The abundance of almost completely articulated ichthyosaur skeletons in the Tyndall area suggests that some animals fell victim to episodic mass-mortality events caused by turbidity currents traveling downslope through a submarine canyon. They lost orientation, drowned, and were dragged into the deep sea by these turbulent high-energy gravity flows. Their bodies ended up in an oxygen-deficient basin environment where they were immediately embedded by the fine turbidite suspension fallout. The Tyndall ichthyosaur locality thus combines characteristics of both concentration and conservation Lagerstatten.</t>
  </si>
  <si>
    <t>[Stinnesbeck, Wolfgang; Perez, Judith Pardo; Lobos, Patricio Zambrano] Heidelberg Univ, Inst Geowissensch, D-69221 Heidelberg, Germany; [Frey, Eberhard] SMNK, D-76133 Karlsruhe, Germany; [Rivas, Luis] Univ Concepcion, Dept Ciencias Tierra, Concepcion, Chile; [Leppe, Marcelo] Inst Antartico Chileno, Punta Arenas, Chile; [Soto, Christian Salazar] Museo Nacl Hist Nat, Santiago, Chile</t>
  </si>
  <si>
    <t>Ruprecht Karls University Heidelberg; Universidad de Concepcion</t>
  </si>
  <si>
    <t>Stinnesbeck, W (corresponding author), Heidelberg Univ, Inst Geowissensch, Neuenheimer Feld 234-236, D-69221 Heidelberg, Germany.</t>
  </si>
  <si>
    <t>wolfgang.stinnesbeck@geow.uni-heidelberg.de</t>
  </si>
  <si>
    <t>Pardo, Judith/T-9134-2018; Salazar, Christian/GQQ-3188-2022; Pardo-Perez, Judith/ADN-4851-2022; Leppe, Marcelo/L-5447-2014; Rivas, Luis/O-8657-2017; Zambrano Lobos, Patricio/JBI-7839-2023</t>
  </si>
  <si>
    <t>Salazar, Christian/0000-0002-9436-4950; Leppe, Marcelo/0000-0002-1545-8167; Zambrano Lobos, Patricio/0000-0002-3218-265X</t>
  </si>
  <si>
    <t>German Science Foundation (Deutsche Forschungsgemeinschaft, DFG) Ichthyosaurs of late Jurassic/early Cretaceous age in the Torres del Paine National Park, Southernmost Chile, [STI 128/15-1, STI 128/15-2, STI 128/15-3]; Fondecyt project Palaeophytogeographical and evolutionary relationships between southern Patagonia and Antarctic Peninsula floras during the Cretaceous [11080223]; Bundesministerium fur Bildung und Forschung (BMBF) [11080223, CHL 10A/09]; Deutscher Akademischer Austauschdienst (DAAD/CONICYT fellowship); Deutscher Akademischer Austauschdienst (DAAD-Alechile-Project) [259-2010]; Beca Presidente de la Republica fellowship</t>
  </si>
  <si>
    <t>German Science Foundation (Deutsche Forschungsgemeinschaft, DFG) Ichthyosaurs of late Jurassic/early Cretaceous age in the Torres del Paine National Park, Southernmost Chile,(German Research Foundation (DFG)); Fondecyt project Palaeophytogeographical and evolutionary relationships between southern Patagonia and Antarctic Peninsula floras during the Cretaceous(Comision Nacional de Investigacion Cientifica y Tecnologica (CONICYT)CONICYT FONDECYT); Bundesministerium fur Bildung und Forschung (BMBF)(Federal Ministry of Education &amp; Research (BMBF)); Deutscher Akademischer Austauschdienst (DAAD/CONICYT fellowship); Deutscher Akademischer Austauschdienst (DAAD-Alechile-Project)(Deutscher Akademischer Austausch Dienst (DAAD)); Beca Presidente de la Republica fellowship</t>
  </si>
  <si>
    <t>We are grateful to Marko Yurac, Joaquin Riquelme, Natalia Varela, Nicolas Merino, and Isabel Contreras (Universidad de Concepcion), Fredy Barrientos and Irene Ramirez (Corporacion Nacional Forestal, CONAF), Hector Mansilla and Claudio Valenzuela (Instituto Nacional Antarctico Chileno, Punta Arenas, Chile; INACH), and Esteban Beltran and Javier Rendoll for field assistance, logistical support, excellent company, and many lively discussions in our camp in southern Chile. We also wish to thank Pablo Ruiz of INACH for graphic design, and the INACH, CONAF, and Baqueano Zamora for logistical support and for making their facilities available for us. Brian Pratt (University of Saskatchewan, Canada) kindly commented on an earlier version of this paper. Steve Hubbard and Andrea Fildani (Stanford University), an anonymous reviewer, and Associate Editor Steve Hasiotis (University of Kansas at Lawrence) provided thoughtful and thorough reviews of the manuscript and are kindly acknowledged for their efforts. This research was supported by German Science Foundation (Deutsche Forschungsgemeinschaft, DFG) grants STI 128/15-1 to 3 Ichthyosaurs of late Jurassic/early Cretaceous age in the Torres del Paine National Park, Southernmost Chile, Fondecyt project 11080223 Palaeophytogeographical and evolutionary relationships between southern Patagonia and Antarctic Peninsula floras during the Cretaceous, Bundesministerium fur Bildung und Forschung (BMBF) research grants 11080223 (2009-2011) and CHL 10A/09, Deutscher Akademischer Austauschdienst (DAAD/CONICYT fellowship to J.P.P. and DAAD-Alechile-Project 259-2010), and a Beca Presidente de la Republica fellowship (to C.S.S.). All these contributions are gratefully acknowledged.</t>
  </si>
  <si>
    <t>GEOLOGICAL SOC AMER, INC</t>
  </si>
  <si>
    <t>BOULDER</t>
  </si>
  <si>
    <t>PO BOX 9140, BOULDER, CO 80301-9140 USA</t>
  </si>
  <si>
    <t>0016-7606</t>
  </si>
  <si>
    <t>1943-2674</t>
  </si>
  <si>
    <t>GEOL SOC AM BULL</t>
  </si>
  <si>
    <t>Geol. Soc. Am. Bull.</t>
  </si>
  <si>
    <t>9-10</t>
  </si>
  <si>
    <t>10.1130/B30964.1</t>
  </si>
  <si>
    <t>AR7KP</t>
  </si>
  <si>
    <t>WOS:000343758700011</t>
  </si>
  <si>
    <t>Kusahara, K; Hasumi, H</t>
  </si>
  <si>
    <t>Kusahara, Kazuya; Hasumi, Hiroyasu</t>
  </si>
  <si>
    <t>Pathways of basal meltwater from Antarctic ice shelves: A model study</t>
  </si>
  <si>
    <t>JOURNAL OF GEOPHYSICAL RESEARCH-OCEANS</t>
  </si>
  <si>
    <t>Antarctic ice shelves; ice shelf basal meltwater; virtual tracer experiments</t>
  </si>
  <si>
    <t>PINE ISLAND GLACIER; FRESH-WATER FLUX; BOTTOM-WATER; WEDDELL SEA; DEEP-WATER; OCEAN CIRCULATION; ROSS SEA; CLIMATE; ICEBERGS; HELIUM</t>
  </si>
  <si>
    <t>We investigate spreading pathways of basal meltwater released from all Antarctic ice shelves using a circumpolar coupled ice shelf-sea ice-ocean model that reproduces major features of the Southern Ocean circulation, including the Antarctic Circumpolar Current (ACC). Several independent virtual tracers are used to identify detailed pathways of basal meltwaters. The spreading pathways of the meltwater tracers depend on formation sites, because the meltwaters are transported by local ambient ocean circulation. Meltwaters from ice shelves in the Weddell and Amundsen-Bellingshausen Seas in surface/subsurface layers are effectively advected to lower latitudes with the ACC. Although a large portion of the basal meltwaters is present in surface and subsurface layers, a part of the basal meltwaters penetrates into the bottom layer through active dense water formation along the Antarctic coastal margins. The signals at the seafloor extend along the topography, showing a horizontal distribution similar to the observed spreading of Antarctic Bottom Water. Meltwaters originating from ice shelves in the Weddell and Ross Seas and in the Indian sector significantly contribute to the bottom signals. A series of numerical experiments in which thermodynamic interaction between the ice shelf and ocean is neglected regionally demonstrates that the basal meltwater of each ice shelf impacts sea ice and/or ocean thermohaline circulation in the Southern Ocean.</t>
  </si>
  <si>
    <t>[Kusahara, Kazuya] Hokkaido Univ, Inst Low Temp Sci, Sapporo, Hokkaido 060, Japan; [Hasumi, Hiroyasu] Univ Tokyo, Atmosphere &amp; Ocean Res Inst, Chiba, Japan</t>
  </si>
  <si>
    <t>Hokkaido University; University of Tokyo</t>
  </si>
  <si>
    <t>Kusahara, K (corresponding author), Hokkaido Univ, Inst Low Temp Sci, Sapporo, Hokkaido 060, Japan.</t>
  </si>
  <si>
    <t>kazuya.kusahara@lowtem.hokudai.ac.jp</t>
  </si>
  <si>
    <t>Kusahara, Kazuya/0000-0003-4067-7959</t>
  </si>
  <si>
    <t>Canon Foundation; Sasagawa Scientific Research grant from the Japan Science Society; [26247080]; [23340138]; [25887001]; Grants-in-Aid for Scientific Research [26247080] Funding Source: KAKEN</t>
  </si>
  <si>
    <t>Canon Foundation(Canon Foundation); Sasagawa Scientific Research grant from the Japan Science Society; ; ; ; Grants-in-Aid for Scientific Research(Ministry of Education, Culture, Sports, Science and Technology, Japan (MEXT)Japan Society for the Promotion of ScienceGrants-in-Aid for Scientific Research (KAKENHI))</t>
  </si>
  <si>
    <t>Numerical simulations were performed on a Fujitsu FX10 at the Information Technology Center, the University of Tokyo. This study was supported by Grant-in-Aids for Scientific Research A (26247080), B (23340138), and Research Activity Start-up (25887001) for the Japan Society for Promotion of Science (JSPS), by the Canon Foundation, and partly by the Sasagawa Scientific Research grant from the Japan Science Society. We are grateful to Dr. Ralph Timmermann and the two anonymous reviewers for their careful reading and constructive comments on the manuscript.</t>
  </si>
  <si>
    <t>2169-9275</t>
  </si>
  <si>
    <t>2169-9291</t>
  </si>
  <si>
    <t>J GEOPHYS RES-OCEANS</t>
  </si>
  <si>
    <t>J. Geophys. Res.-Oceans</t>
  </si>
  <si>
    <t>10.1002/2014JC009915</t>
  </si>
  <si>
    <t>AR9FW</t>
  </si>
  <si>
    <t>Green Published, Bronze, Green Accepted</t>
  </si>
  <si>
    <t>WOS:000343879200007</t>
  </si>
  <si>
    <t>Jeffery, N; Hunke, EC</t>
  </si>
  <si>
    <t>Jeffery, N.; Hunke, E. C.</t>
  </si>
  <si>
    <t>Modeling the winter-spring transition of first-year ice in the western Weddell Sea</t>
  </si>
  <si>
    <t>sea ice; halodynamics; numerical modeling; Weddell Sea; desalination; salinity</t>
  </si>
  <si>
    <t>POROUS-MEDIA; SALINITY PROFILE; GRAVITY DRAINAGE; THICKNESS; DISPERSION; SCALE; BRINE; SNOW; FLOW</t>
  </si>
  <si>
    <t>A new halodynamic scheme is coupled with the Los Alamos sea ice model to simulate western Weddell Sea ice during the winter-spring transition. One-dimensional temperature and salinity profiles are consistent with the warming and melt stages exhibited in first-year ice cores from the 2004 Ice Station POLarstern (ISPOL) expedition. Results are highly sensitive to snowfall. Simulations which use reanalysis precipitation data do not retain a snow cover beyond mid-December, and the warming transition occurs too rapidly. Model performance is greatly improved by prescribing a snowfall rate based on reported snow thicknesses. During ice growth prior to ISPOL, simulations indicate a period of thick snow and upper ice salinity enrichment. Gravity drainage model parameters impact the simulation immediately, while effects from the flushing parameter (snow porosity at the ice top) appear as the freeboard becomes negative. Simulations using a snow porosity of 0.3, consistent with that of wet snow, agree with salinity observations. The model does not include lateral sources of sea-water flooding, but vertical transport processes account for the high upper-ice salinities observed in ice cores at the start of the expedition. As the ice warms, a fresh upper-ice layer forms, and the high salinity layer migrates downward. This pattern is consistent with the early spring development stages of high-porosity layers observed in Antarctic sea ice that are associated with rich biological production. Future extensions of the model may be valuable in Antarctic ice-biogeochemical applications.</t>
  </si>
  <si>
    <t>[Jeffery, N.] Los Alamos Natl Lab, Dept Comp &amp; Computat Sci, Los Alamos, NM 87545 USA; [Hunke, E. C.] Los Alamos Natl Lab, Dept Fluid Dynam &amp; Solid Mech, Los Alamos, NM USA</t>
  </si>
  <si>
    <t>United States Department of Energy (DOE); Los Alamos National Laboratory; United States Department of Energy (DOE); Los Alamos National Laboratory</t>
  </si>
  <si>
    <t>Jeffery, N (corresponding author), Los Alamos Natl Lab, Dept Comp &amp; Computat Sci, POB 1663, Los Alamos, NM 87545 USA.</t>
  </si>
  <si>
    <t>njeffery@lanl.gov</t>
  </si>
  <si>
    <t>U.S. Department of Energy Cloud-Cryosphere Project; U.S. Department of Energy Biological and Environmental Research (BER) Climate Change Prediction Program</t>
  </si>
  <si>
    <t>U.S. Department of Energy Cloud-Cryosphere Project(United States Department of Energy (DOE)); U.S. Department of Energy Biological and Environmental Research (BER) Climate Change Prediction Program(United States Department of Energy (DOE))</t>
  </si>
  <si>
    <t>The authors thank two anonymous reviewers, whose thoughtful critiques led to a substantially improved manuscript. We also thank Mathew Maltrud, Cecilia Bitz, Scott Elliott, Adrian Turner, Chris Jeffery, and Jean-Francois Lamarque for many helpful and insightful discussions. The data used in this paper are available upon request. This research was supported by the U.S. Department of Energy Cloud-Cryosphere Project and the U.S. Department of Energy Biological and Environmental Research (BER) Climate Change Prediction Program.</t>
  </si>
  <si>
    <t>10.1002/2013JC009634</t>
  </si>
  <si>
    <t>WOS:000343879200018</t>
  </si>
  <si>
    <t>O'Kane, TJ; Matear, RJ; Chamberlain, MA; Oliver, ECJ; Holbrook, NJ</t>
  </si>
  <si>
    <t>O'Kane, T. J.; Matear, R. J.; Chamberlain, M. A.; Oliver, E. C. J.; Holbrook, N. J.</t>
  </si>
  <si>
    <t>Storm tracks in the Southern Hemisphere subtropical oceans</t>
  </si>
  <si>
    <t>baroclinic waves; decadal variability; nonlinear dynamics</t>
  </si>
  <si>
    <t>EMPIRICAL ORTHOGONAL FUNCTIONS; EAST AUSTRALIAN CURRENT; DECADAL SEA-LEVEL; ROSSBY WAVES; BOTTOM TOPOGRAPHY; SURFACE-TEMPERATURE; PLANETARY-WAVES; MEAN FLOW; PACIFIC; VARIABILITY</t>
  </si>
  <si>
    <t>Ocean storm tracks have previously been associated with the midlatitude western boundary currents (WBCs) and the Antarctic Circumpolar Current (ACC). Here we identify and examine large-scale baroclinically unstable waves occurring within waveguides associated with potential density gradients in the subtropical regions of the Southern Hemisphere (SH) oceans where the trade winds and westerlies meet and at depths associated with mode water formation. In contrast to the Northern Hemisphere subtropics, the SH pathways are more extensive allowing large-scale coherent disturbances to communicate information westward from the midlatitudes to the subtropics (South Pacific Ocean) and from the subtropics to the tropics (Indian Ocean). Particular consideration is given to the subtropical South Pacific Ocean as this is a region where resonant interactions between large-scale Rossby waves and significant topographic features have been reported to occur. Using an ocean general circulation model and a simple potential energy transfer diagnostic, we identify the relevant nonlinearly modified structures comparing their propagation characteristics to planetary Rossby waves calculated using a shallow water model. Although at first appearance baroclinic disturbances resemble planetary Rossby waves, we show they are inherently nonlinear, multiscale and are amplified where topography occurs. The location of the disturbances coincides with regions of high variability in sea surface height observed in satellite altimetry and their speeds closely match the large-scale coherent westward propagating structures described in the observational literature. Our study provides evidence that, in addition to the midlatitude WBCs and the ACC, significant ocean storm tracks are also manifest in the SH subtropics.</t>
  </si>
  <si>
    <t>[O'Kane, T. J.; Matear, R. J.; Chamberlain, M. A.] CSIRO Oceans &amp; Atmosphere, Hobart, Tas, Australia; [O'Kane, T. J.; Matear, R. J.; Chamberlain, M. A.] Ctr Australian Climate &amp; Weather Res, Hobart, Tas, Australia; [Oliver, E. C. J.; Holbrook, N. J.] Univ Tasmania, Inst Marine &amp; Antarctic Studies, Hobart, Tas, Australia; [Oliver, E. C. J.; Holbrook, N. J.] ARC Ctr Excellence Climate Syst Sci, Hobart, Tas, Australia</t>
  </si>
  <si>
    <t>Commonwealth Scientific &amp; Industrial Research Organisation (CSIRO); University of Tasmania; ARC Centre of Excellence for Climate System Science</t>
  </si>
  <si>
    <t>O'Kane, TJ (corresponding author), CSIRO Oceans &amp; Atmosphere, Hobart, Tas, Australia.</t>
  </si>
  <si>
    <t>terence.okane@csiro.au</t>
  </si>
  <si>
    <t>O'Kane, Terence J/B-1655-2009; Chamberlain, Matthew/D-4805-2012; O'Kane, Terence/AAV-1123-2021; Holbrook, Neil/M-7544-2013; Oliver, Eric/G-5118-2014; matear, richard/C-5133-2011</t>
  </si>
  <si>
    <t>O'Kane, Terence J/0000-0002-2137-5915; O'Kane, Terence/0000-0002-2137-5915; Holbrook, Neil/0000-0002-3523-6254; Oliver, Eric/0000-0002-4006-2826; Chamberlain, Matthew/0000-0002-3287-3282; matear, richard/0000-0002-3225-0800</t>
  </si>
  <si>
    <t>Australian Climate Change Science Program; CSIRO's Wealth from Oceans flagship; Australian Research Council (ARC) Future Fellowship</t>
  </si>
  <si>
    <t>Australian Climate Change Science Program; CSIRO's Wealth from Oceans flagship; Australian Research Council (ARC) Future Fellowship(Australian Research Council)</t>
  </si>
  <si>
    <t>This work was possible thanks to financial support provided by Australian Climate Change Science Program and CSIRO's Wealth from Oceans flagship. T.J.O. is supported by an Australian Research Council (ARC) Future Fellowship. N.J.H. and E.C.J.O. are investigators within the ARC Centre of Excellence for Climate System Science. The authors greatly appreciate the assistance of Louise Bell in preparing the figures for publication.</t>
  </si>
  <si>
    <t>10.1002/2014JC009990</t>
  </si>
  <si>
    <t>WOS:000343879200028</t>
  </si>
  <si>
    <t>Delille, B; Vancoppenolle, M; Geilfus, NX; Tilbrook, B; Lannuzel, D; Schoemann, V; Becquevort, S; Carnat, G; Delille, D; Lancelot, C; Chou, L; Dieckmann, GS; Tison, JL</t>
  </si>
  <si>
    <t>Delille, Bruno; Vancoppenolle, Martin; Geilfus, Nicolas-Xavier; Tilbrook, Bronte; Lannuzel, Delphine; Schoemann, Veronique; Becquevort, Sylvie; Carnat, Gauthier; Delille, Daniel; Lancelot, Christiane; Chou, Lei; Dieckmann, Gerhard S.; Tison, Jean-Louis</t>
  </si>
  <si>
    <t>Southern Ocean CO2 sink: The contribution of the sea ice</t>
  </si>
  <si>
    <t>sea ice; Antarctic; carbon dioxide; CaCO3 precipitation; NEMO-LIM3</t>
  </si>
  <si>
    <t>INORGANIC CARBON; WEDDELL SEA; GAS; EXCHANGE; DYNAMICS; SEAWATER; PRECIPITATION; DISSOCIATION; ALKALINITY; ATMOSPHERE</t>
  </si>
  <si>
    <t>We report first direct measurements of the partial pressure of CO2 (pCO(2)) within Antarctic pack sea ice brines and related CO2 fluxes across the air-ice interface. From late winter to summer, brines encased in the ice change from a CO2 large oversaturation, relative to the atmosphere, to a marked undersaturation while the underlying oceanic waters remains slightly oversaturated. The decrease from winter to summer of pCO(2) in the brines is driven by dilution with melting ice, dissolution of carbonate crystals, and net primary production. As the ice warms, its permeability increases, allowing CO2 transfer at the air-sea ice interface. The sea ice changes from a transient source to a sink for atmospheric CO2. We upscale these observations to the whole Antarctic sea ice cover using the NEMO-LIM3 large-scale sea ice-ocean and provide first estimates of spring and summer CO2 uptake from the atmosphere by Antarctic sea ice. Over the spring-summer period, the Antarctic sea ice cover is a net sink of atmospheric CO2 of 0.029 Pg C, about 58% of the estimated annual uptake from the Southern Ocean. Sea ice then contributes significantly to the sink of CO2 of the Southern Ocean.</t>
  </si>
  <si>
    <t>[Delille, Bruno] Univ Liege, MARE, Unite Oceanog Chim, Liege, Belgium; [Vancoppenolle, Martin] CNRS IRD UPMC MNHN, Inst Pierre Simon Laplace, Lab Oceanog &amp; Climat, Paris, France; [Geilfus, Nicolas-Xavier] Aarhus Univ, Arctic Res Ctr, Aarhus, Denmark; [Tilbrook, Bronte] CSIRO Wealth Oceans Natl Res Flagship, Hobart, Tas, Australia; [Tilbrook, Bronte] Antarctic Climate &amp; Ecosyst Cooperat Res Ctr, Hobart, Tas, Australia; [Lannuzel, Delphine] Univ Tasmania, Antarctic Climate &amp; Ecosyst Cooperat Res Ctr, Hobart, Tas, Australia; [Lannuzel, Delphine] Univ Tasmania, Inst Marine &amp; Antarctic Studies, Hobart, Tas, Australia; [Schoemann, Veronique; Carnat, Gauthier; Lancelot, Christiane; Tison, Jean-Louis] Univ Libre Bruxelles, Dept Earth &amp; Environm Sci, Glaciol Unit, Brussels, Belgium; [Becquevort, Sylvie] Univ Libre Bruxelles, Brussels, Belgium; [Delille, Daniel] Univ P &amp; M Curie, Observ Oceanol Banyuls, Banyuls Sur Mer, France; [Chou, Lei] Univ Libre Bruxelles, Lab Oeanog Chim &amp; Geochim Eaux, Brussels, Belgium; [Dieckmann, Gerhard S.] Alfred Wegener Inst Polar &amp; Marine Res, Bremerhaven, Germany</t>
  </si>
  <si>
    <t>University of Liege; Universite Paris Cite; Centre National de la Recherche Scientifique (CNRS); CNRS - National Institute for Earth Sciences &amp; Astronomy (INSU); Museum National d'Histoire Naturelle (MNHN); Universite Paris Saclay; Sorbonne Universite; Institut de Recherche pour le Developpement (IRD); Aarhus University; Commonwealth Scientific &amp; Industrial Research Organisation (CSIRO); Antarctic Climate &amp; Ecosystems Cooperative Research Centre (ACE CRC); Antarctic Climate &amp; Ecosystems Cooperative Research Centre (ACE CRC); University of Tasmania; University of Tasmania; Universite Libre de Bruxelles; Universite Libre de Bruxelles; Sorbonne Universite; Universite Libre de Bruxelles; Helmholtz Association; Alfred Wegener Institute, Helmholtz Centre for Polar &amp; Marine Research</t>
  </si>
  <si>
    <t>Delille, B (corresponding author), Univ Liege, MARE, Unite Oceanog Chim, Liege, Belgium.</t>
  </si>
  <si>
    <t>Bruno.Delille@ulg.ac.be</t>
  </si>
  <si>
    <t>Dieckmann, Gerhard S/B-4307-2010; Vancoppenolle, Martin/AAA-7711-2022; Tilbrook, Bronte/W-4007-2019; Daniel, Delille/S-9542-2019; Vancoppenolle, Martin/B-3750-2011; Delille, Bruno/C-3486-2008; Tison, Jean-Louis/F-4065-2015; lannuzel, delphine/J-7937-2014</t>
  </si>
  <si>
    <t>Vancoppenolle, Martin/0000-0002-7573-8582; Tilbrook, Bronte/0000-0001-9385-3827; Vancoppenolle, Martin/0000-0002-7573-8582; Delille, Bruno/0000-0003-0502-8101; Tison, Jean-Louis/0000-0002-9758-3454; Geilfus, Nicolas-Xavier/0000-0002-0419-8283; lannuzel, delphine/0000-0001-6154-1837</t>
  </si>
  <si>
    <t>Belgian Science Policy (BELCANTO projects) [SD/CA/03A]; Belgian French Community (SIBCLIM project); F.R.S.-FNRS; Australian Climate Change Science Program; Fonds pour la Formation a la Recherche dans l'Industrie et l'Agriculture; Canada Excellence Research Chair (CERC) program</t>
  </si>
  <si>
    <t>Belgian Science Policy (BELCANTO projects); Belgian French Community (SIBCLIM project); F.R.S.-FNRS(Fonds de la Recherche Scientifique - FNRS); Australian Climate Change Science Program; Fonds pour la Formation a la Recherche dans l'Industrie et l'Agriculture(Fonds de la Recherche Scientifique - FNRS); Canada Excellence Research Chair (CERC) program</t>
  </si>
  <si>
    <t>The authors appreciated the kindness and efficiency of the crews of R. S. V. Aurora Australis, R. V. Polarstern, and R.V. N.B. Palmer. We are grateful to Tom Trull, Steve Ackley, and two anonymous reviewers for their useful comments that improved the quality of the manuscript. This research was supported by the Belgian Science Policy (BELCANTO projects, contract SD/CA/03A), the Belgian French Community (SIBCLIM project), the F.R.S.-FNRS and the Australian Climate Change Science Program. NXG received a PhD grant from the Fonds pour la Formation a la Recherche dans l'Industrie et l'Agriculture and now received financial support from the Canada Excellence Research Chair (CERC) program. BD is a research associate of the F.R.S.-FNRS. VS benefits from a COFUND Marie Curie fellowship Back to Belgium Grant. Supplemental data used to produce figures are freely available at the address www.co2.ulg.ac.be/data/Delille_et_al_supplemental_data.xlsx. This is MARE contribution 276.</t>
  </si>
  <si>
    <t>10.1002/2014JC009941</t>
  </si>
  <si>
    <t>Green Published, Green Submitted, Bronze</t>
  </si>
  <si>
    <t>WOS:000343879200043</t>
  </si>
  <si>
    <t>Ferrari, R; Provost, C; Park, YH; Sennéchael, N; Koenig, Z; Sekma, H; Garric, G; Bourdallé-Badie, R</t>
  </si>
  <si>
    <t>Ferrari, Ramiro; Provost, Christine; Park, Young-Hyang; Sennechael, Nathalie; Koenig, Zoe; Sekma, Hela; Garric, Gilles; Bourdalle-Badie, Romain</t>
  </si>
  <si>
    <t>Heat fluxes across the Antarctic Circumpolar Current in Drake Passage: Mean flow and eddy contributions</t>
  </si>
  <si>
    <t>Antarctic Circumpolar Current; heat fluxes; Drake Passage; current meter moorings; high-resolution model</t>
  </si>
  <si>
    <t>GULF-STREAM; OCEAN; VARIABILITY; TRANSPORT; MODEL; MECHANISMS; ENERGETICS; SOUTH</t>
  </si>
  <si>
    <t>In contrast to a long-standing belief, observations in the Antarctic Circumpolar Current (ACC) show that mean velocity vectors rotate with depth, thus suggesting a possible importance of the time-mean flow for the local poleward heat transport. The respective contributions of the eddy and mean flows to the heat flux across the ACC in Drake Passage (DP) are investigated using recently acquired and historical time series of velocity and temperature from a total of 24 current meter moorings and outputs of a high-resolution (1/12 degrees) model with realistic topography. Only 11 out of the 24 depth-integrated eddy heat flux estimates are found to be significant, and they are poleward. Model depth-integrated eddy heat fluxes have similar signs and amplitudes as the in situ estimates at the mooring sites. They are mostly poleward or nonsignificant, with amplitude decreasing to the south. The cross-stream temperature fluxes caused by the mean flow at the moorings have a sign that varies with location and corresponds to the opposite of the vertical velocity estimates. The depth-integrated temperature fluxes due to the mean flow in the model exhibit small spatial scales and are of opposite sign to the bottom vertical velocities. This suggests that the rotation of the mean velocity vectors with depth is mainly due to bottom topography. The rough hilly topography in DP likely promotes the small-scale vertical velocities and temperature fluxes. Eddy heat fluxes and cross-stream temperature fluxes are integrated over mass-balanced regions defined by the model transport streamlines. The contribution of the mean flow to the ocean heat fluxes across the Southern ACC Front in DP (covering about 4% of the circumpolar longitudes) is about four times as large as the eddy heat flux contribution and the sum of the two represent on the order of 10% of the heat loss to the atmosphere south of 60 degrees S.</t>
  </si>
  <si>
    <t>[Ferrari, Ramiro; Provost, Christine; Park, Young-Hyang; Sennechael, Nathalie; Koenig, Zoe; Sekma, Hela] Univ Paris 06, CNRS, MNHN, LOCEAN,UMR 7159,IRD, Paris, France; [Garric, Gilles; Bourdalle-Badie, Romain] MERCATOR OCEAN, Ramonville St Agne, France</t>
  </si>
  <si>
    <t>Sorbonne Universite; Museum National d'Histoire Naturelle (MNHN); Centre National de la Recherche Scientifique (CNRS); CNRS - National Institute for Earth Sciences &amp; Astronomy (INSU); Institut de Recherche pour le Developpement (IRD)</t>
  </si>
  <si>
    <t>Ferrari, R (corresponding author), Univ Paris 06, CNRS, MNHN, LOCEAN,UMR 7159,IRD, Paris, France.</t>
  </si>
  <si>
    <t>rflod@locean-ipsl.upmc.fr</t>
  </si>
  <si>
    <t>Bourdallé-Badie, Romain/HSH-9424-2023; Garric, Gilles/O-9065-2016</t>
  </si>
  <si>
    <t>Bourdallé-Badie, Romain/0000-0002-8742-3289; Garric, Gilles/0000-0002-5385-710X; Provost, Christine/0000-0003-4693-3685; Koenig, Zoe/0000-0002-7203-3827</t>
  </si>
  <si>
    <t>CNES (Centre National d'Etudes Spatiales) through the OSTST program; CNRS-INSU (Institut des Sciences de l'Univers) through the LEFE program; CNES; EU</t>
  </si>
  <si>
    <t>CNES (Centre National d'Etudes Spatiales) through the OSTST program(Centre National D'etudes Spatiales); CNRS-INSU (Institut des Sciences de l'Univers) through the LEFE program; CNES(Centre National D'etudes Spatiales); EU(European Union (EU))</t>
  </si>
  <si>
    <t>Financial support was provided both by the CNES (Centre National d'Etudes Spatiales) through the OSTST program and by CNRS-INSU (Institut des Sciences de l'Univers) through the LEFE program. R. Ferrari acknowledges an INEE (Institut National de l'Environnement et de l'Ecologie) Ph.D. scholarship and support from CNES after the Ph.D defense. The current meter data from DRAKE 2006-2009 are available at LOCEAN (cp@locean-ipsl.upmc.fr) and the velocity and temperature measurements from the DRAKE 1979 moorings are available at the Oregon State University buoy group database (http://cmdac.oce.orst.edu/). The ORCA 12 modelling experiment has been performed in the framework of the EU-funded MyOcean2 FP7 project. The model outputs from the ORCA 12 ocean model are available Mercator Ocean (http://www.mercator-ocean.fr/) and the altimetry data at AVISO (www.aviso.altimetry.fr). The authors would like to thank the reviewers for their insightful comments and suggestions, which helped improve the manuscript.</t>
  </si>
  <si>
    <t>10.1002/2014JC010201</t>
  </si>
  <si>
    <t>Bronze, Green Published</t>
  </si>
  <si>
    <t>WOS:000343879200045</t>
  </si>
  <si>
    <t>Bendtsen, J; Mortensen, J; Rysgaard, S</t>
  </si>
  <si>
    <t>Bendtsen, Jorgen; Mortensen, John; Rysgaard, Soren</t>
  </si>
  <si>
    <t>Seasonal surface layer dynamics and sensitivity to runoff in a high Arctic fjord (Young Sound/Tyrolerfjord, 74°N)</t>
  </si>
  <si>
    <t>hydrodynamic modeling; Arctic and Antarctic oceanography; upper ocean and mixed layer processes; rivers; climate and interannual variability</t>
  </si>
  <si>
    <t>FRESH-WATER; SEA-ICE; GREENLAND; OCEAN; TRANSPORT; SHELF; FLUX; AGE</t>
  </si>
  <si>
    <t>Runoff from the Greenland Ice Sheet, local glaciers, and snowmelt along the northeastern Greenland coastline has a significant impact on coastal water masses flowing south toward Denmark Strait. Very few direct measurements of runoff currently exist in this large area, and the water masses near the coast are also difficult to measure due to the presence of icebergs and sea ice. Measurements from the Zackenberg Research station, located in Young Sound/Tyrolerfjord in northeast Greenland (74 degrees N), provide some of the few observations of hydrographic, hydrologic, and atmospheric parameters from this remote area. Here we analyze measurements from the fjord and also measurements in the ambient water masses, which are found in the outer fjord and between the fjord and the East Greenland Current and validate and apply a numerical model of the fjord. A model sensitivity study allows us to constrain runoff estimates for the area. We also show that a total runoff between 0.9 and 1.4 km(3) in 2006 is in accordance with observed surface salinities and calculated freshwater content in the fjord. This indicates that earlier reported runoff to the area is significantly underestimated and that melt from glaciers and the Greenland Ice Sheet in this region may be up to 50% larger than the current estimate. Model simulations indicate the presence of a cold low-saline coastal water mass formed by runoff from fjords north of the Young Sound/Tyrolerfjord system. Simulations of passive and age tracers show that residence time of river water during the summer period is about 1 month in the inner part of the fjord.</t>
  </si>
  <si>
    <t>[Bendtsen, Jorgen; Rysgaard, Soren] Aarhus Univ, Arctic Res Ctr, Aarhus, Denmark; [Bendtsen, Jorgen] ClimateLab, Copenhagen, Denmark; [Mortensen, John; Rysgaard, Soren] Greenland Inst Nat Resources, Greenland Climate Res Ctr, Nuuk, Greenland; [Rysgaard, Soren] Univ Manitoba, Dept Environm &amp; Geog, Ctr Earth Observat Sci, Winnipeg, MB, Canada</t>
  </si>
  <si>
    <t>Aarhus University; Greenland Institute of Natural Resources; University of Manitoba</t>
  </si>
  <si>
    <t>Bendtsen, J (corresponding author), Aarhus Univ, Arctic Res Ctr, Aarhus, Denmark.</t>
  </si>
  <si>
    <t>jb@climatelab.dk</t>
  </si>
  <si>
    <t>Rysgaard, Søren/K-6689-2013; Mortensen, John/A-1102-2017</t>
  </si>
  <si>
    <t>Rysgaard, Soren/0000-0003-1726-2958; Mortensen, John/0000-0001-9863-5343</t>
  </si>
  <si>
    <t>Deutche Forschungsgemeinshaft [SFB512]</t>
  </si>
  <si>
    <t>Deutche Forschungsgemeinshaft(German Research Foundation (DFG))</t>
  </si>
  <si>
    <t>We gratefully acknowledge the contributions from the Arctic Research Centre (ARC), Aarhus University, the Danish Agency for Science, Technology, and Innovation, the Canada Excellence Research Chair (CERC) program, and the DEFROST project of the Nordic Centre of Excellence program Interaction between Climate Change and the Cryosphere. This work is a contribution to the Arctic Science Partnership (ASP, asp-net.org). The mooring Tube 22 was established by J.M. when working at Institut fur Meereskunde, University of Hamburg and financially supported by the Deutche Forschungsgemeinshaft (SFB512). Data from Young Sound were provided from Zackenberg Research Station (www.zackenberg.dk).</t>
  </si>
  <si>
    <t>10.1002/2014JC010077</t>
  </si>
  <si>
    <t>WOS:000343879200049</t>
  </si>
  <si>
    <t>Pinkerton, MH; Bradford-Grieve, JM</t>
  </si>
  <si>
    <t>Pinkerton, Matthew H.; Bradford-Grieve, Janet M.</t>
  </si>
  <si>
    <t>Characterizing foodweb structure to identify potential ecosystem effects of fishing in the Ross Sea, Antarctica</t>
  </si>
  <si>
    <t>ICES JOURNAL OF MARINE SCIENCE</t>
  </si>
  <si>
    <t>ecosystem effects of fishing; keystone; mixed trophic impact; trophic importance</t>
  </si>
  <si>
    <t>TROPHIC CASCADES; MACROURUS-WHITSONI; AGE ESTIMATION; LIFE-CYCLE; WEB; TOOTHFISH; FISHERIES; MATURITY; ECOPATH; MODEL</t>
  </si>
  <si>
    <t>The potential ecosystem effects of fishing for Antarctic toothfish (Dissostichus mawsoni) in the Ross Sea region were investigated. Mixed trophic impact analysis was applied to a model of the Ross Sea foodweb and used to calculate the relative trophic importances of species and trophic groups in the system. The trophic impact of toothfish on medium-sized demersal fish was identified as the strongest top-down interaction in the system based on multiple-step analysis. This suggests a potential for a strong predation-release effect on some piscine prey of toothfish (especially grenadiers and ice-fish on the Ross Sea slope). However, Antarctic toothfish had moderate trophic importance in the Ross Sea foodweb as a whole, and the analysis did not support the hypothesis that changes to toothfish will cascade through the ecosystem by simple trophic effects. Because of limitations of this kind of analysis, cascading effects on the Ross Sea ecosystem due to changes in the abundance of toothfish cannot be ruled out, but for such changes to occur a mechanism other than simple trophic interactions is likely to be involved. Trophic importances were highest in the middle of the foodweb where silverfish and krill are known to have a key role in ecosystem structure and function. The six groups with the highest indices of trophic importance were (in decreasing order): phytoplankton, mesozooplankton, Antarctic silverfish, small demersal fish, Antarctic krill and cephalopods. Crystal krill and small pelagic fish also had high trophic importance in some analyses. Strengths and limitations of this kind of analysis are presented. In particular, it is noted that the analysis only considers trophic interactions at the spatial, temporal and ecological scale of the whole Ross Sea shelf and slope area, averaged over a typical year and in 35 trophic groups. Interference and density-dependent effects were not included in this analysis. Effects at smaller spatial and temporal scales, and effects concerning only parts of populations, were not resolved by the analysis, and this is likely to underestimate the potential risks of fishing to Weddell seals and type-C killer whales.</t>
  </si>
  <si>
    <t>[Pinkerton, Matthew H.; Bradford-Grieve, Janet M.] Natl Inst Water &amp; Atmospher Res NIWA, Wellington 6241, New Zealand</t>
  </si>
  <si>
    <t>National Institute of Water &amp; Atmospheric Research (NIWA) - New Zealand</t>
  </si>
  <si>
    <t>Pinkerton, MH (corresponding author), Natl Inst Water &amp; Atmospher Res NIWA, Wellington 6241, New Zealand.</t>
  </si>
  <si>
    <t>m.pinkerton@niwa.co.nz</t>
  </si>
  <si>
    <t>Bradford-Grieve, Janet/0000-0002-3580-1217</t>
  </si>
  <si>
    <t>New Zealand Ministry of Business, Innovation and Enterprise (MBIE) Project [C01X1001]; [C01X1226]; New Zealand Ministry of Business, Innovation &amp; Employment (MBIE) [C01X1226] Funding Source: New Zealand Ministry of Business, Innovation &amp; Employment (MBIE)</t>
  </si>
  <si>
    <t>New Zealand Ministry of Business, Innovation and Enterprise (MBIE) Project; ; New Zealand Ministry of Business, Innovation &amp; Employment (MBIE)(New Zealand Ministry of Business, Innovation and Employment (MBIE))</t>
  </si>
  <si>
    <t>This work was funded by the New Zealand Ministry of Business, Innovation and Enterprise (MBIE) Project C01X1001 (Protecting Ross Sea Ecosystems) with co-funding from Project C01X1226 (Ross Sea Ecosystems and Climate).</t>
  </si>
  <si>
    <t>1054-3139</t>
  </si>
  <si>
    <t>1095-9289</t>
  </si>
  <si>
    <t>ICES J MAR SCI</t>
  </si>
  <si>
    <t>ICES J. Mar. Sci.</t>
  </si>
  <si>
    <t>10.1093/icesjms/fst230</t>
  </si>
  <si>
    <t>Fisheries; Marine &amp; Freshwater Biology; Oceanography</t>
  </si>
  <si>
    <t>AR1BT</t>
  </si>
  <si>
    <t>WOS:000343315900003</t>
  </si>
  <si>
    <t>Emery, TJ; Hartmann, K; Green, BS; Gardner, C; Tisdell, J</t>
  </si>
  <si>
    <t>Emery, Timothy J.; Hartmann, Klaas; Green, Bridget S.; Gardner, Caleb; Tisdell, John</t>
  </si>
  <si>
    <t>Fishing for revenue: how leasing quota can be hazardous to your health</t>
  </si>
  <si>
    <t>Behaviour; ITQ; leasing; quota; safety; southern rock lobster</t>
  </si>
  <si>
    <t>INDIVIDUAL TRANSFERABLE QUOTAS; COMMERCIAL FISHERMEN; RISK PREFERENCES; MANAGEMENT; BEHAVIOR; CATCH; INCENTIVES; INDICATORS; SAFETY; ITQS</t>
  </si>
  <si>
    <t>Fisheries management decisions have the potential to influence the safety of fishers by affecting how and when they fish. This implies a responsibility of government agencies to consider how fishers may behave under different policies and regulations in order to reduce the incidence of undesirable operational health and safety outcomes. In the Tasmanian southern rock lobster fishery, Australia, the expansion of the quota lease market under individual transferable quota (ITQ) management coincided with a rise in the number of commercial fishing fatalities, with five between 2008 and 2012. Adiscrete choice model of daily participation was fitted to compare whether physical risk tolerance varied between fishers who owned the majority of their quota units (quota owners) and those who mainly leased (lease quota fishers). In general, fishers were averse to physical risk (wave height), however this was offset by increases in expected revenue. Lease quota fishers were more responsive to changes in expected revenue than quota owners, which contributed to risk tolerance levels that were significantly higher than those of quota owners in some areas. This pattern in behaviour appeared to be related to the cost of leasing quota. Although ITQs have often been considered to reduce the incentive for fishers to operate in hazardous weather conditions, this assumes fishing by quota owners. This analysis indicated that this doesn't hold true for lease quota fishers in an ITQ system, where in some instances there remains an economic incentive to fish in conditions with high levels of physical risk.</t>
  </si>
  <si>
    <t>[Emery, Timothy J.; Hartmann, Klaas; Green, Bridget S.; Gardner, Caleb] Univ Tasmania, Inst Marine &amp; Antarctic Studies, Hobart, Tas 7001, Australia; [Tisdell, John] Univ Tasmania, Sch Econ &amp; Finance, Hobart, Tas 7001, Australia</t>
  </si>
  <si>
    <t>University of Tasmania; University of Tasmania</t>
  </si>
  <si>
    <t>Emery, TJ (corresponding author), Univ Tasmania, Inst Marine &amp; Antarctic Studies, Private Bag 49, Hobart, Tas 7001, Australia.</t>
  </si>
  <si>
    <t>timothy.emery@utas.edu.au</t>
  </si>
  <si>
    <t>Hartmann, Klaas/B-3991-2008; Green, Bridget S/G-3368-2014; Gardner, Caleb/I-7086-2013</t>
  </si>
  <si>
    <t>Tisdell, John/0000-0001-9949-1644; Emery, Timothy/0000-0002-4203-671X; Gardner, Caleb/0000-0003-0324-4337</t>
  </si>
  <si>
    <t>University of Tasmania; Australian Seafood Cooperative Research Centre</t>
  </si>
  <si>
    <t>University of Tasmania; Australian Seafood Cooperative Research Centre(Australian GovernmentDepartment of Industry, Innovation and ScienceCooperative Research Centres (CRC) Programme)</t>
  </si>
  <si>
    <t>This research was funded through postgraduate scholarships from the University of Tasmania and the Australian Seafood Cooperative Research Centre.</t>
  </si>
  <si>
    <t>10.1093/icesjms/fsu019</t>
  </si>
  <si>
    <t>WOS:000343315900029</t>
  </si>
  <si>
    <t>McBride, MM; Dalpadado, P; Drinkwater, KF; Godo, OR; Hobday, AJ; Hollowed, AB; Kristiansen, T; Murphy, EJ; Ressler, PH; Subbey, S; Hofmann, EE; Loeng, H</t>
  </si>
  <si>
    <t>McBride, Margaret M.; Dalpadado, Padmini; Drinkwater, Kenneth F.; Godo, Olav Rune; Hobday, Alistair J.; Hollowed, Anne B.; Kristiansen, Trond; Murphy, Eugene J.; Ressler, Patrick H.; Subbey, Sam; Hofmann, Eileen E.; Loeng, Harald</t>
  </si>
  <si>
    <t>Krill, climate, and contrasting future scenarios for Arctic and Antarctic fisheries</t>
  </si>
  <si>
    <t>climate change; fish; fisheries; foodwebs; Polar Regions; zooplankton</t>
  </si>
  <si>
    <t>SOUTHEASTERN BERING-SEA; BOWHEAD WHALE DISTRIBUTION; SOUTHERN-OCEAN; EUPHAUSIA-SUPERBA; BARENTS SEA; MARINE FISH; CALANUS-FINMARCHICUS; GRAZING IMPACT; LARVAL KRILL; FOOD WEBS</t>
  </si>
  <si>
    <t>Arctic and Antarcticmarine systems have incommon high latitudes, large seasonal changes in light levels, cold air and sea temperatures, and sea ice. In other ways, however, they are strikingly different, including their: age, extent, geological structure, ice stability, and foodweb structure. Both regions contain very rapidly warming areas and climate impacts have been reported, as have dramatic future projections. However, the combined effects of a changing climate on oceanographic processes and foodweb dynamics are likely to influence their future fisheries in very different ways. Differences in the life-history strategies of the key zooplankton species (Antarctic krill in the Southern Ocean and Calanus copepods in the Arctic) will likely affect future productivity of fishery species and fisheries. To explore future scenarios for each region, this paper: (i) considers differing characteristics (including geographic, physical, and biological) that define polar marine ecosystems and reviews known and projected impacts of climate change on key zooplankton species that may impact fished species; (ii) summarizes existing fishery resources; (iii) synthesizes this information to generate future scenarios for fisheries; and (iv) considers the implications for future fisheries management. Published studies suggest that if an increase in open water during summer in Arctic and Subarctic seas results in increased primary and secondary production, biomass may increase for some important commercial fish stocks and new mixes of species may become targeted. In contrast, published studies suggest that in the Southern Ocean the potential for existing species to adapt is mixed and that the potential for the invasion of large and highly productive pelagic finfish species appears low. Thus, future Southern Ocean fisheries may largely be dependent on existing species. It is clear from this review that new management approaches will be needed that account for the changing dynamics in these regions under climate change.</t>
  </si>
  <si>
    <t>[McBride, Margaret M.; Dalpadado, Padmini; Drinkwater, Kenneth F.; Godo, Olav Rune; Kristiansen, Trond; Subbey, Sam; Loeng, Harald] Inst Marine Res, N-5024 Bergen, Norway; [Hobday, Alistair J.] CSIRO Climate Adaptat Flagship, Hobart, Tas 7000, Australia; [Murphy, Eugene J.] British Antarctic Survey, Nat Environm Res Council, Cambridge CB3 0ET, England; [Hofmann, Eileen E.] Old Dominion Univ, Ctr Coastal Phys Oceanog, Norfolk, VA USA; [Hollowed, Anne B.; Ressler, Patrick H.] NOAA, Natl Marine Fisheries Serv, Alaska Fisheries Sci Ctr, Seattle, WA 98115 USA</t>
  </si>
  <si>
    <t>Institute of Marine Research - Norway; Commonwealth Scientific &amp; Industrial Research Organisation (CSIRO); UK Research &amp; Innovation (UKRI); Natural Environment Research Council (NERC); NERC British Antarctic Survey; Old Dominion University; National Oceanic Atmospheric Admin (NOAA) - USA</t>
  </si>
  <si>
    <t>McBride, MM (corresponding author), Inst Marine Res, POB 1870, N-5024 Bergen, Norway.</t>
  </si>
  <si>
    <t>margaret.mcbride@imr.no</t>
  </si>
  <si>
    <t>Hobday, Alistair/A-1460-2012; murphy, eugene/GZL-1620-2022</t>
  </si>
  <si>
    <t>Godo, Olav Rune/0000-0001-8826-8068; Kristiansen, Trond/0000-0001-6121-297X</t>
  </si>
  <si>
    <t>Ecosystem Studies of Sub-Arctic Seas (ESSAS) project; NOAA (US National Oceanic and Atmospheric Administration); Arctic Council/Arctic Climate Impact Assessment/Cambridge University Press; Commission for the Conservation of Antarctic Marine Living Resources (CCAMLR); British Antarctic Survey</t>
  </si>
  <si>
    <t>Many thanks to the Ecosystem Studies of Sub-Arctic Seas (ESSAS) project for having funded travel and work hours needed to complete this review. We sincerely thank the authors of papers (and their publishers), and sponsoring organizations of websites used in our review, for allowing us to include their figures, tables, and diagrams to illustrate points and support discussions, i.e. NOAA (US National Oceanic and Atmospheric Administration) www.climate.gov, the Arctic Council/Arctic Climate Impact Assessment/Cambridge University Press, the Commission for the Conservation of Antarctic Marine Living Resources (CCAMLR/David Ramm), the British Antarctic Survey, Joseph Eastman, Hauke Flores, and Edda Johannesen. Technical assistance from Aleksander Sandvik (IMR) to the enhance quality of all figures before publication is greatly appreciated. Thanks also to Drs Michael Fogarty, Jeff Napp, and Elizabeth Logerwell (NOAA Fisheries, USA) for having conducted early reviews of the manuscript.</t>
  </si>
  <si>
    <t>10.1093/icesjms/fsu002</t>
  </si>
  <si>
    <t>WOS:000343315900039</t>
  </si>
  <si>
    <t>Obryk, MK; Doran, PT; Priscu, JC</t>
  </si>
  <si>
    <t>Obryk, M. K.; Doran, P. T.; Priscu, J. C.</t>
  </si>
  <si>
    <t>The permanent ice cover of Lake Bonney, Antarctica: The influence of thickness and sediment distribution on photosynthetically available radiation and chlorophyll-a distribution in the underlying water column</t>
  </si>
  <si>
    <t>JOURNAL OF GEOPHYSICAL RESEARCH-BIOGEOSCIENCES</t>
  </si>
  <si>
    <t>MCMURDO DRY VALLEYS; PHYTOPLANKTON DYNAMICS; HOARE; ACCLIMATION; LIGHT; PRODUCTIVITY; RATES</t>
  </si>
  <si>
    <t>The thick permanent ice cover on the lakes of the McMurdo Dry Valleys, Antarctica, inhibits spatial lake sampling due to logistical constraints of penetrating the ice cover. To date most sampling of these lakes has been made at only a few sites with the assumption that there is a spatial homogeneity of the physical and biogeochemical properties of the ice cover and the water column at any given depth. To test this underlying assumption, an autonomous underwater vehicle (AUV) was deployed in Lake Bonney, Taylor Valley. Measurements were obtained over the course of 2 years in a 100 x 100 m horizontal sampling grid (at a 0.2 m vertical resolution). Additionally, the AUV measured the ice thickness (in water equivalent) and collected images looking up through the ice, which were used to quantify sediment distribution on the surface and within the ice. Satellite imagery was used to map sediment distribution on the surface of the ice. We present results of the spatial investigation of the sediment distribution on the ice cover and its effects on biological processes, with particular emphasis on photosynthetically active radiation (PAR). The surface sediment is a secondary controller of the ice cover thickness, which in turn controls the depth-integrated PAR in the water column. Our data revealed that depth-integrated PAR was negatively correlated with depth-integrated chlorophyll-a (r = 0.88, p &lt; 0.001, n = 83), which appears to be related to short-term photoadaptation of phytoplanktonic communities to spatial and temporal variation in PAR within the water column.</t>
  </si>
  <si>
    <t>[Obryk, M. K.; Doran, P. T.] Univ Illinois, Dept Earth &amp; Environm Sci, Chicago, IL 60607 USA; [Priscu, J. C.] Montana State Univ, Dept Land Resources &amp; Environm Sci, Bozeman, MT 59717 USA</t>
  </si>
  <si>
    <t>University of Illinois System; University of Illinois Chicago; University of Illinois Chicago Hospital; Montana State University System; Montana State University Bozeman</t>
  </si>
  <si>
    <t>Obryk, MK (corresponding author), Univ Illinois, Dept Earth &amp; Environm Sci, Chicago, IL 60607 USA.</t>
  </si>
  <si>
    <t>mobryk@pdx.edu</t>
  </si>
  <si>
    <t>Obryk, Maciej/0000-0002-8182-8656</t>
  </si>
  <si>
    <t>NASA ASTEP program [NNX07AM88G]; Office of Polar Programs [9810219, 0096250, 0832755, 1041742, 1115245]; NSF; Directorate For Geosciences; Office of Polar Programs (OPP) [9810219, 1115245, 0096250] Funding Source: National Science Foundation</t>
  </si>
  <si>
    <t>NASA ASTEP program(National Aeronautics &amp; Space Administration (NASA)); Office of Polar Programs(National Science Foundation (NSF)NSF - Directorate for Geosciences (GEO)); NSF(National Science Foundation (NSF)); Directorate For Geosciences; Office of Polar Programs (OPP)(National Science Foundation (NSF)NSF - Directorate for Geosciences (GEO))</t>
  </si>
  <si>
    <t>The data for this paper are available upon request from the author. Data supporting Figure 2 are available at McMurdo Long Term Ecological Research project website (www.mcmlter.org). Methods for upward looking image processing are available upon request from the author. This research was supported by the NASA ASTEP program (grant NNX07AM88G) and Office of Polar Programs (grants 9810219, 0096250, 0832755, 1041742, and 1115245). Logistical support was provided by the US Antarctic Program through funding from NSF.</t>
  </si>
  <si>
    <t>2169-8953</t>
  </si>
  <si>
    <t>2169-8961</t>
  </si>
  <si>
    <t>J GEOPHYS RES-BIOGEO</t>
  </si>
  <si>
    <t>J. Geophys. Res.-Biogeosci.</t>
  </si>
  <si>
    <t>10.1002/2014JG002672</t>
  </si>
  <si>
    <t>Environmental Sciences; Geosciences, Multidisciplinary</t>
  </si>
  <si>
    <t>Environmental Sciences &amp; Ecology; Geology</t>
  </si>
  <si>
    <t>AR1UJ</t>
  </si>
  <si>
    <t>WOS:000343369800009</t>
  </si>
  <si>
    <t>Bhatia, A</t>
  </si>
  <si>
    <t>Bhatia, Abhijeet</t>
  </si>
  <si>
    <t>Oral ulcers in an Antarctic expedition</t>
  </si>
  <si>
    <t>TRAVEL MEDICINE AND INFECTIOUS DISEASE</t>
  </si>
  <si>
    <t>Oral ulcer; Nutritional deficiency; Antarctica; Polar health</t>
  </si>
  <si>
    <t>[Bhatia, Abhijeet] Natl Ctr Antarctic &amp; Ocean Res, Vasco Da Gama, Goa, India</t>
  </si>
  <si>
    <t>Bhatia, A (corresponding author), SMIMS, Dept ENT, 5th Mile, Gangtok 737102, Sikkim, India.</t>
  </si>
  <si>
    <t>abhijeetbhatia77@gmail.com</t>
  </si>
  <si>
    <t>1477-8939</t>
  </si>
  <si>
    <t>1873-0442</t>
  </si>
  <si>
    <t>TRAVEL MED INFECT DI</t>
  </si>
  <si>
    <t>Travel Med. Infect. Dis.</t>
  </si>
  <si>
    <t>10.1016/j.tmaid.2014.08.003</t>
  </si>
  <si>
    <t>Public, Environmental &amp; Occupational Health; Infectious Diseases</t>
  </si>
  <si>
    <t>AR5LR</t>
  </si>
  <si>
    <t>WOS:000343626700019</t>
  </si>
  <si>
    <t>Loría, PLM; Huato-Soberanis, L</t>
  </si>
  <si>
    <t>McCoy Loria, Patricia L.; Huato-Soberanis, Leonardo</t>
  </si>
  <si>
    <t>Efficacy of calcein and Coomassie Blue dyeing of shell growing-edges and micro growth-bands: Ageing juvenile of Pinctada mazatlanica (Pterioida: Pteriidae)</t>
  </si>
  <si>
    <t>REVISTA DE BIOLOGIA TROPICAL</t>
  </si>
  <si>
    <t>age validation; calcein; coomassie blue dye; Gulf of California; micro growth-bands; Pinctada mazatlanica; shellfish</t>
  </si>
  <si>
    <t>GULF-OF-CALIFORNIA; ECOLOGICAL-SYSTEMS; ANTARCTIC SCALLOP; CRASSOSTREA-GIGAS; AGE-DETERMINATION; PACIFIC OYSTER; MARKER; CLAM; SUITABILITY; VALIDATION</t>
  </si>
  <si>
    <t>Age validation is the first step to determine shellfish species age determination. This information. is vital for different inferential models used in marine ecosystem management activities. In spite that various validation techniques are used for marking carbon calcium structures, the calcein marking technique for oysters had never been used for age validation in Pinctada mazatlanica. Thus the objectives of this study included: the evaluation of calcein to mark a shell growing-edge, and the efficacy of Coomassie Blue staining on posterior shell growth, to produce visible micro growth-bands that would enable age validation of juvenile mother-of-pearl oysters. Oysters were collected and cultivated at The Perlas del Cortez S. de R. L. MI. pearl-farming operation, in Pichilingue, La Paz Bay, Baja California Sur, Mexico; a total of 36 oysters (shell height 11.5-36.4mm) were injected with calcein (0.125g/L), and another 50 oysters (shell height 14.8-42.7mm) were submersed in calcein (0.4 and 0.7g/L). Shell slices of calcein-marked oysters were posteriourly stained with Coomassie Blue R-25 for micro growth-band recognition. Our results showed that Calcein marking only worked by submersion and produced a concise bright lime-green florescent band along the growing-edge with clear boundaries for both concentrations. However, marks resulted better at the lower calcein concentration (0.4g/L) with more perfect and good marks on the growing-edge (p=0.0012). Commassie Blue staining technique was successful, and allowed to conclude that one micro growth-band was laid down per day, similar to other oyster species. Mean 15-d increment of shell growth height was slightly greater at the lower calcein concentration (=0.735mm) than at the higher one (=0.577mm) (not significant difference, p=0.198). Calcein marking of shell growing-edges and Commassie Blue staining of posterior shell growth, as a method for age validation is recommended for shellfish shell growth-band counts. This will allow back-dating for estimation of very precise colonization dates, both spatially and temporally in future work.</t>
  </si>
  <si>
    <t>[McCoy Loria, Patricia L.] Univ Nacl UNA, Escuela Ciencias Biol, Heredia 863000, Costa Rica; [Huato-Soberanis, Leonardo] Ctr Invest Biol Noroeste CIBNOR, La Paz 23096, Bcs, Mexico</t>
  </si>
  <si>
    <t>Universidad Nacional Costa Rica; CIBNOR - Centro de Investigaciones Biologicas del Noroeste</t>
  </si>
  <si>
    <t>Loría, PLM (corresponding author), Univ Nacl UNA, Escuela Ciencias Biol, Campus Omar Dengo Ave 1 Calle 9, Heredia 863000, Costa Rica.</t>
  </si>
  <si>
    <t>pleemccoy@gmail.com; lhuato@cibnor.mx</t>
  </si>
  <si>
    <t>National Council of Science and Technology of Mexico (Conacyt)</t>
  </si>
  <si>
    <t>National Council of Science and Technology of Mexico (Conacyt)(Consejo Nacional de Ciencia y Tecnologia (CONACyT))</t>
  </si>
  <si>
    <t>This study was possible thanks to the Center for Biological Investigations of the North-west (Centro de Investigaciones Biologicas del Noroeste, CIBNOR) for providing laboratory facilities and equipment. We specially thank J. Cortes from the commercial pearl farm Perlas del Cortez (Ref. No. CG07-245-PCO). We also thank M. B. McCoy for his editorial services and insight, as well as C. Rivera. The National Council of Science and Technology of Mexico (Conacyt) also provided essential scholarship and research funding.</t>
  </si>
  <si>
    <t>SAN JOSE</t>
  </si>
  <si>
    <t>UNIVERSIDAD DE COSTA RICA CIUDAD UNIVERSITARIA, SAN JOSE, 00000, COSTA RICA</t>
  </si>
  <si>
    <t>0034-7744</t>
  </si>
  <si>
    <t>2215-2075</t>
  </si>
  <si>
    <t>REV BIOL TROP</t>
  </si>
  <si>
    <t>Rev. Biol. Trop.</t>
  </si>
  <si>
    <t>10.15517/rbt.v62i3.12583</t>
  </si>
  <si>
    <t>AQ9PG</t>
  </si>
  <si>
    <t>WOS:000343187200012</t>
  </si>
  <si>
    <t>Capriglione, T; De Paolo, S; Cocca, E</t>
  </si>
  <si>
    <t>Capriglione, Teresa; De Paolo, Sofia; Cocca, Ennio</t>
  </si>
  <si>
    <t>Helinoto, a Helitron2 transposon from the icefish Chionodraco hamatus, contains a region with three deubiquitinase-like domains that exhibit transcriptional activity</t>
  </si>
  <si>
    <t>COMPARATIVE BIOCHEMISTRY AND PHYSIOLOGY D-GENOMICS &amp; PROTEOMICS</t>
  </si>
  <si>
    <t>Helitron; DNA transposon; Antarctic fish; Deubiquitinase; USP domain</t>
  </si>
  <si>
    <t>UBIQUITIN PROTEASOME SYSTEM; EVOLUTION; ELEMENTS; EXPRESSION; GENOME; COLD; GENE; IDENTIFICATION; DIVERSITY; REVEALS</t>
  </si>
  <si>
    <t>Transposable elements have accompanied the evolution of the eukaryotic genome for millions of years. The recently discovered Helitron order (class H, subclass 2 single-strand DNA transposons) is common in eukaryotes and seems to play a highly active role in genome reshuffling. This study provides novel insights into the characteristics of Helinoto, a helitron isolated in the genome of the Antarctic fish Chionodraco hamatus. In particular, investigation of the structure of its 5' and 3' ends, which are involved in the transposition process, enabled identification of the characteristic motifs of the Helitron2 group. Moreover, identification of a deubiquitinating protease domain in the region upstream two consecutive OTU domains extended and strengthened the deubiquitinase character of the N-terminal portion of Helinoto. Finally, Helinoto transcriptional activity was detected in several C hamatus tissues. Taken together, these data are particularly intriguing because they document high transcription levels for genes involved in ubiquitination, which ensures protein homeostasis in the extreme Antarctic environment. (C) 2014 Elsevier Inc. All rights reserved.</t>
  </si>
  <si>
    <t>[Capriglione, Teresa; De Paolo, Sofia] Univ Naples Federico II, Dept Biol Sci, I-80126 Naples, Italy; [Cocca, Ennio] Natl Res Council CNR IBBR, Inst Biosci &amp; BioResources, I-80131 Naples, Italy</t>
  </si>
  <si>
    <t>University of Naples Federico II; Consiglio Nazionale delle Ricerche (CNR); Istituto di Bioscienze e Biorisorse (IBBR-CNR)</t>
  </si>
  <si>
    <t>Cocca, E (corresponding author), CNR IBBR, Via P Castellino 111, I-80131 Naples, Italy.</t>
  </si>
  <si>
    <t>teresa.capriglione@unina.it; sofia.depaolo@unina.it; ennio.cocca@ibbr.cnr.it</t>
  </si>
  <si>
    <t>Cocca, Ennio/AAY-3817-2020</t>
  </si>
  <si>
    <t>Cocca, Ennio/0000-0003-2432-9663</t>
  </si>
  <si>
    <t>PNRA project [2009/A1. 10]</t>
  </si>
  <si>
    <t>PNRA project</t>
  </si>
  <si>
    <t>This study was conducted in the framework of the PNRA project 2009/A1. 10: The role of transposable elements and highly repeated DNA sequences in the evolution and adaptation of polar fish and molluscs. We gratefully acknowledge the logistic support provided to our research team at Mario Zucchelli Station by the personnel of ENEA.</t>
  </si>
  <si>
    <t>ELSEVIER SCIENCE INC</t>
  </si>
  <si>
    <t>STE 800, 230 PARK AVE, NEW YORK, NY 10169 USA</t>
  </si>
  <si>
    <t>1744-117X</t>
  </si>
  <si>
    <t>1878-0407</t>
  </si>
  <si>
    <t>COMP BIOCHEM PHYS D</t>
  </si>
  <si>
    <t>Comp. Biochem. Physiol. D-Genomics Proteomics</t>
  </si>
  <si>
    <t>10.1016/j.cbd.2014.07.004</t>
  </si>
  <si>
    <t>Biochemistry &amp; Molecular Biology; Genetics &amp; Heredity</t>
  </si>
  <si>
    <t>AQ7SM</t>
  </si>
  <si>
    <t>WOS:000343019500007</t>
  </si>
  <si>
    <t>Nash, SMB; Schlabach, M; Nichols, PD</t>
  </si>
  <si>
    <t>Nash, Susan M. Bengtson; Schlabach, Martin; Nichols, Peter D.</t>
  </si>
  <si>
    <t>A Nutritional-Toxicological Assessment of Antarctic Krill Oil versus Fish Oil Dietary Supplements</t>
  </si>
  <si>
    <t>NUTRIENTS</t>
  </si>
  <si>
    <t>Antarctic krill oil; dietary supplements; persistent organic pollutants; long-chain omega-3 polyunsaturated fatty acids</t>
  </si>
  <si>
    <t>HEMISPHERE HUMPBACK WHALES; EUPHAUSIA-SUPERBA; FATTY-ACIDS; SEA-ICE; P,P'-DDE; SENSITIVITY; INCREASE; BURDENS; BLUBBER; DIOXINS</t>
  </si>
  <si>
    <t>Fish oil dietary supplements and complementary medicines are pitched to play a role of increasing strategic importance in meeting daily requirements of essential nutrients, such as long-chain (C-20, LC) omega-3 polyunsaturated fatty acids and vitamin D. Recently a new product category, derived from Antarctic krill, has been launched on the omega-3 nutriceutical market. Antarctic krill oil is marketed as demonstrating a greater ease of absorption due to higher phospholipid content, as being sourced through sustainable fisheries and being free of toxins and pollutants; however, limited data is available on the latter component. Persistent Organic Pollutants (POP) encompass a range of toxic, man-made contaminants that accumulate preferentially in marine ecosystems and in the lipid reserves of organisms. Extraction and concentration of fish oils therefore represents an inherent nutritional-toxicological conflict. This study aimed to provide the first quantitative comparison of the nutritional (EPA and DHA) versus the toxicological profiles of Antarctic krill oil products, relative to various fish oil categories available on the Australian market. Krill oil products were found to adhere closely to EPA and DHA manufacturer specifications and overall were ranked as containing intermediate levels of POP contaminants when compared to the other products analysed. Monitoring of the pollutant content of fish and krill oil products will become increasingly important with expanding regulatory specifications for chemical thresholds.</t>
  </si>
  <si>
    <t>[Nash, Susan M. Bengtson] Griffith Univ, Environm Futures Res Inst, Nathan, Qld 4111, Australia; [Schlabach, Martin] Norwegian Inst Air Res NILU, N-2027 Kjeller, Norway; [Nichols, Peter D.] CSIRO Food &amp; Nutr, Oceans &amp; Atmosphere Flagships, Hobart, Tas 7000, Australia</t>
  </si>
  <si>
    <t>Griffith University; NILU; Commonwealth Scientific &amp; Industrial Research Organisation (CSIRO)</t>
  </si>
  <si>
    <t>Nash, SMB (corresponding author), Griffith Univ, Environm Futures Res Inst, Nathan, Qld 4111, Australia.</t>
  </si>
  <si>
    <t>s.bengtsonnash@griffith.edu.au; msc@nilu.no; Peter.Nichols@CSIRO.au</t>
  </si>
  <si>
    <t>Bengtson Nash, Susan/GMX-4611-2022; Schlabach, Martin/J-3348-2013; Nichols, Peter D/C-5128-2011; Bengtson Nash, Susan/I-3942-2015</t>
  </si>
  <si>
    <t>Bengtson Nash, Susan/0000-0001-5928-0850; Schlabach, Martin/0000-0003-3705-7943; Bengtson Nash, Susan/0000-0001-5928-0850</t>
  </si>
  <si>
    <t>ARC [DP666891]</t>
  </si>
  <si>
    <t>ARC(Australian Research Council)</t>
  </si>
  <si>
    <t>This study was in part funded by ARC Discovery Grant DP666891. The authors thank David McLagan and NILU laboratory staff for undertaking chemical analyses and Seanan Wild for undertaking lipid analyses. Danny Holdsworth managed the CSIRO GC and GC-MS facility. We also thank the two anonymous reviewers for their helpful comments on the manuscript.</t>
  </si>
  <si>
    <t>2072-6643</t>
  </si>
  <si>
    <t>Nutrients</t>
  </si>
  <si>
    <t>10.3390/nu6093382</t>
  </si>
  <si>
    <t>Nutrition &amp; Dietetics</t>
  </si>
  <si>
    <t>AQ6EW</t>
  </si>
  <si>
    <t>Green Accepted, Green Submitted, gold, Green Published</t>
  </si>
  <si>
    <t>WOS:000342903700003</t>
  </si>
  <si>
    <t>Scott, SV; Oriana, L</t>
  </si>
  <si>
    <t>Scott, Shirley V.; Oriana, Lucia</t>
  </si>
  <si>
    <t>International Court of Justice. Whaling in the Antarctic (Australia v. Japan: New Zealand Intervening) Judgment of 31 March 2014: A Decisive Victory-but for Whom?</t>
  </si>
  <si>
    <t>INTERNATIONAL JOURNAL OF MARINE AND COASTAL LAW</t>
  </si>
  <si>
    <t>[Scott, Shirley V.; Oriana, Lucia] Univ New S Wales, Sydney, NSW 2052, Australia</t>
  </si>
  <si>
    <t>Scott, SV (corresponding author), Univ New S Wales, Sydney, NSW 2052, Australia.</t>
  </si>
  <si>
    <t>MARTINUS NIJHOFF PUBL</t>
  </si>
  <si>
    <t>LEIDEN</t>
  </si>
  <si>
    <t>PO BOX 9000, LEIDEN, 2300 PA, NETHERLANDS</t>
  </si>
  <si>
    <t>0927-3522</t>
  </si>
  <si>
    <t>1571-8085</t>
  </si>
  <si>
    <t>INT J MAR COAST LAW</t>
  </si>
  <si>
    <t>Int. J. Mar. Coast. Law</t>
  </si>
  <si>
    <t>10.1163/15718085-12341323</t>
  </si>
  <si>
    <t>Law</t>
  </si>
  <si>
    <t>Social Science Citation Index (SSCI)</t>
  </si>
  <si>
    <t>Government &amp; Law</t>
  </si>
  <si>
    <t>AQ1JY</t>
  </si>
  <si>
    <t>WOS:000342538900007</t>
  </si>
  <si>
    <t>Silchenko, AS; Kalinovsky, AI; Avilov, SA; Andryjashchenko, PV; Fedorov, SN; Dmitrenok, PS; Yurchenko, EA; Kalinin, VI; Rogacheva, AV; Gebruk, AV</t>
  </si>
  <si>
    <t>Silchenko, Alexandra S.; Kalinovsky, Anatoly I.; Avilov, Sergey A.; Andryjashchenko, Pelageya V.; Fedorov, Sergey N.; Dmitrenok, Pavel S.; Yurchenko, Ekaterina A.; Kalinin, Vladimir I.; Rogacheva, Antonina V.; Gebruk, Audrey V.</t>
  </si>
  <si>
    <t>Kolgaosides A and B, Two New Triterpene Glycosides from the Arctic Deep Water Sea Cucumber Kolga hyalina (Elasipodida: Elpidiidae)</t>
  </si>
  <si>
    <t>NATURAL PRODUCT COMMUNICATIONS</t>
  </si>
  <si>
    <t>Sea cucumbers; Kolga hyalina; Triterpene glycosides; Kolgaosides; NMR; ESI MS; Biological activities</t>
  </si>
  <si>
    <t>EUPENTACTA FRAUDATRIX. STRUCTURE; BIOLOGICAL ACTION; A(1); A(3)</t>
  </si>
  <si>
    <t>Two novel triterpene holostane nonsulfated pentaosides, kolgaosides A (1) and B (2), and one known, holothurinoside B (3), were isolated from the Arctic sea cucumber Kolga hyalina, the second representative of the family Elpidiidae, order Elasipodida, from which triterpene glycosides have been obtained. The structures of 1 and 2 were elucidated using H-1 and C-13 NMR and 2D NMR procedures (HSQC, HMBC, COSY, ROESY, TOCSY) and HRESI mass-spectrometry. Kolgaosides A (1) and B (2) demonstrate low cytotoxic activity against the cells of the ascite form of mouse Ehrlich carcinoma and moderate hemolytic activity against mouse erythrocytes, despite the presence of hydroxy groups in the side chains of the aglycones. The glycosides of K. hyalina are similar to those of the Antarctic sea cucumber Rhipidothuria racowitzai Herouard, 1901 (=Achlionice violaescupidata) (Elasipodida: Elpidiidae); this may have chemotaxonomic significance.</t>
  </si>
  <si>
    <t>[Silchenko, Alexandra S.; Kalinovsky, Anatoly I.; Avilov, Sergey A.; Andryjashchenko, Pelageya V.; Fedorov, Sergey N.; Dmitrenok, Pavel S.; Yurchenko, Ekaterina A.; Kalinin, Vladimir I.] Russian Acad Sci, Far Eastern Branch, GB Elyakov Pacific Inst Bioorgan Chem, Vladivostok 690022, Russia; [Rogacheva, Antonina V.; Gebruk, Audrey V.] Russian Acad Sci, PP Shirshov Inst Oceanol, Moscow 117997, Russia</t>
  </si>
  <si>
    <t>Elyakov Pacific Institute of Bioorganic Chemistry; Russian Academy of Sciences; Russian Academy of Sciences; Shirshov Institute of Oceanology</t>
  </si>
  <si>
    <t>Kalinin, VI (corresponding author), Russian Acad Sci, Far Eastern Branch, GB Elyakov Pacific Inst Bioorgan Chem, Pr 100 Letya Vladivostoka 159, Vladivostok 690022, Russia.</t>
  </si>
  <si>
    <t>kalininv@piboc.dvo.ru</t>
  </si>
  <si>
    <t>Dmitrenok, Pavel S/N-3307-2013; Silchenko, Alexandra/ABF-4353-2021; Yurchenko, Ekaterina/O-4499-2019; Yurchenko, Ekaterina A/M-7820-2013; Kremenetskaia, Antonina/H-5654-2018; Fedorov, Sergey N/N-3269-2013; Silchenko, Alexandra/E-6064-2013; Kalinin, Vladimir/M-9951-2013</t>
  </si>
  <si>
    <t>Silchenko, Alexandra/0000-0002-9367-1158; Yurchenko, Ekaterina/0000-0001-7737-0980; Kremenetskaia, Antonina/0000-0001-8851-3318; Silchenko, Alexandra/0000-0002-9367-1158;</t>
  </si>
  <si>
    <t>Leading Scientific Schools Grant [SSh.-148.2014.4]</t>
  </si>
  <si>
    <t>Leading Scientific Schools Grant(Leading Scientific Schools Program)</t>
  </si>
  <si>
    <t>The authors are deeply thankful to Antje Boetius, Elena Rybakova, Renate Degen, the r/v Polarstern master and crew on the cruise ARKXXVII/3 for help in collection of sea cucumbers. The authors also acknowledge the Leading Scientific Schools Grant SSh.-148.2014.4 for financial support. The authors are very appreciative to Professor Valentin A. Stonik (Pacific Institute of Bioorganic Chemistry, Vladivostok, Russia) for useful discussion, reading and correction of the manuscript.</t>
  </si>
  <si>
    <t>SAGE PUBLICATIONS INC</t>
  </si>
  <si>
    <t>THOUSAND OAKS</t>
  </si>
  <si>
    <t>2455 TELLER RD, THOUSAND OAKS, CA 91320 USA</t>
  </si>
  <si>
    <t>1934-578X</t>
  </si>
  <si>
    <t>1555-9475</t>
  </si>
  <si>
    <t>NAT PROD COMMUN</t>
  </si>
  <si>
    <t>Nat. Prod. Commun.</t>
  </si>
  <si>
    <t>Chemistry, Medicinal; Food Science &amp; Technology</t>
  </si>
  <si>
    <t>Pharmacology &amp; Pharmacy; Food Science &amp; Technology</t>
  </si>
  <si>
    <t>AQ1MT</t>
  </si>
  <si>
    <t>WOS:000342546200010</t>
  </si>
  <si>
    <t>Kolhatkar, A; Robertson, CE; Thistle, ME; Gamperl, AK; Currie, S</t>
  </si>
  <si>
    <t>Kolhatkar, Ashra; Robertson, Cayleih E.; Thistle, Maria E.; Gamperl, A. Kurt; Currie, Suzanne</t>
  </si>
  <si>
    <t>Coordination of Chemical (Trimethylamine Oxide) and Molecular (Heat Shock Protein 70) Chaperone Responses to Heat Stress in Elasmobranch Red Blood Cells</t>
  </si>
  <si>
    <t>PHYSIOLOGICAL AND BIOCHEMICAL ZOOLOGY</t>
  </si>
  <si>
    <t>SHOCK PROTEINS; OXIDATIVE STRESS; ANTARCTIC FISH; UREA; DOGFISH; ACCUMULATION; EXPRESSION; ERYTHROCYTES; HEPATOCYTES; COUNTERACT</t>
  </si>
  <si>
    <t>Chemical and molecular chaperones are organic compounds that protect and stabilize proteins from damage and aggregation as a result of cellular stress. Using the dogfish (Squalus acanthias) red blood cell (RBC) as a model, we examined whether elasmobranch cells with naturally high concentrations of the chemical chaperone trimethylamine oxide (TMAO) would induce the molecular chaperone heat shock protein 70 (HSP70) when exposed to an acute thermal stress. Our hypothesis was that TMAO is itself capable of preventing damage and preserving cellular function during thermal stress and thus that the heat shock response would be inhibited/diminished. We incubated RBCs in vitro with and without physiologically relevant concentrations of TMAO at 13 degrees C and then exposed cells to a 1-h acute heat shock at 24 degrees C. HSP70 protein expression was elevated in dogfish RBCs after the acute heat stress, but this induction was inhibited by extracellular TMAO. Regardless of the presence of TMAO and/or HSP70, we did not observe any cell damage, as indicated by changes in caspase 3/7 activity, protein carbonyls, membrane viability, or levels of ubiquitin. We also saw no change in RBC cell function, as determined by hemoglobin oxygen affinity or carrying capacity, in cells lacking the heat shock response but protected by TMAO. This study demonstrates that there is cellular coordination between chemical and molecular chaperones in response to an acute thermal stress in dogfish RBCs and suggests that TMAO has a thermoprotective role in these cells, thus eliminating the need for a heat shock response.</t>
  </si>
  <si>
    <t>[Kolhatkar, Ashra; Robertson, Cayleih E.; Thistle, Maria E.; Currie, Suzanne] Mt Allison Univ, Dept Biol, Sackville, NB E0A 3C0, Canada; [Gamperl, A. Kurt] Mem Univ Newfoundland, Dept Ocean Sci, St John, NF, Canada</t>
  </si>
  <si>
    <t>Mount Allison University; Memorial University Newfoundland</t>
  </si>
  <si>
    <t>Currie, S (corresponding author), Mt Allison Univ, Dept Biol, Sackville, NB E0A 3C0, Canada.</t>
  </si>
  <si>
    <t>scurrie@mta.ca</t>
  </si>
  <si>
    <t>Robertson, Cayleih/AAD-4535-2019</t>
  </si>
  <si>
    <t>Robertson, Cayleih/0000-0002-6769-2852</t>
  </si>
  <si>
    <t>Natural Sciences and Engineering Research Council (NSERC); MDIBL; NSERC</t>
  </si>
  <si>
    <t>Natural Sciences and Engineering Research Council (NSERC)(Natural Sciences and Engineering Research Council of Canada (NSERC)); MDIBL; NSERC(Natural Sciences and Engineering Research Council of Canada (NSERC))</t>
  </si>
  <si>
    <t>This research was supported by the Natural Sciences and Engineering Research Council (NSERC) Discovery Grants Program (S. C., A. K. G.), MDIBL Visiting Scientist Fellowships (S. C.), and an NSERC undergraduate student research award (C. E. R.). We acknowledge the experimental assistance of Sacha LeBlanc and Mount Allison undergraduate students Nathan S. B. Walker and Duncan Bowes and the help of Michelle Bailey and her staff at MDIBL. The authors thank Dr. J. Treberg for support and assistance with TMAO analysis.</t>
  </si>
  <si>
    <t>UNIV CHICAGO PRESS</t>
  </si>
  <si>
    <t>CHICAGO</t>
  </si>
  <si>
    <t>1427 E 60TH ST, CHICAGO, IL 60637-2954 USA</t>
  </si>
  <si>
    <t>1522-2152</t>
  </si>
  <si>
    <t>1537-5293</t>
  </si>
  <si>
    <t>PHYSIOL BIOCHEM ZOOL</t>
  </si>
  <si>
    <t>Physiol. Biochem. Zool.</t>
  </si>
  <si>
    <t>10.1086/676831</t>
  </si>
  <si>
    <t>AQ3DS</t>
  </si>
  <si>
    <t>WOS:000342670000007</t>
  </si>
  <si>
    <t>Nikolaeva, VD; Kotikov, AL; Sergienko, TI</t>
  </si>
  <si>
    <t>Nikolaeva, V. D.; Kotikov, A. L.; Sergienko, T. I.</t>
  </si>
  <si>
    <t>Dynamics of field-aligned currents reconstructed by the ground-based and satellite data</t>
  </si>
  <si>
    <t>GEOMAGNETISM AND AERONOMY</t>
  </si>
  <si>
    <t>IONOSPHERE; SUBSTORMS; MODEL</t>
  </si>
  <si>
    <t>Parameters of field-aligned currents reconstructed by ground-based measurements of magnetic field in the Scandinavian countries (IMAGE) and ionospheric conductivity for specific events of the 6 and 8 December 2004 are represented here. Ionospheric conductivity was calculated from precipitating electron flux measured at DMSP-13 satellite and electron density EISCAT incoherent scattering radar direct measurements. There is a high correlation between field-aligned currents, calculated from DMSP-13 satellite data and field-aligned currents calculated from radar measurements for the December 6, 2004 in the presence of developed ionospheric current system. The comparison of field-aligned currents, reconstructed by the proposed method, with the currents calculated by the variation of magnetic field on the DMSP satellites, confirms correctness of the offered algorithm.</t>
  </si>
  <si>
    <t>[Nikolaeva, V. D.; Kotikov, A. L.] St Petersburg State Univ, St Petersburg 199034, Russia; [Nikolaeva, V. D.] Arctic &amp; Antarctic Res Inst, St Petersburg 199226, Russia; [Kotikov, A. L.] Russian Acad Sci, St Petersburg Branch, Inst Terr Magnetism Ionosphere &amp; Radio Wave Propa, St Petersburg 196140, Russia; [Sergienko, T. I.] Swedish Inst Space Phys, S-98128 Kiruna, Sweden</t>
  </si>
  <si>
    <t>Saint Petersburg State University; Arctic &amp; Antarctic Research Institute; Russian Academy of Sciences; St. Petersburg Scientific Centre of the Russian Academy of Sciences</t>
  </si>
  <si>
    <t>Nikolaeva, VD (corresponding author), St Petersburg State Univ, St Petersburg 199034, Russia.</t>
  </si>
  <si>
    <t>vera_nik@list.ru</t>
  </si>
  <si>
    <t>Nikolaeva, Vera/AGK-6779-2022; Kotikov, Andrey/K-3339-2012</t>
  </si>
  <si>
    <t>Nikolaeva, Vera/0000-0003-4987-6452; Kotikov, Andrey/0000-0002-5941-2216</t>
  </si>
  <si>
    <t>MAIK NAUKA/INTERPERIODICA/SPRINGER</t>
  </si>
  <si>
    <t>233 SPRING ST, NEW YORK, NY 10013-1578 USA</t>
  </si>
  <si>
    <t>0016-7932</t>
  </si>
  <si>
    <t>1555-645X</t>
  </si>
  <si>
    <t>GEOMAGN AERONOMY+</t>
  </si>
  <si>
    <t>Geomagn. Aeron.</t>
  </si>
  <si>
    <t>10.1134/S0016793214050120</t>
  </si>
  <si>
    <t>AP9ZZ</t>
  </si>
  <si>
    <t>WOS:000342442200002</t>
  </si>
  <si>
    <t>Wang, ZJ; Lee, J; Si, YX; Wang, W; Yang, JM; Yin, SJ; Qian, GY; Park, YD</t>
  </si>
  <si>
    <t>Wang, Zhi-Jiang; Lee, Jinhyuk; Si, Yue-Xiu; Wang, Wei; Yang, Jun-Mo; Yin, Shang-Jun; Qian, Guo-Ying; Park, Yong-Doo</t>
  </si>
  <si>
    <t>A folding study of Antarctic krill (Euphausia superba) alkaline phosphatase using denaturants</t>
  </si>
  <si>
    <t>INTERNATIONAL JOURNAL OF BIOLOGICAL MACROMOLECULES</t>
  </si>
  <si>
    <t>Alkaline phosphatase; Antarctic krill; Folding</t>
  </si>
  <si>
    <t>ARGININE KINASE; PINCTADA-FUCATA; LIVER; UREA; PURIFICATION; AGGREGATION; ACTIVATION; EXTRACTION; PROTEINS; ATLANTIC</t>
  </si>
  <si>
    <t>To gain insight into the structural and folding mechanisms of Antarctic krill alkaline phosphatase (ALP), the enzyme was properly purified by (NH4)(2)SO4 fractionation and by both Sephadex G-75 and DEAE anion exchange chromatography. The purified enzyme (62.6 kDa; 2.62 unit/mg) was unstable at temperatures exceeding 30 degrees C. Denaturants, such as sodium dodecyl sulfate (SDS), guanidine HCl, and urea, were applied to evaluate the folding mechanism, including kinetics and thermodynamics, of krill ALP. Sodium dodecyl sulfate elicited no significant effect on ALP activity even at excessively high concentrations (300 mM), whereas guanidine HCl and urea effectively inactivated the enzyme at concentrations of 2 and 3.5 M, respectively. Kinetic studies showed that the enzymatic inhibition by guanidine HCl and urea represented a first-order reaction that was a monophasic unfolding process. This process was found to be associated with conformational changes without significant transient free-energy changes. Additionally, the overall structural changes occurred proximally to the active site pocket. Our study provides new insight into ALP of the Antarctic krill, which lives in extreme environmental conditions. (C) 2014 Elsevier B.V. All rights reserved.</t>
  </si>
  <si>
    <t>[Wang, Zhi-Jiang; Si, Yue-Xiu; Wang, Wei; Yin, Shang-Jun; Qian, Guo-Ying; Park, Yong-Doo] Zhejiang Wanli Univ, Coll Biol &amp; Environm Sci, Ningbo 315100, Zhejiang, Peoples R China; [Lee, Jinhyuk] Korean Bioinformat Ctr, KOBIC, Korea Res Inst Biosci &amp; Biotechnol, Taejon 305806, South Korea; [Lee, Jinhyuk] Univ Sci &amp; Technol, Dept Bioinformat, Taejon 305350, South Korea; [Yang, Jun-Mo] Sungkyunkwan Univ, Sch Med, Samsung Med Ctr, Dept Dermatol, Seoul 135710, South Korea; [Park, Yong-Doo] Tsinghua Univ, Yangtze Delta Reg Inst, Zhejiang Prov Key Lab Appl Enzymol, Jiaxing 314006, Peoples R China</t>
  </si>
  <si>
    <t>Zhejiang Wanli University; Korea Research Institute of Bioscience &amp; Biotechnology (KRIBB); Sungkyunkwan University (SKKU); Samsung Medical Center; Tsinghua University</t>
  </si>
  <si>
    <t>Park, YD (corresponding author), Zhejiang Wanli Univ, Coll Biol &amp; Environm Sci, Ningbo 315100, Zhejiang, Peoples R China.</t>
  </si>
  <si>
    <t>qianguoying_wanli@hotmail.com; parkyd@hotmail.com</t>
  </si>
  <si>
    <t>yang, jun/GQH-0635-2022</t>
  </si>
  <si>
    <t>Ningbo International Cooperation Project [2012D10012]; Zhejiang Provincial Top Key Discipline of Modern Microbiology and Application [ZS2012011, ZS2013014]; Innovation Team Project of the Ningbo Municipal Science and Technology Bureau [2012B82016]; 624 projects - Zhejiang Leading Team of Science and Technology Innovation [2010R50019]; Korea Health Technology R&amp;D Project, Ministry of Health &amp; Welfare, Republic of Korea [HI12C1299]; Samsung Biomedical Research Institute [GL1-B2-181-1]; Korea Research Institute of Bioscience and Biotechnology (KRIBB); Korean Ministry of Education, Science and Technology (MEST) [2012R1A1A2002676]; Pioneer Research Center Program through the National Research Foundation of Korea - Ministry of Science, ICT &amp; Future Planning [2013M3C1A3064780]; Science and Technology Planning Project of Jiaxing [2012AY1041]</t>
  </si>
  <si>
    <t>Ningbo International Cooperation Project; Zhejiang Provincial Top Key Discipline of Modern Microbiology and Application; Innovation Team Project of the Ningbo Municipal Science and Technology Bureau; 624 projects - Zhejiang Leading Team of Science and Technology Innovation; Korea Health Technology R&amp;D Project, Ministry of Health &amp; Welfare, Republic of Korea; Samsung Biomedical Research Institute(Samsung); Korea Research Institute of Bioscience and Biotechnology (KRIBB); Korean Ministry of Education, Science and Technology (MEST)(Ministry of Education, Science &amp; Technology (MEST), Republic of Korea); Pioneer Research Center Program through the National Research Foundation of Korea - Ministry of Science, ICT &amp; Future Planning(National Research Foundation of Korea); Science and Technology Planning Project of Jiaxing</t>
  </si>
  <si>
    <t>This study was supported by the Ningbo International Cooperation Project (No. 2012D10012) and the Zhejiang Provincial Top Key Discipline of Modern Microbiology and Application (Nos. ZS2012011 and ZS2013014). Dr. Guo-Ying Qian was supported by the Innovation Team Project of the Ningbo Municipal Science and Technology Bureau (No. 2012B82016). Shang-Jun Yin was supported by a grant from the 624 projects supported by the Zhejiang Leading Team of Science and Technology Innovation (Team No. 2010R50019). Dr. Jun-Mo Yang was supported by a grant from the Korea Health Technology R&amp;D Project, Ministry of Health &amp; Welfare, Republic of Korea (No. HI12C1299) and by a grant from the Samsung Biomedical Research Institute (GL1-B2-181-1). Dr. Jinhyuk Lee was supported by a grant from the Korea Research Institute of Bioscience and Biotechnology (KRIBB) Research Initiative Program, the Korean Ministry of Education, Science and Technology (MEST) (2012R1A1A2002676), and the Pioneer Research Center Program through the National Research Foundation of Korea, which is funded by the Ministry of Science, ICT &amp; Future Planning (2013M3C1A3064780). Dr. Yong-Doo Park was supported by a fund from the Science and Technology Planning Project of Jiaxing (No. 2012AY1041).</t>
  </si>
  <si>
    <t>0141-8130</t>
  </si>
  <si>
    <t>1879-0003</t>
  </si>
  <si>
    <t>INT J BIOL MACROMOL</t>
  </si>
  <si>
    <t>Int. J. Biol. Macromol.</t>
  </si>
  <si>
    <t>10.1016/j.ijbiomac.2014.07.001</t>
  </si>
  <si>
    <t>Biochemistry &amp; Molecular Biology; Chemistry, Applied; Polymer Science</t>
  </si>
  <si>
    <t>Biochemistry &amp; Molecular Biology; Chemistry; Polymer Science</t>
  </si>
  <si>
    <t>AQ0NA</t>
  </si>
  <si>
    <t>WOS:000342478800038</t>
  </si>
  <si>
    <t>Cronin, M; Gregory, S; Rogan, E</t>
  </si>
  <si>
    <t>Cronin, M.; Gregory, S.; Rogan, E.</t>
  </si>
  <si>
    <t>Moulting phenology of the harbour seal in south-west Ireland</t>
  </si>
  <si>
    <t>JOURNAL OF THE MARINE BIOLOGICAL ASSOCIATION OF THE UNITED KINGDOM</t>
  </si>
  <si>
    <t>harbour seal; phenology; moulting; population estimate; Ireland</t>
  </si>
  <si>
    <t>PHOCA-VITULINA; POPULATION-SIZE; PATTERNS; BEHAVIOR; PELAGE; HAUL; AGE</t>
  </si>
  <si>
    <t>Studies on the phenology of harbour seal moult have been carried out in the Atlantic and Pacific, however there has been no research into this process in the Republic of Ireland, at the southern edge of the species range in the north-east Atlantic. Population estimates of harbour seals are derived by counts primarily during the moulting seasons. In the absence of information on the moult phenology planning the optimal timing of such surveys is impossible. Furthermore, changes inmoult phenology may reflect changes in resource availability or competition, or demographic changes. The phenology of the harbour seal moult was investigated in south-west Ireland in this study. Timing of the moult differed among all cohorts, yearlings began moulting first followed by adult females and finally adult males. The number of seals hauled out was generally positively related to the proportion of seals in active moult. The timing of the moult period was different to other parts of the species' range and should be considered in determining optimal timing of future surveys for assessing populations abundance and trends in Ireland.</t>
  </si>
  <si>
    <t>[Cronin, M.] Natl Univ Ireland Univ Coll Cork, Coastal &amp; Marine Res Ctr, Cobh, Cork, Ireland; [Gregory, S.] British Antarctic Survey, Cambridge CB3 0ET, England; [Rogan, E.] Univ Coll Cork, Sch Biol Earth &amp; Environm Sci, North Mall, Cork, Ireland</t>
  </si>
  <si>
    <t>University College Cork; UK Research &amp; Innovation (UKRI); Natural Environment Research Council (NERC); NERC British Antarctic Survey; University College Cork</t>
  </si>
  <si>
    <t>Gregory, S (corresponding author), British Antarctic Survey, Madingley Rd, Cambridge CB3 0ET, England.</t>
  </si>
  <si>
    <t>sgreg@bas.ac.uk</t>
  </si>
  <si>
    <t>Brophy, Deirdre/JQW-0281-2023</t>
  </si>
  <si>
    <t>Higher Education Authority; Beaufort Marine Research Award; Sea Change Strategy; Strategy for Science Technology and Innovation; Marine Institute</t>
  </si>
  <si>
    <t>We thank the following who assisted in the field, Mick Mackey, Simon Ingram and Daphne Roycroft. The research was funded by a Higher Education Authority grant under the PRTLI3 funding mechanism and a Beaufort Marine Research Award carried out under the Sea Change Strategy and the Strategy for Science Technology and Innovation (2006-2013), with the support of the Marine Institute, funded under the Marine Research Sub-Programme of the National Development Plan 2007-2013.</t>
  </si>
  <si>
    <t>CAMBRIDGE UNIV PRESS</t>
  </si>
  <si>
    <t>32 AVENUE OF THE AMERICAS, NEW YORK, NY 10013-2473 USA</t>
  </si>
  <si>
    <t>0025-3154</t>
  </si>
  <si>
    <t>1469-7769</t>
  </si>
  <si>
    <t>J MAR BIOL ASSOC UK</t>
  </si>
  <si>
    <t>J. Mar. Biol. Assoc. U.K.</t>
  </si>
  <si>
    <t>10.1017/S0025315413000106</t>
  </si>
  <si>
    <t>AP6VQ</t>
  </si>
  <si>
    <t>WOS:000342216600002</t>
  </si>
  <si>
    <t>Gonzalvo, J; Forcada, J; Grau, E; Aguilar, A</t>
  </si>
  <si>
    <t>Gonzalvo, Joan; Forcada, Jaume; Grau, Esteve; Aguilar, Alex</t>
  </si>
  <si>
    <t>Strong site-fidelity increases vulnerability of common bottlenose dolphins Tursiops truncatus in a mass tourism destination in the western Mediterranean Sea</t>
  </si>
  <si>
    <t>Tursiops truncatus; photo-identification; site-fidelity; abundance estimate; Mediterranean</t>
  </si>
  <si>
    <t>FISHERIES; SARASOTA; ECOLOGY; PINGERS</t>
  </si>
  <si>
    <t>The local population of common bottlenose dolphin in the Balearic Islands coastal waters, a mass tourism destination in the western Mediterranean subject to increasing anthropogenic pressures, was monitored over a three-year period. Photo-identification surveys provided a relatively small population estimate, even though the islands are considered to be a hotspot for the species in the Mediterranean. Dolphins showed strong site-fidelity and relatively limited mobility across the archipelago, which makes them highly dependent on waters which are severely affected by overfishing, habitat degradation and boat disturbance resulting from a continuously-growing tourism and shipping industry. Ecosystem-based management actions are urgently needed to ensure the conservation of this fragile population of bottlenose dolphins. Conservation measures should be developed within the already-existing political and legal marine biodiversity conservation framework and in collaboration with local authorities and stakeholders.</t>
  </si>
  <si>
    <t>[Gonzalvo, Joan; Grau, Esteve; Aguilar, Alex] Univ Barcelona, Fac Biol, Dept Anim Biol Vertebrates, E-08071 Barcelona, Spain; [Gonzalvo, Joan; Grau, Esteve; Aguilar, Alex] Univ Barcelona, Fac Biol, IrBIO, E-08071 Barcelona, Spain; [Forcada, Jaume] British Antarctic Survey, NERC, Cambridge CB3 0ET, England</t>
  </si>
  <si>
    <t>University of Barcelona; University of Barcelona; UK Research &amp; Innovation (UKRI); Natural Environment Research Council (NERC); NERC British Antarctic Survey</t>
  </si>
  <si>
    <t>Gonzalvo, J (corresponding author), Univ Barcelona, Fac Biol, Dept Anim Biol Vertebrates, E-08071 Barcelona, Spain.</t>
  </si>
  <si>
    <t>joan.gonzalvo@gmail.com</t>
  </si>
  <si>
    <t>Aguilar, Alex/L-1283-2014; Forcada, Jaume/GYU-0677-2022; Vivia, Ariel/JAO-4693-2023</t>
  </si>
  <si>
    <t>Aguilar, Alex/0000-0002-5751-2512; Gonzalvo Villegas, Joan/0000-0001-9008-4532</t>
  </si>
  <si>
    <t>EU-LIFE [NAT/E/7303]; IEO-DEMO project; IEO-MEGA-2 project</t>
  </si>
  <si>
    <t>EU-LIFE(European Union (EU)); IEO-DEMO project; IEO-MEGA-2 project</t>
  </si>
  <si>
    <t>This study was funded by EU-LIFE project NAT/E/7303, IEO-DEMO and IEO-MEGA-2 projects.</t>
  </si>
  <si>
    <t>10.1017/S0025315413000866</t>
  </si>
  <si>
    <t>WOS:000342216600019</t>
  </si>
  <si>
    <t>Duprat, J; Bardin, N; Engrand, C; Baklouti, D; Brunetto, R; Dartois, E; Delauche, L; Godard, M; Guerquin-Kern, JL; Slodzian, G; Wu, TD</t>
  </si>
  <si>
    <t>Duprat, J.; Bardin, N.; Engrand, C.; Baklouti, D.; Brunetto, R.; Dartois, E.; Delauche, L.; Godard, M.; Guerquin-Kern, J-L; Slodzian, G.; Wu, T-D</t>
  </si>
  <si>
    <t>ISOTOPIC ANALYSIS OF ORGANIC MATTER IN ULTRACARBONACEOUS ANTARCTIC MICROMETEORITES (UCAMMs)</t>
  </si>
  <si>
    <t>METEORITICS &amp; PLANETARY SCIENCE</t>
  </si>
  <si>
    <t>77th Annual Meeting of the Meteoritical-Society</t>
  </si>
  <si>
    <t>SEP 08-13, 2014</t>
  </si>
  <si>
    <t>Casablanca, MOROCCO</t>
  </si>
  <si>
    <t>[Duprat, J.; Bardin, N.; Engrand, C.; Delauche, L.; Godard, M.; Slodzian, G.] Univ Paris 11, CSNSM, F-91405 Orsay, France; [Baklouti, D.; Brunetto, R.; Dartois, E.] Univ Paris 11, IAS, F-91405 Orsay, France; [Guerquin-Kern, J-L; Wu, T-D] Univ Paris 11, Inst Curie, INSERM, F-91405 Orsay, France</t>
  </si>
  <si>
    <t>Universite Paris Saclay; Universite Paris Saclay; Institut National de la Sante et de la Recherche Medicale (Inserm); UNICANCER; Universite PSL; Institut Curie; Universite Paris Saclay</t>
  </si>
  <si>
    <t>Jean.Duprat@csnsm.in2p3.fr</t>
  </si>
  <si>
    <t>Godard, Marie/H-6451-2011; Guerquin-Kern, Jean-Luc/M-5000-2018</t>
  </si>
  <si>
    <t>Godard, Marie/0000-0002-7276-4021; Guerquin-Kern, Jean-Luc/0000-0002-8610-0146</t>
  </si>
  <si>
    <t>1086-9379</t>
  </si>
  <si>
    <t>1945-5100</t>
  </si>
  <si>
    <t>METEORIT PLANET SCI</t>
  </si>
  <si>
    <t>Meteorit. Planet. Sci.</t>
  </si>
  <si>
    <t>A103</t>
  </si>
  <si>
    <t>AP2PA</t>
  </si>
  <si>
    <t>WOS:000341914200100</t>
  </si>
  <si>
    <t>Haba, MK; Nagao, K</t>
  </si>
  <si>
    <t>Haba, M. K.; Nagao, K.</t>
  </si>
  <si>
    <t>NOBLE GASES IN YAMATO-82094, A NEW TYPE OF CARBONACEOUS CHONDRITE.</t>
  </si>
  <si>
    <t>[Haba, M. K.] Natl Inst Polar Res, Antarctic Meteorite Res Ctr, Tachikawa, Tokyo 1908518, Japan; [Nagao, K.] Univ Tokyo, Grad Sch Sci, Geochem Res Ctr, Bunkyo Ku, Tokyo 1130033, Japan</t>
  </si>
  <si>
    <t>Research Organization of Information &amp; Systems (ROIS); National Institute of Polar Research (NIPR) - Japan; University of Tokyo</t>
  </si>
  <si>
    <t>haba.makiko@nipr.ac.jp</t>
  </si>
  <si>
    <t>haba, makiko/GRX-2377-2022</t>
  </si>
  <si>
    <t>A148</t>
  </si>
  <si>
    <t>WOS:000341914200145</t>
  </si>
  <si>
    <t>Haenecour, P; Floss, C; Wang, A; Yada, T</t>
  </si>
  <si>
    <t>Haenecour, P.; Floss, C.; Wang, A.; Yada, T.</t>
  </si>
  <si>
    <t>RAMAN SPECTROSCOPY OF ORGANIC MATTER IN ANTARCTIC MICROMETEORITES.</t>
  </si>
  <si>
    <t>[Haenecour, P.; Floss, C.] Washington Univ, Space Sci Lab, St Louis, MO 63130 USA; [Haenecour, P.; Wang, A.] Washington Univ, Dept Earth &amp; Planetary Sci, St Louis, MO 63130 USA; [Floss, C.] Washington Univ, Dept Phys, St Louis, MO 63130 USA; [Yada, T.] Japan Aerosp Explorat Agcy, Inst Space &amp; Astronaut Sci, Sagamihara, Kanagawa 2525210, Japan</t>
  </si>
  <si>
    <t>Washington University (WUSTL); Washington University (WUSTL); Washington University (WUSTL); Japan Aerospace Exploration Agency (JAXA); Institute of Space &amp; Astronautical Science (ISAS)</t>
  </si>
  <si>
    <t>haenecour@wustl.edu</t>
  </si>
  <si>
    <t>A150</t>
  </si>
  <si>
    <t>WOS:000341914200147</t>
  </si>
  <si>
    <t>Hirowatari, T; Nakamura, T; Tazawa, K; Kimura, Y; Insu, A; Lee, JI</t>
  </si>
  <si>
    <t>Hirowatari, T.; Nakamura, T.; Tazawa, K.; Kimura, Y.; Insu, A.; Lee, J. I.</t>
  </si>
  <si>
    <t>MINERALOGICAL AND CHEMICAL STUDY OF MICROMETEORITES RECOVERED FROM THE ANTARCTIC SURFACE SNOW</t>
  </si>
  <si>
    <t>CARBONACEOUS CHONDRITE; MATRIX MINERALOGY; TAGISH LAKE</t>
  </si>
  <si>
    <t>[Hirowatari, T.; Nakamura, T.; Tazawa, K.] Tohoku Univ, Grad Sch Sci, Dept Earth &amp; Planetary Sci, Sendai, Miyagi 980, Japan; [Kimura, Y.] Hokkaido Univ, Inst Low Temp Sci, Sapporo, Hokkaido 060, Japan; [Insu, A.; Lee, J. I.] Korea Polar Res Inst, Div Polar Earth Syst Sci, Pusan, South Korea</t>
  </si>
  <si>
    <t>Tohoku University; Hokkaido University; Korea Polar Research Institute (KOPRI)</t>
  </si>
  <si>
    <t>b4sm6027@s.tohoku.ac.jp</t>
  </si>
  <si>
    <t>Kimura, Yuki/J-9635-2014</t>
  </si>
  <si>
    <t>A168</t>
  </si>
  <si>
    <t>WOS:000341914200165</t>
  </si>
  <si>
    <t>Kakazu, Y; Engrand, C; Duprat, J; Briani, G; Bardin, N; Mostefaoui, S; Duhamel, R; Remusat, L</t>
  </si>
  <si>
    <t>Kakazu, Y.; Engrand, C.; Duprat, J.; Briani, G.; Bardin, N.; Mostefaoui, S.; Duhamel, R.; Remusat, L.</t>
  </si>
  <si>
    <t>BULK OXYGEN ISOTOPIC COMPOSITION OF ULTRA CARBONACEOUS ANTARCTIC MICROMETEORITES WITH THE NANOSIMS.</t>
  </si>
  <si>
    <t>CHONDRITES; SNOW</t>
  </si>
  <si>
    <t>[Kakazu, Y.; Engrand, C.; Duprat, J.; Briani, G.; Bardin, N.] Univ Paris 11, CNRS, CSNSM, F-91405 Orsay, France; [Mostefaoui, S.; Duhamel, R.; Remusat, L.] Univ Paris 04, IMPMC CNRS, UPMC, MNHN,IRD Paris, F-75230 Paris 05, France</t>
  </si>
  <si>
    <t>Centre National de la Recherche Scientifique (CNRS); Universite Paris Saclay; Sorbonne Universite; Institut de Recherche pour le Developpement (IRD); Museum National d'Histoire Naturelle (MNHN)</t>
  </si>
  <si>
    <t>Yuki.Kakazu@csnsm.in2p3.fr</t>
  </si>
  <si>
    <t>Remusat, Laurent/0009-0008-6423-6254</t>
  </si>
  <si>
    <t>A195</t>
  </si>
  <si>
    <t>WOS:000341914200192</t>
  </si>
  <si>
    <t>Spring, NH; Busemann, H; Crowther, SA; Gilmour, JD</t>
  </si>
  <si>
    <t>Spring, N. H.; Busemann, H.; Crowther, S. A.; Gilmour, J. D.</t>
  </si>
  <si>
    <t>TRAPPED XENON IN INTERPLANETARY DUST PARTICLES AND ANTARCTIC MICROMETEORITES</t>
  </si>
  <si>
    <t>NOBLE-GASES; SYSTEM; SNOW</t>
  </si>
  <si>
    <t>[Spring, N. H.; Busemann, H.; Crowther, S. A.; Gilmour, J. D.] Univ Manchester, SEAES, Manchester M13 9PL, Lancs, England</t>
  </si>
  <si>
    <t>University of Manchester</t>
  </si>
  <si>
    <t>nicole.spring@gmail.com</t>
  </si>
  <si>
    <t>Gilmour, Jamie Duncan/G-7515-2011; Crowther, Sarah A/P-7082-2014</t>
  </si>
  <si>
    <t>Crowther, Sarah A/0000-0002-5396-1775; Gilmour, Jamie/0000-0003-1990-8636</t>
  </si>
  <si>
    <t>A375</t>
  </si>
  <si>
    <t>WOS:000341914200372</t>
  </si>
  <si>
    <t>Cartwright, JA; Ott, U; Mittlefehldt, DW</t>
  </si>
  <si>
    <t>Cartwright, J. A.; Ott, U.; Mittlefehldt, D. W.</t>
  </si>
  <si>
    <t>The quest for regolithic howardites. Part 2: Surface origins highlighted by noble gases</t>
  </si>
  <si>
    <t>CARBONACEOUS CHONDRITE CLASTS; CALCIUM-RICH ACHONDRITES; PARENT BODY REGOLITH; RAY EXPOSURE AGES; PRODUCTION-RATES; COSMOGENIC NEON; BASALTIC ACHONDRITES; COLLISIONAL HISTORY; KAPOETA HOWARDITE; PRESOLAR DIAMONDS</t>
  </si>
  <si>
    <t>We report noble gas data of helium (He), neon (Ne), argon (Ar), krypton (Kr) and xenon (Xe), cosmic ray exposure (CRE) ages and nominal gas retention (K Ar, U Th He) ages for seven howardites (CRE 01400, EET 87513, EET 87518, EET 99400, GRO 95535, GRO 95602, SAN 03472), in continuing research to identify regolithic samples, and better understand the vestan regolith. In our previous work, we found little correlation between suggested regolith parameters of Ni &gt; 300 mu g/g, Al2O3 8-9 wt% and eucrite/diogenite (E:D) ratio of 2:1 (Warren et al., 2009), and trapped solar wind (SW), fractionated solar wind (FSW) or planetary noble gas components (from impacted material) -noble gas indicators of a regolithic origin. Here, we have expanded our data set to include samples outside of these parameters to further explore composition, and the differences in Ni content as indicators for the presence of non-Vesta material. In addition, our sample set includes two potentially paired meteorites from the GRO suite. Finally, in our petrographic studies, the samples selected showed no evidence for carbonaceous chondrite fragments, which should reduce the effect of contamination by planetary noble gas components, and will allow us to better identify SW/FSW components, where present. Of the samples studied here, three howardites GRO 95535, GRO 95602 and EET 87513 show evidence for a regolithic origin, with both isotopic and element noble gas ratios clearly pointing to the presence of trapped components similar to SW/FSW or planetary. The two GRO howardites, GRO 95535 and GRO 95602, show similar noble gas ratios to our previously defined SW/FSW dominated regolithic group (LEW 85313 and MET 00423), suggesting a surface origin for these samples. However, interestingly, the GRO samples show vastly different cosmogenic noble gas abundances, and thus different CRE ages, which suggests that they are not paired. For howardite EET 87513, the data hint to the presence of CM-material, with a neon release pattern similar to our defined planetary/FSW dominated regolithic group (CM-rich samples PRA 04401, SCO 06040). Our petrological investigations found no evidence for CM fragments within EET 87513, though a single clast was reported previously (Buchanan et al., 1993). Aside from the Ne release pattern, the remaining noble gas data show more similarity with SW/FSW components. The remaining four howardites CRE 01400, EET 87518, EET 99400, and SAN 03472 and are dominated by cosmogenic noble gases, and show no evidence for a regolithic origin. Our data suggest that a CM-composition is likely present in all samples to some degree, but that this can be overprinted by SW components or cosmogenic components obtained in situ on the vestan surface or during transit to Earth respectively. The presence of CM material is an important parameter for understanding the evolution of Vesta's surface. While we have uncovered three further regolithic howardites (similar to 13 regolithic total, of similar to 41 analysed), further noble gas analysis of HED meteorites is needed to not only determine regolithic origins, but to better characterise the abundance of carbonaceous chondrite material and its effect on the noble gas signatures of such samples. (C) 2014 Elsevier Ltd. All rights reserved.</t>
  </si>
  <si>
    <t>[Cartwright, J. A.; Ott, U.] Max Planck Inst Chem, D-55128 Mainz, Germany; [Cartwright, J. A.] CALTECH, Div Geol &amp; Planetary Sci, Pasadena, CA 91125 USA; [Ott, U.] Univ West Hungary, H-9700 Szombathely, Hungary; [Mittlefehldt, D. W.] NASA, Lyndon B Johnson Space Ctr, Astromat Res Off, Houston, TX 77058 USA</t>
  </si>
  <si>
    <t>Max Planck Society; California Institute of Technology; National Aeronautics &amp; Space Administration (NASA); NASA Johnson Space Center</t>
  </si>
  <si>
    <t>Cartwright, JA (corresponding author), CALTECH, Div Geol &amp; Planetary Sci, MC 100-23,1200 E Calif Blvd, Pasadena, CA 91125 USA.</t>
  </si>
  <si>
    <t>jac@caltech.edu</t>
  </si>
  <si>
    <t>Ott, Ulrich/ABH-2337-2020; Cartwright, Julia A/A-8470-2013; Mittlefehldt, David/JUV-2877-2023</t>
  </si>
  <si>
    <t>Ulrich, Ott/0000-0003-3574-9591</t>
  </si>
  <si>
    <t>National Science Foundation (USA)</t>
  </si>
  <si>
    <t>National Science Foundation (USA)(National Science Foundation (NSF))</t>
  </si>
  <si>
    <t>We thank the National Science Foundation (USA) for funding the ANSMET collecting teams that brought back the Antarctic samples studied here, and the Meteorite Working Group, NASA-Johnson Space Center and the National Museum of Natural History (Smithsonian Institution) for allocation of the samples. We are grateful to K. McBride and C. Satterwhite for extraction of the samples used in this work. DWM's participation in this project, and bulk sample major and trace element analyses were funded through NASA's Cosmochemistry Program.</t>
  </si>
  <si>
    <t>SEP 1</t>
  </si>
  <si>
    <t>10.1016/j.gca.2014.05.033</t>
  </si>
  <si>
    <t>AP2SP</t>
  </si>
  <si>
    <t>WOS:000341925300031</t>
  </si>
  <si>
    <t>Feuerecker, M; Crucian, B; Salam, AP; Rybka, A; Kaufmann, I; Moreels, M; Quintens, R; Schelling, G; Thiel, M; Baatout, S; Sams, C; Choukèr, A</t>
  </si>
  <si>
    <t>Feuerecker, Matthias; Crucian, Brian; Salam, Alex P.; Rybka, Ales; Kaufmann, Ines; Moreels, Marjan; Quintens, Roel; Schelling, Gustav; Thiel, Manfred; Baatout, Sarah; Sams, Clarence; Chouker, Alexander</t>
  </si>
  <si>
    <t>Early Adaption to the Antarctic Environment at Dome C: Consequences on Stress-Sensitive Innate Immune Functions</t>
  </si>
  <si>
    <t>HIGH ALTITUDE MEDICINE &amp; BIOLOGY</t>
  </si>
  <si>
    <t>adenosine; Antarctica; hormones; hypobaric hypoxia; polymorphonuclear leukocytes (PMNs)</t>
  </si>
  <si>
    <t>HYPOXIA; ALTITUDE; RECEPTORS; CORTISOL; MEGAKARYOCYTOPOIESIS; AFFINITY; SOCIETY</t>
  </si>
  <si>
    <t>Purpose/Aims: Medical reports of Antarctic expeditions indicate that health is affected under these extreme conditions. The present study at CONCORDIA-Station (Dome C, 3233 m) seeks to investigate the early consequences of confinement and hypobaric hypoxia on the human organism. Methods: Nine healthy male participants were included in this study. Data collection occurred before traveling to Antarctica (baseline), and at 1 week and 1 month upon arrival. Investigated parameters included basic physiological variables, psychological stress tests, cell blood count, stress hormones, and markers of innate immune functions in resting and stimulated immune cells. By testing for the hydrogen peroxide (H2O2) production of stimulated polymorphonuclear leukocytes (PMNs), the effects of the hypoxia-adenosine-sensitive immune modulatory pathways were examined. Results: As compared to baseline data, reduced oxygen saturation, hemoconcentration, and an increase of secreted catecholamines was observed, whereas no psychological stress was seen. Upon stimulation, the activity of PMNs and L-selectin shedding was mitigated after 1 week. Endogenous adenosine concentration was elevated during the early phase. In summary, living conditions at high altitude influence the innate immune system's response. After 1 month, some of the early effects on the human organism were restored. Conclusion: As this early adaptation is not related to psychological stress, the changes observed are likely to be induced by environmental stressors, especially hypoxia. As hypoxia is triggering ATP-catabolism, leading to elevated endogenous adenosine concentrations, this and the increased catecholamine concentration might contribute to the early, but reversible downregulation of innate immune functions. This indicates the slope of innate immune adaptation to hypoxia.</t>
  </si>
  <si>
    <t>[Feuerecker, Matthias; Kaufmann, Ines; Schelling, Gustav; Chouker, Alexander] Univ Munich, Dept Anaesthesiol, Klinikum Grosshadern, Res Grp Stress &amp; Immun, D-81377 Munich, Germany; [Crucian, Brian; Sams, Clarence] NASA, Lyndon B Johnson Space Ctr, Houston, TX 77058 USA; [Salam, Alex P.; Rybka, Ales] European Space Agcy, Concordia, Dome, France; [Salam, Alex P.] Univ Oxford, Inst Cognit &amp; Evolutionary Anthropol, London, England; [Moreels, Marjan; Quintens, Roel; Baatout, Sarah] CEN SCK, Belgian Nucl Res Ctr, Radiobiol Unit, B-2400 Mol, Belgium; [Thiel, Manfred] Heidelberg Univ, Fac Med, Dept Anaesthesiol &amp; Intens Care, Mannheim, Germany; [Baatout, Sarah] Univ Ghent, Dept Mol Biotechnol, Ghent, Belgium</t>
  </si>
  <si>
    <t>University of Munich; National Aeronautics &amp; Space Administration (NASA); NASA Johnson Space Center; European Space Agency; University of Oxford; Belgian Nuclear Research Centre (SCK CEN); Ruprecht Karls University Heidelberg; Ghent University</t>
  </si>
  <si>
    <t>Choukèr, A (corresponding author), Univ Munich, Dept Anaesthesiol, Marchioninistr 15, D-81377 Munich, Germany.</t>
  </si>
  <si>
    <t>alexander.chouker@med.uni-muenchen.de</t>
  </si>
  <si>
    <t>Quintens, Roel/G-5339-2017</t>
  </si>
  <si>
    <t>Quintens, Roel/0000-0002-4359-3403; Rybka, Ales/0000-0001-6402-6785; Baatout, Sarah/0000-0001-8110-751X</t>
  </si>
  <si>
    <t>European Space Agency; French (IPEV) polar institute; Italian (PNRA) polar institute; German National Space Program (DLR) [50WB0719/WB0919]; 2 PRODEX/BELSPO/ESA [C90-391, 42-000-90-380]; NASA (JSC)</t>
  </si>
  <si>
    <t>European Space Agency(European Space Agency); French (IPEV) polar institute; Italian (PNRA) polar institute; German National Space Program (DLR)(Helmholtz AssociationGerman Aerospace Centre (DLR)); 2 PRODEX/BELSPO/ESA; NASA (JSC)(National Aeronautics &amp; Space Administration (NASA))</t>
  </si>
  <si>
    <t>The authors are grateful to the support from the European Space Agency (ESA ELIPS 3 and 4 programs), the French (IPEV) and Italian (PNRA) polar institutes, and the German National Space Program (DLR, 50WB0719/WB0919). This research was also financially supported by the 2 PRODEX/BELSPO/ESA contracts (C90-391 and 42-000-90-380) and NASA (JSC).</t>
  </si>
  <si>
    <t>MARY ANN LIEBERT, INC</t>
  </si>
  <si>
    <t>NEW ROCHELLE</t>
  </si>
  <si>
    <t>140 HUGUENOT STREET, 3RD FL, NEW ROCHELLE, NY 10801 USA</t>
  </si>
  <si>
    <t>1527-0297</t>
  </si>
  <si>
    <t>1557-8682</t>
  </si>
  <si>
    <t>HIGH ALT MED BIOL</t>
  </si>
  <si>
    <t>High Alt. Med. Biol.</t>
  </si>
  <si>
    <t>10.1089/ham.2013.1128</t>
  </si>
  <si>
    <t>Biophysics; Public, Environmental &amp; Occupational Health; Sport Sciences</t>
  </si>
  <si>
    <t>AP5ZL</t>
  </si>
  <si>
    <t>WOS:000342157100009</t>
  </si>
  <si>
    <t>Assmy, P; Cisewski, B; Henjes, J; Klaas, C; Montresor, M; Smetacek, V</t>
  </si>
  <si>
    <t>Assmy, Philipp; Cisewski, Boris; Henjes, Joachim; Klaas, Christine; Montresor, Marina; Smetacek, Victor</t>
  </si>
  <si>
    <t>Response of the protozooplankton assemblage during the European Iron Fertilization Experiment (EIFEX) in the Antarctic circumpolar current</t>
  </si>
  <si>
    <t>JOURNAL OF PLANKTON RESEARCH</t>
  </si>
  <si>
    <t>protozoa; rhizaria; sarcodines; Southern Ocean; top-down control</t>
  </si>
  <si>
    <t>INDUCED PHYTOPLANKTON BLOOM; POLAR FRONTAL ZONE; MICROBIAL FOOD-WEB; SOUTHERN-OCEAN; FEEDING ECOLOGY; PHAEODARIAN RADIOLARIANS; DIATOM BLOOM; GROWTH-RATES; PALEOENVIRONMENTAL RECONSTRUCTIONS; LARGER PROTOZOOPLANKTON</t>
  </si>
  <si>
    <t>Ocean iron fertilization experiments enable the quantitative study of processes shaping the structure and functioning of pelagic ecosystems following perturbation under in situ conditions. EIFEX was conducted within a stationary eddy adjacent to the Antarctic Polar Front over 38 days in February/March 2004 and induced a massive diatom bloom. Here, we present the responses in abundance and biomass of all identifiable protozooplankton taxa (heterotrophic protists ranging from 2 to 500 mm) during the bloom. Acantharia, dinoflagellates and ciliates together contributed &gt;90% of protozooplankton biomass in the upper 100 m throughout the experiment with heterotrophic nanoflagellates, nassellaria, spumellaria, phaeodaria, foraminifera and the taxopodidean Sticholonche zanclea providing the remainder. Total protozooplankton biomass increased slightly from 1.0 to 1.3 g C m(-2) within the fertilized patch and remained at 0.7+0.04 g C m(-2) outside it. However, distinct trends in population build-up or decline were observed within the dominant taxa in each group. In general, smaller less-defended groups such as aloricate ciliates and athecate dinoflagellates declined, whereas the biomass of large, spiny and armoured groups, in particular acantharia, large tintinnids and thecate dinoflagellates increased inside the patch. We attribute the higher accumulation rates of defended taxa to selective, heavy grazing pressure by the large stocks of copepods. Of the defended taxa, acantharia had the lowest mortality rates and the highest biomass. Large stocks of tintinnid loricae in the deep water column identify this group as a relevant contributor to deep organic carbon export. Highest accumulation rates (0.11 day(-1)) were recorded in S. zanclea.</t>
  </si>
  <si>
    <t>[Assmy, Philipp] Norwegian Polar Res Inst, Fram Ctr, N-9296 Tromso, Norway; [Assmy, Philipp; Klaas, Christine; Smetacek, Victor] Alfred Wegener Inst Helmholtz Ctr Polar &amp; Marine, D-27570 Bremerhaven, Germany; [Cisewski, Boris] Thunen Inst Sea Fisheries, D-22767 Hamburg, Germany; [Henjes, Joachim] IMARE Inst Marine Resources Gmbh, D-27570 Bremerhaven, Germany; [Montresor, Marina] Stn Zool A Dohrn, I-80121 Naples, Italy</t>
  </si>
  <si>
    <t>Norwegian Polar Institute; Helmholtz Association; Alfred Wegener Institute, Helmholtz Centre for Polar &amp; Marine Research; Johann Heinrich von Thunen Institute; Stazione Zoologica Anton Dohrn di Napoli</t>
  </si>
  <si>
    <t>Assmy, P (corresponding author), Norwegian Polar Res Inst, Fram Ctr, N-9296 Tromso, Norway.</t>
  </si>
  <si>
    <t>philipp.assmy@npolar.no</t>
  </si>
  <si>
    <t>Cisewski, Boris/GWV-4320-2022</t>
  </si>
  <si>
    <t>Cisewski, Boris/0000-0002-1130-6107; Klaas, Christine/0000-0002-6679-8970; Montresor, Marina/0000-0002-2475-1787; Henjes, Joachim/0000-0002-6688-8802</t>
  </si>
  <si>
    <t>Centre for Ice, Climate and Ecosystems (ICE) at the Norwegian Polar Institute; Alfred Wegener Institute Helmholtz Centre for Polar and Marine Research</t>
  </si>
  <si>
    <t>This work was supported by Centre for Ice, Climate and Ecosystems (ICE) at the Norwegian Polar Institute and the Alfred Wegener Institute Helmholtz Centre for Polar and Marine Research.</t>
  </si>
  <si>
    <t>0142-7873</t>
  </si>
  <si>
    <t>1464-3774</t>
  </si>
  <si>
    <t>J PLANKTON RES</t>
  </si>
  <si>
    <t>J. Plankton Res.</t>
  </si>
  <si>
    <t>10.1093/plankt/fbu068</t>
  </si>
  <si>
    <t>Marine &amp; Freshwater Biology; Oceanography</t>
  </si>
  <si>
    <t>AP7CJ</t>
  </si>
  <si>
    <t>WOS:000342235000002</t>
  </si>
  <si>
    <t>Hirst, AG; Keister, JE; Richardson, AJ; Ward, P; Shreeve, RS; Escribano, R</t>
  </si>
  <si>
    <t>Hirst, A. G.; Keister, J. E.; Richardson, A. J.; Ward, P.; Shreeve, R. S.; Escribano, R.</t>
  </si>
  <si>
    <t>Re-assessing copepod growth using the Moult Rate method</t>
  </si>
  <si>
    <t>copepod; error; growth; modified Moult Rate</t>
  </si>
  <si>
    <t>BENGUELA UPWELLING SYSTEM; POPULATION-DYNAMICS; CALANOID COPEPOD; SECONDARY PRODUCTION; PLANKTONIC COPEPODS; EGG-PRODUCTION; INLAND SEA; BODY-SIZE; PHYTOPLANKTON CONCENTRATION; PSEUDOCALANUS SP</t>
  </si>
  <si>
    <t>Estimating growth and production rates of mesozooplankton, and copepods in particular, is important in describing flows of material and energy though pelagic systems. Over the past 30 years, the Moult Rate (MR) method has been used to estimate juvenile copepod growth rates in similar to 40 papers. Yet the MR method has been shown to have serious flaws. Here we re-examine the results from the majority of published MR method studies and re-estimate growth rates using the modified Moult Rate (MMR) method, which ascribes changes in mass to the appropriate time period over which it was accrued. The MR method has typically over-estimated growth rates (on 80% of occasions) for life stages where the subsequent stage is actively moulting; the median and mean MRvalues are 138 and 164%, respectively, of the corrected MMR values. We were unable to correct the original data for life stages that are followed by a non-moulting stage, e. g. copepodite stage 5 to adult. We performed experiments with Calanus pacificus to estimate growth of stage C5 using an alternative method. We found that the error size and sign varied between mass type (i.e. DW, C and N). Recommendations for practical future assessments of growth in copepods are made.</t>
  </si>
  <si>
    <t>[Hirst, A. G.] Queen Mary Univ London, Sch Biol &amp; Chem Sci, London, England; [Hirst, A. G.] Tech Univ Denmark, Natl Inst Aquat Resources, Ctr Ocean Life, DK-2920 Charlottenlund, Denmark; [Keister, J. E.] Univ Washington, Sch Oceanog, Seattle, WA 98195 USA; [Richardson, A. J.] CSIRO Marine &amp; Atmospher Res, Ecosci Precinct, Wealth Oceans Flagship, Dutton Pk, Qld 4102, Australia; [Richardson, A. J.] Univ Queensland, Sch Math &amp; Phys, Ctr Applicat Nat Resource Math CARM, St Lucia, Qld 4072, Australia; [Ward, P.; Shreeve, R. S.] British Antarctic Survey, Nat Environm Res Council, Cambridge CB3 0ET, England; [Escribano, R.] Univ Concepcion, IMO, Concepcion, Chile</t>
  </si>
  <si>
    <t>University of London; Queen Mary University London; Technical University of Denmark; University of Washington; University of Washington Seattle; Commonwealth Scientific &amp; Industrial Research Organisation (CSIRO); University of Queensland; UK Research &amp; Innovation (UKRI); Natural Environment Research Council (NERC); NERC British Antarctic Survey; Universidad de Concepcion</t>
  </si>
  <si>
    <t>Hirst, AG (corresponding author), Queen Mary Univ London, Sch Biol &amp; Chem Sci, London, England.</t>
  </si>
  <si>
    <t>a.g.hirst@qmul.ac.uk</t>
  </si>
  <si>
    <t>Keister, Julie/J-8720-2012; Keister, Julie/AAD-5734-2019; Richardson, Anthony J/B-3649-2010; Escribano, Ruben/IAN-0878-2023; Hirst, Andrew G/A-6296-2013</t>
  </si>
  <si>
    <t>Keister, Julie/0000-0002-9385-5889; Keister, Julie/0000-0002-9385-5889; Richardson, Anthony J/0000-0002-9289-7366; Hirst, Andrew/0000-0001-9132-1886; Escribano, Ruben/0000-0002-9843-7723</t>
  </si>
  <si>
    <t>School of Biological and Chemical Sciences, Queen Mary University of London; School of Oceanography, University of Washington, Seattle; Villum Fonden [00007178] Funding Source: researchfish</t>
  </si>
  <si>
    <t>School of Biological and Chemical Sciences, Queen Mary University of London; School of Oceanography, University of Washington, Seattle(University of Washington); Villum Fonden(Villum Fonden)</t>
  </si>
  <si>
    <t>A.G.H. was funded by the School of Biological and Chemical Sciences, Queen Mary University of London. J.E.K. was funded by the School of Oceanography, University of Washington, Seattle.</t>
  </si>
  <si>
    <t>10.1093/plankt/fbu045</t>
  </si>
  <si>
    <t>WOS:000342235000006</t>
  </si>
  <si>
    <t>North, CA; Lovvorn, JR; Kolts, JM; Brooks, ML; Cooper, LW; Grebmeier, JM</t>
  </si>
  <si>
    <t>North, Christopher A.; Lovvorn, James R.; Kolts, Jason M.; Brooks, Marjorie L.; Cooper, Lee W.; Grebmeier, Jacqueline M.</t>
  </si>
  <si>
    <t>Deposit-feeder diets in the Bering Sea: potential effects of climatic loss of sea ice-related microalgal blooms</t>
  </si>
  <si>
    <t>ECOLOGICAL APPLICATIONS</t>
  </si>
  <si>
    <t>benthic invertebrates; diet biomarkers; fatty acids; ice algae; invertebrate gut contents; microbial food webs; organic matter deposition; phytoplankton bloom; polar benthos; sea ice loss; sediment food banks; stable isotopes</t>
  </si>
  <si>
    <t>FATTY-ACID-COMPOSITION; ORGANIC-MATTER; FOOD QUALITY; SEASONAL-VARIATION; CHUKCHI SEAS; NITROGEN ISOTOPES; YOLDIA-HYPERBOREA; FEEDING BIOLOGY; ANTARCTIC SHELF; PROTECTED AREAS</t>
  </si>
  <si>
    <t>Climate warming in seasonally ice-covered seas is expected to reduce the extent and duration of annual sea ice. Resulting changes in sea ice related blooms of ice algae or phytoplankton may in turn alter the timing, magnitude, or quality of organic matter inputs to the sea floor. If benthic taxa rely differently on direct consumption of settling fresh microalgae for growth and reproduction, altered blooms may lead to reorganization of deposit-feeding assemblages. To assess the potential for such changes, we examined the diets of five abundant deposit-feeders (three infaunal bivalves, a polychaete, and a brittle star) with different feeding modes over the course of the spring bloom in May-June 2007 in the north-central Bering Sea (30-90 m depth). Short-term data from gut contents reflected feeding modes, with the bivalves Macoma calcarea, Ennucula tenuis, and Nuculana radiata, and the brittle star Ophiura sarsi, responding more quickly to deposition of fresh algae than did the head-down polychaete Pectinaria hyperborea. Fatty acid biomarkers also indicated rapid ingestion of settling algae by the bivalves (especially Macoma) and the brittle star, while Pectinaria continued to ingest mainly bacteria. Fatty acid biomarkers did not indicate any unique dietary importance of ice algae released from melting ice. Longer-term inference from stable isotopes suggested that fresh microalgae contributed little to overall carbon assimilated by any of these species. Instead, deposit-feeders appeared to select a consistent fraction from the pool of sediment organic matter, probably heterotrophic microbes, microbial products, and reworked phytodetritus that form a longer-term sediment food bank. Redistribution of settled organic matter via scouring and accumulation by currents, as well as the multi-year life spans of macroinvertebrates, may further overwhelm effects of short-term variations in the timing, magnitude, and dispersion of blooms in the water column. More diet data are needed from midsummer to account for any lag in assimilation of fresh microalgae at these cold temperatures. Nevertheless, our results suggest that if annual sea ice cover is reduced, increased production of phytoplankton during longer ice-free periods could replace inputs of ice-associated microalgae to the sediment food bank used by deposit-feeders.</t>
  </si>
  <si>
    <t>[North, Christopher A.; Kolts, Jason M.] Univ Wyoming, Dept Zool &amp; Physiol, Laramie, WY 82071 USA; [North, Christopher A.] Univ Wyoming, Program Ecol, Laramie, WY 82071 USA; [Lovvorn, James R.; Brooks, Marjorie L.] So Illinois Univ, Dept Zool, Carbondale, IL 62901 USA; [Lovvorn, James R.; Brooks, Marjorie L.] So Illinois Univ, Ctr Ecol, Carbondale, IL 62901 USA; [Cooper, Lee W.; Grebmeier, Jacqueline M.] Univ Maryland, Ctr Environm Sci, Chesapeake Biol Lab, Solomons, MD 20688 USA</t>
  </si>
  <si>
    <t>University of Wyoming; University of Wyoming; Southern Illinois University System; Southern Illinois University; Southern Illinois University System; Southern Illinois University; University System of Maryland; University of Maryland Center for Environmental Science</t>
  </si>
  <si>
    <t>North, CA (corresponding author), Univ Wyoming, Dept Zool &amp; Physiol, 1000 E Univ Ave, Laramie, WY 82071 USA.</t>
  </si>
  <si>
    <t>cnorth@uwyo.edu</t>
  </si>
  <si>
    <t>Brooks, Marjorie L/M-5692-2014; Cooper, Lee W./E-5251-2012; Grebmeier, Jacqueline/L-9805-2013</t>
  </si>
  <si>
    <t>Cooper, Lee W./0000-0001-7734-8388; Grebmeier, Jacqueline/0000-0001-7624-3568</t>
  </si>
  <si>
    <t>Department of Zoology and Physiology and Program in Ecology at the University of Wyoming; U.S. National Science Foundation, Office of Polar Programs [ARC-0454454]; North Pacific Research Board [713]</t>
  </si>
  <si>
    <t>Department of Zoology and Physiology and Program in Ecology at the University of Wyoming; U.S. National Science Foundation, Office of Polar Programs(National Science Foundation (NSF)); North Pacific Research Board</t>
  </si>
  <si>
    <t>We thank the officers and crew of the USCGC Healy for superb logistical support. B. I. Sirenko, E. A. Anderson, A. Roe Fujikama, M. Foster, H. Julien-Thon, C. Quitmeyer, L. Bass, K. Anderson Blomberg, H. Papczun-Farina, D. Watson, J. Borzea, and K. Hammond provided dedicated shipboard and laboratory assistance. Staff of the Budge lab at Dalhousie University and the Stable Isotope Facility at the University of Wyoming provided advice and training in laboratory methods. We also thank two anonymous reviewers for thoughtful comments and suggestions that improved the manuscript. C. A. North thanks the Department of Zoology and Physiology and Program in Ecology at the University of Wyoming for graduate support via assistantships and fellowships. Major funding was provided by the U.S. National Science Foundation, Office of Polar Programs grant ARC-0454454 to J. R. Lovvorn, J. M. Grebmeier, and L. W. Cooper, and North Pacific Research Board grant No. 713 to J. R. Lovvorn. This is NPRB Publication 467.</t>
  </si>
  <si>
    <t>1051-0761</t>
  </si>
  <si>
    <t>1939-5582</t>
  </si>
  <si>
    <t>ECOL APPL</t>
  </si>
  <si>
    <t>Ecol. Appl.</t>
  </si>
  <si>
    <t>10.1890/13-0486.1</t>
  </si>
  <si>
    <t>Ecology; Environmental Sciences</t>
  </si>
  <si>
    <t>Environmental Sciences &amp; Ecology</t>
  </si>
  <si>
    <t>AO9YE</t>
  </si>
  <si>
    <t>WOS:000341715800020</t>
  </si>
  <si>
    <t>Gil, AF; Villalba, R; Ugan, A; Cortegoso, V; Neme, G; Michieli, CT; Novellino, P; Durán, V</t>
  </si>
  <si>
    <t>Gil, Adolfo F.; Villalba, Ricardo; Ugan, Andrew; Cortegoso, Valeria; Neme, Gustavo; Teresa Michieli, Catalina; Novellino, Paula; Duran, Victor</t>
  </si>
  <si>
    <t>Isotopic evidence on human bone for declining maize consumption during the little ice age in central western Argentina</t>
  </si>
  <si>
    <t>JOURNAL OF ARCHAEOLOGICAL SCIENCE</t>
  </si>
  <si>
    <t>Maize; Subtropical Andes; Central western Argentina; Diet; Climate; Farming; Foraging; Stable isotopes; Carbon isotopes; Late Holocene; Little ice age</t>
  </si>
  <si>
    <t>STABLE-ISOTOPES; CENTRAL CHILE; RADIOISOTOPE CHEMISTRY; CARBON ISOTOPES; SOUTHERN ANDES; COLLAGEN; DIET; VARIABILITY; CLIMATE; MODEL</t>
  </si>
  <si>
    <t>This paper explores variation in maize consumption among human societies in arid environments of central-western Argentina over the last 2500 years. Increasingly positive human delta C-13 signatures suggest a high intake of C-4 resources (maize) until ca. A.D. 1400. After this time, the importance of maize in the diet drops and never reaches pre-Hispanic consumption rates, despite the known importance of maize to Inka and other late-prehistoric societies in the region. This decline appears to be related to colder temperatures during the Little Ice Age from the beginning of the 15th to the mid19th centuries. (C) 2014 Elsevier Ltd. All rights reserved.</t>
  </si>
  <si>
    <t>[Gil, Adolfo F.; Neme, Gustavo] Museo Hist Nat San Rafael, CONICET IANIGLA, Mendoza, Argentina; [Gil, Adolfo F.] UNCuyo, Mendoza, Argentina; [Villalba, Ricardo] CCT CONICET, CONICET IANIGLA, Mendoza, Argentina; [Ugan, Andrew] Far Western ARG, Davis, CA USA; [Ugan, Andrew] Univ Utah, Salt Lake City, UT USA; [Ugan, Andrew] Museo Hist Nat San Rafael, Mendoza, Argentina; [Cortegoso, Valeria; Duran, Victor] Univ Nacl Cuyo, CONICET Fac Filosofia &amp; Letras, RA-5500 Mendoza, Argentina; [Teresa Michieli, Catalina] UNSJ, Inst Invest Arqueol &amp; Museo Prof Mariano Gambier, Fac Filosofia Humanidades &amp; Artes, San Juan, Argentina; [Novellino, Paula] CONICET Museo Ciencias Nat &amp; Antropol JC Moyano, Mendoza, Argentina</t>
  </si>
  <si>
    <t>Consejo Nacional de Investigaciones Cientificas y Tecnicas (CONICET); University Nacional Cuyo Mendoza; Consejo Nacional de Investigaciones Cientificas y Tecnicas (CONICET); University Nacional Cuyo Mendoza; Utah System of Higher Education; University of Utah; University Nacional Cuyo Mendoza</t>
  </si>
  <si>
    <t>Gil, AF (corresponding author), Museo Hist Nat San Rafael, CONICET IANIGLA, Parque Mariano Moreno, Mendoza, Argentina.</t>
  </si>
  <si>
    <t>agil@mendoza-conicet.gob.ar; ricardo@mendoza-conicet.gob.ar; gneme@mendoza-conicet.gob.ar; teresa.michieli@gmail.com; pnovel@hotmail.com; duranvic2@gmail.com</t>
  </si>
  <si>
    <t>Gil, Adolfo F./0000-0001-5718-8866; Villalba, Ricardo/0000-0001-8183-0310</t>
  </si>
  <si>
    <t>Consejo Nacional de Investigaciones Cientificas y Tecnicas; Agencia Nacional de Promocion de la Ciencia y la Tecnologia; National Science Foundation; Museo de Historia Natural de San Rafael; Inter American Institute for Global Change [IAI CRN02-047]</t>
  </si>
  <si>
    <t>Consejo Nacional de Investigaciones Cientificas y Tecnicas(Consejo Nacional de Investigaciones Cientificas y Tecnicas (CONICET)); Agencia Nacional de Promocion de la Ciencia y la Tecnologia(ANPCyT); National Science Foundation(National Science Foundation (NSF)); Museo de Historia Natural de San Rafael; Inter American Institute for Global Change</t>
  </si>
  <si>
    <t>Our research was funded by the following institutions: Consejo Nacional de Investigaciones Cientificas y Tecnicas, Agencia Nacional de Promocion de la Ciencia y la Tecnologia, National Science Foundation, Museo de Historia Natural de San Rafael and Inter American Institute for Global Change (IAI CRN02-047). Previous versions of this paper were presented in PAGES II International symposium Reconstructing Climate Variations in South America and the Antarctic Peninsula over the last 2000 years (Valdivia, 2010) and the Jornadas Cuyanas de Arqueologia (Mendoza, 2011). We thank five reviewers who made a critical reading and have provided important observations tried to consider. We thank Clara Abal (Museo Cornelio Moyano-Gobierno de Mendoza) Luis Ballarini (Museo de Historia Natural de San Rafael), and Juan Chilaca (Museo Regional de Malargue) because they give authorization to human archaeological collection access. Miguel Giardina and Gustavo Lucero help us develop figures included in this text.</t>
  </si>
  <si>
    <t>ACADEMIC PRESS LTD- ELSEVIER SCIENCE LTD</t>
  </si>
  <si>
    <t>24-28 OVAL RD, LONDON NW1 7DX, ENGLAND</t>
  </si>
  <si>
    <t>0305-4403</t>
  </si>
  <si>
    <t>1095-9238</t>
  </si>
  <si>
    <t>J ARCHAEOL SCI</t>
  </si>
  <si>
    <t>J. Archaeol. Sci.</t>
  </si>
  <si>
    <t>10.1016/j.jas.2014.05.009</t>
  </si>
  <si>
    <t>Anthropology; Archaeology; Geosciences, Multidisciplinary</t>
  </si>
  <si>
    <t>Science Citation Index Expanded (SCI-EXPANDED); Social Science Citation Index (SSCI); Arts &amp; Humanities Citation Index (A&amp;HCI)</t>
  </si>
  <si>
    <t>Anthropology; Archaeology; Geology</t>
  </si>
  <si>
    <t>AO6MU</t>
  </si>
  <si>
    <t>WOS:000341467000022</t>
  </si>
  <si>
    <t>Majewski, W; Gazdzicki, A</t>
  </si>
  <si>
    <t>Majewski, Wojciech; Gazdzicki, Andrzej</t>
  </si>
  <si>
    <t>Shallow water benthic foraminifera from the Polonez Cove Formation (lower Oligocene) of King George Island, West Antarctica</t>
  </si>
  <si>
    <t>MARINE MICROPALEONTOLOGY</t>
  </si>
  <si>
    <t>Microfossils; Foraminifera; Cenozoic; South Shetlands; Antarctica</t>
  </si>
  <si>
    <t>EAST ANTARCTICA; ROSS SEA; PENINSULA; PLIOCENE; STRATIGRAPHY; CRYOSPHERE; DIVERSITY; FACIES; RECORD; BAY</t>
  </si>
  <si>
    <t>We present the first description of benthic foraminifera from the lower Oligocene of the Antarctic Peninsula sector (South Shetlands) of West Antarctica. The single assemblage was collected at several sites and has no modern Antarctic analogue. It is dominated by robust calcareous species and represents a fan-delta front system. The assemblage includes a group of the most morphologically conservative Antarctic foraminifera known from other Cenozoic neritic sites around Antarctica, indicating their presence since at least the Eocene. Despite including some characteristic taxa, e.g., Ammoelphidiella sp., it is difficult to correlate this assemblage with any particular interval of the Ross Sea record, mainly because of a strong taxonomic imprint of a shallow water environment. (C) 2014 Elsevier B.V. All rights reserved.</t>
  </si>
  <si>
    <t>[Majewski, Wojciech; Gazdzicki, Andrzej] Polish Acad Sci, Inst Paleobiol, PL-00818 Warsaw, Poland</t>
  </si>
  <si>
    <t>Polish Academy of Sciences; Institute of Paleobiology of the Polish Academy of Sciences</t>
  </si>
  <si>
    <t>Majewski, W (corresponding author), Polish Acad Sci, Inst Paleobiol, Twarda 51-55, PL-00818 Warsaw, Poland.</t>
  </si>
  <si>
    <t>wmaj@twarda.pan.pl</t>
  </si>
  <si>
    <t>Andrzej, Gazdzicki/AAW-2137-2020; Majewski, Wojciech/D-9255-2017</t>
  </si>
  <si>
    <t>Andrzej, Gazdzicki/0000-0003-2001-3282; Majewski, Wojciech/0000-0002-5407-1782</t>
  </si>
  <si>
    <t>National Science Centre [2011/01/B/ST10/06956]</t>
  </si>
  <si>
    <t>National Science Centre(National Science Centre, Poland)</t>
  </si>
  <si>
    <t>We would like to thank Ewa Hara for support with sample processing. The latest stages of this study were supported by a grant of the National Science Centre, Poland no. 2011/01/B/ST10/06956. R. Mark Leckie and an anonymous reviewer provided helpful comments for improving this manuscript.</t>
  </si>
  <si>
    <t>0377-8398</t>
  </si>
  <si>
    <t>1872-6186</t>
  </si>
  <si>
    <t>MAR MICROPALEONTOL</t>
  </si>
  <si>
    <t>Mar. Micropaleontol.</t>
  </si>
  <si>
    <t>10.1016/j.marmicro.2014.05.003</t>
  </si>
  <si>
    <t>Paleontology</t>
  </si>
  <si>
    <t>AO6QA</t>
  </si>
  <si>
    <t>WOS:000341475400001</t>
  </si>
  <si>
    <t>Peng, ZG; Walter, JI; Aster, RC; Nyblade, A; Wiens, DA; Anandakrishnan, S</t>
  </si>
  <si>
    <t>Peng, Zhigang; Walter, Jacob I.; Aster, Richard C.; Nyblade, Andrew; Wiens, Douglas A.; Anandakrishnan, Sridhar</t>
  </si>
  <si>
    <t>Antarctic icequakes triggered by the 2010 Maule earthquake in Chile</t>
  </si>
  <si>
    <t>GLACIAL EARTHQUAKES; JAPAN; FLOW</t>
  </si>
  <si>
    <t>Seismic waves from distant, large earthquakes can almost instantaneously trigger shallow micro-earthquakes and deep tectonic tremor as they pass through Earth's crust(1). Such remotely triggered seismic activity mostly occurs in tectonically active regions. Triggered seismicity is generally considered to reflect shear failure on critically stressed fault planes and is thought to be driven by dynamic stress perturbations from both Love and Rayleigh types of surface seismic wave(2). Here we analyse seismic data from Antarctica in the six hours leading up to and following the 2010 M-w 8.8 Maule earthquake in Chile. We identify many high-frequency seismic signals during the passage of the Rayleigh waves generated by the Maule earthquake, and interpret them as small icequakes triggered by the Rayleigh waves. The source locations of these triggered icequakes are difficult to determine owing to sparse seismic network coverage, but the triggered events generate surface waves, so are probably formed by near-surface sources. Our observations are consistent with tensile fracturing of near-surface ice or other brittle fracture events caused by changes in volumetric strain as the high-amplitude Rayleigh waves passed through. We conclude that cryospheric systems can be sensitive to large distant earthquakes.</t>
  </si>
  <si>
    <t>[Peng, Zhigang; Walter, Jacob I.] Georgia Inst Technol, Sch Earth &amp; Atmospher Sci, Atlanta, GA 30332 USA; [Aster, Richard C.] Colorado State Univ, Dept Geosci, Ft Collins, CO 80523 USA; [Nyblade, Andrew; Anandakrishnan, Sridhar] Penn State Univ, Dept Geosci, University Pk, PA 16802 USA; [Wiens, Douglas A.] Washington Univ, Dept Earth &amp; Planetary Sci, St Louis, MO 63130 USA</t>
  </si>
  <si>
    <t>University System of Georgia; Georgia Institute of Technology; Colorado State University; Pennsylvania Commonwealth System of Higher Education (PCSHE); Pennsylvania State University; Pennsylvania State University - University Park; Washington University (WUSTL)</t>
  </si>
  <si>
    <t>Peng, ZG (corresponding author), Georgia Inst Technol, Sch Earth &amp; Atmospher Sci, Atlanta, GA 30332 USA.</t>
  </si>
  <si>
    <t>zpeng@gatech.edu</t>
  </si>
  <si>
    <t>Aster, Richard/E-5067-2013; Peng, Zhigang/HPF-2037-2023; Anandakrishnan, Sridhar/JCN-5026-2023; Wiens, Douglas/J-9259-2016; Walter, Jacob/C-6806-2015</t>
  </si>
  <si>
    <t>Aster, Richard/0000-0002-0821-4906; Wiens, Douglas/0000-0002-5169-4386; Walter, Jacob/0000-0001-7127-9422</t>
  </si>
  <si>
    <t>NSF CAREER grant [EAR-0956051]; NSF Office of Polar Programs [0632230, 0632239, 0652322, 0632335, 0632136, 0632209, 0632185, 1246776, 1246712, 1419268, EAR-1063471]; Incorporated Research Institutions for Seismology (IRIS) through ASSCAL Instrument Center at New Mexico Tech; DOE National Nuclear Security Administration; Directorate For Geosciences; Division Of Earth Sciences [0956051] Funding Source: National Science Foundation; Office of Polar Programs (OPP); Directorate For Geosciences [0632335, 1419268, 0632239] Funding Source: National Science Foundation; Office of Polar Programs (OPP); Directorate For Geosciences [0632136, 1246712, 0632185, 0632209, 1246776] Funding Source: National Science Foundation</t>
  </si>
  <si>
    <t>NSF CAREER grant(National Science Foundation (NSF)NSF - Office of the Director (OD)); NSF Office of Polar Programs(National Science Foundation (NSF)); Incorporated Research Institutions for Seismology (IRIS) through ASSCAL Instrument Center at New Mexico Tech; DOE National Nuclear Security Administration(National Nuclear Security AdministrationUnited States Department of Energy (DOE)); Directorate For Geosciences; Division Of Earth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</si>
  <si>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Financial support for this study was provided by the NSF CAREER grant EAR-0956051 (Z.P. and J.I.W.). POLENET-Antarctica is supported by NSF Office of Polar Programs grant numbers 0632230, 0632239, 0652322, 0632335, 0632136, 0632209, 0632185, and POLENET-Antarctica phase 2 is supported by NSF Office of Polar Programs grant numbers 1246776 1246712 and 1419268. Seismic instrumentation was provided and supported by the Incorporated Research Institutions for Seismology (IRIS) through the PASSCAL Instrument Center at New Mexico Tech. Seismic data are available through the IRIS Data Management Center. The facilities of the IRIS Consortium are supported by the NSF under Cooperative Agreement EAR-1063471, the NSF Office of Polar Programs and the DOE National Nuclear Security Administration. This manuscript benefits from useful comments by C. Aiken, F. Walter and C. Wu.</t>
  </si>
  <si>
    <t>10.1038/NGEO2212</t>
  </si>
  <si>
    <t>AO8WI</t>
  </si>
  <si>
    <t>WOS:000341635600018</t>
  </si>
  <si>
    <t>Kotwa, E; Lacorte, S; Duarte, C; Tauler, R</t>
  </si>
  <si>
    <t>Kotwa, Ewelina; Lacorte, Silvia; Duarte, Carlos; Tauler, Roma</t>
  </si>
  <si>
    <t>Investigation of Arctic and Antarctic spatial and depth patterns of sea water in CTD profiles using chemometric data analysis</t>
  </si>
  <si>
    <t>POLAR SCIENCE</t>
  </si>
  <si>
    <t>Arctic Antarctic; CTD; Multi-way analysis; Fluorescence</t>
  </si>
  <si>
    <t>PRINCIPAL COMPONENT ANALYSIS; MULTILINEAR PLS; MISSING ELEMENTS; REGRESSION; OUTLIERS; MODELS; RANK</t>
  </si>
  <si>
    <t>In this paper we examine 2- and 3-way chemometric methods for analysis of Arctic and Antarctic water samples. Standard CTD (conductivity-temperature-depth) sensor devices were used during two oceanographic expeditions (July 2007 in the Arctic; February 2009 in the Antarctic) covering a total of 174 locations. The output from these devices can be arranged in a 3-way data structure (according to sea water depth, measured variables, and geographical location). We used and compared 2- and 3-way statistical tools including PCA, PARAFAC, PLS, and N-PLS for exploratory analysis, spatial patterns discovery and calibration. Particular importance was given to the correlation and possible prediction of fluorescence from other physical variables. MAT-LAB's mapping toolbox was used for geo-referencing and visualization of the results. We conclude that: 1) PCA and PARAFAC models were able to describe data in a satisfactory way, but PARAFAC results were easier to interpret; 2) applying a 2-way model to 3-way data raises the risk of flattening the covariance structure of the data and losing information; 3) the distinction between Arctic and Antarctic seas was revealed mostly by PC1, relating to the physico-chemical properties of the water samples; and 4) we confirm the ability to predict fluorescence values from physical measurements when the 3-way data structure is used in N-way PLS regression. (C) 2014 Elsevier B.V. and NIPR. All rights reserved.</t>
  </si>
  <si>
    <t>[Kotwa, Ewelina] Tech Univ Denmark, Dept Informat &amp; Math Modelling, DK-2800 Lyngby, Denmark; [Lacorte, Silvia; Tauler, Roma] Spanish Council Res, Inst Environm Assessment &amp; Water Res, Barcelona 08034, Spain; [Duarte, Carlos] Spanish Council Res, Mediterranean Inst Adv Studies, Esporles 2107190, Mallorca, Spain</t>
  </si>
  <si>
    <t>Technical University of Denmark; Consejo Superior de Investigaciones Cientificas (CSIC); CSIC - Centro de Investigacion y Desarrollo Pascual Vila (CID-CSIC); CSIC - Instituto de Diagnostico Ambiental y Estudios del Agua (IDAEA); Consejo Superior de Investigaciones Cientificas (CSIC); ATTITUS Educacao</t>
  </si>
  <si>
    <t>Kotwa, E (corresponding author), Tech Univ Denmark, Dept Informat &amp; Math Modelling, Bldg 305,Asmussens Alle, DK-2800 Lyngby, Denmark.</t>
  </si>
  <si>
    <t>ek@imm.dtu.dk</t>
  </si>
  <si>
    <t>Duarte, Carlos M/A-7670-2013; Duarte Quesada, Carlos Manuel/ABD-6208-2021; Lacorte, Silvia/M-5649-2014</t>
  </si>
  <si>
    <t>Duarte, Carlos M/0000-0002-1213-1361; Lacorte, Silvia/0000-0001-7192-4057; Tauler, Roma/0000-0001-8559-9670</t>
  </si>
  <si>
    <t>Spanish Ministry of Science and Innovation [POL200600550/CTM]</t>
  </si>
  <si>
    <t>Spanish Ministry of Science and Innovation(Spanish Government)</t>
  </si>
  <si>
    <t>This research was part of the ATOS project, funded as part of the Spanish contribution to the International Polar Year (IPY) by the Spanish Ministry of Science and Innovation (POL200600550/CTM). We thank the ATOS participants, UTM and crew of R/V Hesprides for help with CTD sampling and logistics.</t>
  </si>
  <si>
    <t>1873-9652</t>
  </si>
  <si>
    <t>1876-4428</t>
  </si>
  <si>
    <t>POLAR SCI</t>
  </si>
  <si>
    <t>Polar Sci.</t>
  </si>
  <si>
    <t>10.1016/j.polar.2014.05.003</t>
  </si>
  <si>
    <t>Ecology; Geosciences, Multidisciplinary</t>
  </si>
  <si>
    <t>AP0YW</t>
  </si>
  <si>
    <t>Green Published, hybrid</t>
  </si>
  <si>
    <t>WOS:000341793800004</t>
  </si>
  <si>
    <t>Shrivastava, PK; Dharwadkar, A; Asthana, R; Roy, SK; Swain, AK; Beg, MJ</t>
  </si>
  <si>
    <t>Shrivastava, Prakash K.; Dharwadkar, Amit; Asthana, Rajesh; Roy, Sandip K.; Swain, Ashit K.; Beg, M. Javed</t>
  </si>
  <si>
    <t>The sediment properties of glacial diamicts from the Jutulsessen area of Gjelsvikfjella, East Antarctica: A reflection of source materials and regional climate</t>
  </si>
  <si>
    <t>Glacial sediments; Quartz grain microtexture; Clay minerals; Jutulsessen; East Antarctica</t>
  </si>
  <si>
    <t>DRONNING MAUD LAND; SCANNING ELECTRON-MICROSCOPE; QUARTZ GRAINS; ORGANIC-CARBON; CONTINENTAL-SLOPE; ARABIAN SEA; ENVIRONMENTS; TRANSPORT; SAND; MICROTEXTURES</t>
  </si>
  <si>
    <t>The glacial diamicts deposited in the Jutulsessen area of Gjelsvikfjella, Dronning Maud Land, East Antarctica show the effects of localized meltwater channels and wind processes, as well as of the dominant glacial processes. These glacial sediments are characterized by poor sorting and a variable mean particle size, and the localized meltwater channels have removed silt-and clay-sized sediments, resulting in the relative enrichment of coarser sediments. The X-ray diffraction (XRD) patterns of clay minerals in samples collected across the study area show very similar characteristics. Biotite is the dominant mica mineral in the clay together with chlorite and K-feldspar. The presence of illite, and small amounts of smectite, demonstrates the limited extent of chemical weathering due to the cold and arid conditions. The samples from the glacial fan area contain mixed-layer clays, suggesting the effects of localized meltwater and limited chemical activity which has altered the crystal structure of biotite at lower topographic level. Scanning electron microscopy (SEM) analysis of surface microtextures from representative quartz grains suggest the dominance of glacial and glaciofluvial processes. The low rates of biogenic activity in this area are indicated by the low total organic carbon (TOC) content of the sediments. (C) 2014 Elsevier B.V. and NIPR. All rights reserved.</t>
  </si>
  <si>
    <t>[Shrivastava, Prakash K.; Dharwadkar, Amit; Asthana, Rajesh; Roy, Sandip K.; Swain, Ashit K.] NIT, Geol Survey India, Polar Studies Div, Faridabad 121001, India; [Beg, M. Javed] Natl Ctr Antarctic &amp; Ocean Res, Vasco Da Gama 403804, Goa, India</t>
  </si>
  <si>
    <t>Geological Survey India; Ministry of Earth Sciences (MoES) - India; National Centre for Polar and Ocean Research (NCPOR)</t>
  </si>
  <si>
    <t>Shrivastava, PK (corresponding author), NIT, Geol Survey India, Polar Studies Div, NH 5P, Faridabad 121001, India.</t>
  </si>
  <si>
    <t>pks.shri@gmail.com</t>
  </si>
  <si>
    <t>Dharwadkar, Amit/0000-0001-7870-8058</t>
  </si>
  <si>
    <t>members of the Norwegian station Troll</t>
  </si>
  <si>
    <t>The authors would like to thank the Director General, Geological Survey of India and National Centre for Antarctic and Ocean Research, Goa, for providing the opportunity and necessary logistics for us to participate in the Indian Antarctic Expedition. We thank the Director and officers of the XRD Laboratory, GSI Faridabad for their efforts with the analytical work. Dr. S. Mukerji is specially thanked for his critical revision of the manuscript. Support received from members of the Norwegian station Troll during the course of the fieldwork is also gratefully acknowledged.</t>
  </si>
  <si>
    <t>10.1016/j.polar.2014.03.001</t>
  </si>
  <si>
    <t>WOS:000341793800006</t>
  </si>
  <si>
    <t>Iida, T; Odate, T</t>
  </si>
  <si>
    <t>Iida, Takahiro; Odate, Tsuneo</t>
  </si>
  <si>
    <t>Seasonal variability of phytoplankton biomass and composition in the major water masses of the Indian Ocean sector of the Southern Ocean</t>
  </si>
  <si>
    <t>Phytoplankton; Size fraction; Seasonal variability; Pigment analysis; CHEMTAX</t>
  </si>
  <si>
    <t>ANTARCTIC CIRCUMPOLAR CURRENT; NATURAL IRON-FERTILIZATION; BIOLOGICAL PRODUCTIVITY; KERGUELEN PLATEAU; CLASS ABUNDANCES; PACIFIC SECTOR; CHLOROPHYLL-A; SILICIC-ACID; ROSS SEA; FRONTS</t>
  </si>
  <si>
    <t>Long-term changes in phytoplankton biomass and community composition are important in the ecosystem and biogeochemical cycle in the Southern Ocean. We aim to ultimately evaluate changes in phytoplankton assemblages in this region on a decadal scale. However, yearly continuous data are lacking, and long-term datasets often include seasonal variability. We evaluated the seasonal changes in phytoplankton abundance/composition across latitudes in the Indian Ocean sector of the Southern Ocean via multi-ship observations along the 110 degrees E meridian from 2011 to 2013. The chlorophyll a concentration was 0.3-0.5 mg m(-3) in the Subantarctic Zone (40-50 degrees S) and 0.4-0.6 mg m(-3) in the Polar Frontal Zone (50-60 degrees S); pico-sized phytoplankton (&lt;10 mu m), mainly haptophytes, were dominant in both zones. In the Antarctic Divergence area (60-65 degrees S), the chlorophyll a concentration was 0.6-0.8 mg m(-3), and nano-sized phytoplankton (&gt;10 mm), mainly diatoms, dominated. Chlorophyll a concentrations and phytoplankton community compositions were the same within a latitudinal zone at different times, except during a small but distinct spring bloom that occurred north of 45 degrees S and south of 60 degrees S. This small seasonal variation means that this part of the Southern Ocean is an ideal site to monitor the long-term effects of climate change. (C) 2014 Elsevier B.V. and NIPR. All rights reserved.</t>
  </si>
  <si>
    <t>[Iida, Takahiro; Odate, Tsuneo] Natl Inst Polar Res, Tachikawa, Tokyo 1908518, Japan; [Iida, Takahiro; Odate, Tsuneo] Grad Univ Adv Studies, Sch Multidisciplinary Sci, Dept Polar Sci, Kanagawa, Japan</t>
  </si>
  <si>
    <t>Research Organization of Information &amp; Systems (ROIS); National Institute of Polar Research (NIPR) - Japan; Graduate University for Advanced Studies - Japan</t>
  </si>
  <si>
    <t>Iida, T (corresponding author), Natl Inst Polar Res, 9-10 Midori Cho, Tachikawa, Tokyo 1908518, Japan.</t>
  </si>
  <si>
    <t>iida@nipr.ac.jp; odate@nipr.ac.jp</t>
  </si>
  <si>
    <t>JSPS [23510019]; NIPR [KP-4]; Grants-in-Aid for Scientific Research [23510019] Funding Source: KAKEN</t>
  </si>
  <si>
    <t>JSPS(Ministry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</si>
  <si>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The authors thank Dr. Kunio T. Takahashi and Dr. Tomomi Takamura for collecting samples JARE53 and JARE54. We also thank the captains and crews of the Umitaka-Maru and Shirase, and many other colleagues on board for their assistance during the JARE and Kaiyodai Antarctic Research Expedition (KARE) cruises. This study was supported by JSPS KAKENHI Grant Number, 23510019, 2011-2013 and NIPR research project KP-4. The production of this paper was supported by an NIPR publication subsidy.</t>
  </si>
  <si>
    <t>10.1016/j.polar.2014.03.003</t>
  </si>
  <si>
    <t>WOS:000341793800007</t>
  </si>
  <si>
    <t>Dvoretsky, VG; Dvoretsky, AG</t>
  </si>
  <si>
    <t>Dvoretsky, Vladimir G.; Dvoretsky, Alexander G.</t>
  </si>
  <si>
    <t>Egg production rates of two common copepods in the Barents Sea in summer</t>
  </si>
  <si>
    <t>Egg production; Temora longicornis; Acartia longiremis; Coastal waters; Barents Sea</t>
  </si>
  <si>
    <t>TEMORA-LONGICORNIS; ACARTIA-TONSA; CALANOID COPEPODS; HATCHING SUCCESS; PLANKTONIC COPEPODS; LIFE-CYCLE; TEMPERATURE; BAY; REPRODUCTION; STRATEGIES</t>
  </si>
  <si>
    <t>Small copepod species play important roles in the pelagic food webs of the Arctic Ocean, linking primary producers to higher trophic levels. The egg production rates (EPs) and weight-specific egg production rates (SEPs) of two common copepods, Acartia longiremis and Temora longicornis, were studied under experimental conditions in Dalnezelenetskaya Bay (southern Barents Sea) during summer. The average EP and SEP at 5-10 degrees C were 4.7 +/- 0.4 eggs female(-1) day(-1) and 0.025 +/- 0.002 day(-1), respectively, for A. longiremis and 13.1 +/- 0.9 eggs female(-1) day(-1) and 0.075 +/- 0.006 day(-1), respectively, for T. longicornis. EP and SEP were significantly higher at 10 degrees C than at 5 degrees C for both species. The mean egg diameter correlated positively and significantly with female prosome length (PL) in each species. SEP of T. longicornis correlated negatively and significantly with PL. Daily EP and SEP were similar to rates recorded for other Acartia and Temora species in temperate and warm regions. The influence of environmental factors (temperature, salinity, and phytoplankton concentration) on EP of both species is discussed. We conclude that temperature is the main factor determining the reproduction rate and timing in A. longiremis and T. longicornis in the Barents Sea. (C) 2014 Elsevier B.V. and NIPR. All rights reserved.</t>
  </si>
  <si>
    <t>[Dvoretsky, Vladimir G.; Dvoretsky, Alexander G.] Murmansk Marine Biol Inst, Murmansk 183010, Russia</t>
  </si>
  <si>
    <t>Russian Academy of Sciences</t>
  </si>
  <si>
    <t>Dvoretsky, VG (corresponding author), Murmansk Marine Biol Inst, 17 Str,Vladimirskaya, Murmansk 183010, Russia.</t>
  </si>
  <si>
    <t>v-dvoretsky@yandex.ru</t>
  </si>
  <si>
    <t>Dvoretsky, Alexander G/J-1646-2018; Dvoretsky, Alexander G./AAP-6435-2021; Dvoretsky, Vladimir G/J-1716-2018</t>
  </si>
  <si>
    <t>Russian President Grant [MK-52.2014.4]</t>
  </si>
  <si>
    <t>Russian President Grant</t>
  </si>
  <si>
    <t>We thank Dr. Peter Ward (British Antarctic Survey, UK) for reviewing the English of the manuscript and helpful suggestions. We are grateful to the two anonymous reviewers for their constructive comments on an earlier version of this work. This study was supported by Russian President Grant MK-52.2014.4.</t>
  </si>
  <si>
    <t>10.1016/j.polar.2014.04.001</t>
  </si>
  <si>
    <t>WOS:000341793800008</t>
  </si>
  <si>
    <t>Koga, S; Nomura, D; Wada, M</t>
  </si>
  <si>
    <t>Koga, Seizi; Nomura, Daiki; Wada, Makoto</t>
  </si>
  <si>
    <t>Variation of dimethylsulfide mixing ratio over the Southern Ocean from 36°S to 70°S</t>
  </si>
  <si>
    <t>Dimethylsulfide; PTR-MS; Southern Ocean; Sea ice</t>
  </si>
  <si>
    <t>ANTARCTIC SEA-ICE; DMS; PHYTOPLANKTON; SULFIDE; DIMETHYLSULFONIOPROPIONATE; OXIDATION; SUMMER; SULFUR</t>
  </si>
  <si>
    <t>Atmospheric dimethylsulfide (DMS) was measured to investigate the variation in its concentration over sea ice free oceans and sea ice regions of the Southern Ocean, using a proton transfer reaction-mass spectrometer (PTR-MS) on board the icebreaker Shirase from 1 December 2009 to 16 March 2010. In general, DMS concentrations over sea ice regions were very low compared with those over the sea ice free ocean. However, abrupt increases in DMS concentrations occurred over sea ice regions while the ship was moving and crushing the sea ice. Undoubtedly, the elevated DMS concentrations were caused by large DMS emissions from gaps in the ice made by the ship. During the period when Shirase had anchored off Syowa Station (69 degrees 00.4'S, 39 degrees 35.3'E), Antarctica, DMS concentrations were not detected. At this time, the surrounding sea of East Ongul island, on which Syowa Station is located, was completely covered with multi-year fast ice. Sea ice probably inhibits DMS emission from the ocean to the atmosphere. In addition, there was no evidence that chlorophyll a concentration in the sea water or wind speed above the sea surface affect atmospheric DMS concentrations over the sea ice free ocean regions. (C) 2014 Elsevier B.V. and NIPR. All rights reserved.</t>
  </si>
  <si>
    <t>[Koga, Seizi] Natl Inst Adv Ind Sci &amp; Technol, Tsukuba, Ibaraki 3058569, Japan; [Nomura, Daiki] Hokkaido Univ, Inst Low Temp Sci, Kita Ku, Sapporo, Hokkaido 0600819, Japan; [Wada, Makoto] Res Org Informat &amp; Syst, Natl Inst Polar Res, Tachikawa, Tokyo 1908518, Japan</t>
  </si>
  <si>
    <t>National Institute of Advanced Industrial Science &amp; Technology (AIST); Hokkaido University; Research Organization of Information &amp; Systems (ROIS); National Institute of Polar Research (NIPR) - Japan</t>
  </si>
  <si>
    <t>Koga, S (corresponding author), Natl Inst Adv Ind Sci &amp; Technol, Onogawa 16-1, Tsukuba, Ibaraki 3058569, Japan.</t>
  </si>
  <si>
    <t>koga-s@aist.go.jp</t>
  </si>
  <si>
    <t>Koga, Seizi/L-5695-2018</t>
  </si>
  <si>
    <t>Koga, Seizi/0000-0001-6742-0403</t>
  </si>
  <si>
    <t>National Institute of Polar Research in Japan [GS-2-1_02]</t>
  </si>
  <si>
    <t>National Institute of Polar Research in Japan</t>
  </si>
  <si>
    <t>We wish to thank Dr. Y. Motoyoshi, Dr. S. Kudoh, the crew of the icebreaker Shirase, and all the members of JARE51 for their assistance. Our special thanks are due to Mr. T. Shimono for the advance preparations of our research and adjustment of PTR-MS, and also to Mr. T. Hikita for helpful suggestions and comments in working PTR-MS. This research owes much to their thoughtful support. We also wish to thank Dr. M. Shiobara for his valuable advice. This research was partly supported by the project code, GS-2-1_02, of the National Institute of Polar Research in Japan.</t>
  </si>
  <si>
    <t>10.1016/j.polar.2014.04.002</t>
  </si>
  <si>
    <t>WOS:000341793800009</t>
  </si>
  <si>
    <t>Zhu, YH; Wei, ZX; Wang, YG; Guan, YP; Wang, XY</t>
  </si>
  <si>
    <t>Zhu Yaohua; Wei Zexun; Wang Yonggang; Guan Yuping; Wang Xinyi</t>
  </si>
  <si>
    <t>The annual mean sketches and climatological variability of the volume and heat transports through the inter-basin passages: A study based on 1 400-year spin up of MOM4p1</t>
  </si>
  <si>
    <t>volume transport; heat transport; global ocean circulation; inter-basin passages; climatological variability</t>
  </si>
  <si>
    <t>INDONESIAN THROUGHFLOW; OCEAN CIRCULATION; THERMOHALINE CIRCULATION; INTERANNUAL VARIABILITY; INDIAN-OCEAN; WORLD OCEAN; FRESH-WATER; PACIFIC; STRAIT</t>
  </si>
  <si>
    <t>The annual mean volume and heat transport sketches through the inter-basin passages and transoceanic sections have been constructed based on 1 400-year spin up results of the MOM4p1. The spin up starts from a state of rest, driven by the monthly climatological mean force from the NOAA World Ocean Atlas (1994). The volume transport sketch reveals the northward transport throughout the Pacific and southward transport at all latitudes in the Atlantic. The annual mean strength of the Pacific-Arctic-Atlantic through flow is 0.63x10(6)m(3)/s in the Bering Strait. The majority of the northward volume transport in the southern Pacific turns into the Indonesian through flow (ITF) and joins the Indian Ocean equatorial current, which subsequently flows out southward from the Mozambique Channel, with its majority superimposed on the Antarctic Circumpolar Current (ACC). This anti-cyclonic circulation around Australia has a strength of 11x10(6) m(3)/s according to the model-produced result. The atmospheric fresh water transport, known as P-E+R (precipitation minus evaporation plus runoff), constructs a complement to the horizontal volume transport of the ocean. The annual mean heat transport sketch exhibits a northward heat transport in the Atlantic and poleward heat transport in the global ocean. The surface heat flux acts as a complement to the horizontal heat transport of the ocean. The climatological volume transports describe the most important features through the inter-basin passages and in the associated basins, including: the positive P-E+R in the Arctic substantially strengthening the East Greenland Current in summer; semiannual variability of the volume transport in the Drake Passage and the southern Atlantic-Indian Ocean passage; and annual transport variability of the ITF intensifying in the boreal summer. The climatological heat transports show heat storage in July and heat deficit in January in the Arctic; heat storage in January and heat deficit in July in the Antarctic circumpolar current regime (ACCR); and intensified heat transport of the ITF in July. The volume transport of the ITF is synchronous with the volume transport through the southern Indo-Pacific sections, but the year-long southward heat transport of the ITF is out of phase with the heat transport through the equatorial Pacific, which is northward before May and southward after May. This clarifies the majority of the ITF originating from the southern Pacific Ocean.</t>
  </si>
  <si>
    <t>[Zhu Yaohua; Wei Zexun; Wang Yonggang; Wang Xinyi] State Ocean Adm, Inst Oceanog 1, Key Lab Marine Sci &amp; Numer Modeling, Qingdao 266061, Peoples R China; [Guan Yuping] Chinese Acad Sci, State Key Lab Trop Oceanog, South China Sea Inst Oceanol, Guangzhou 510301, Guangdong, Peoples R China</t>
  </si>
  <si>
    <t>First Institute of Oceanography, Ministry of Natural Resources; Chinese Academy of Sciences; South China Sea Institute of Oceanology, CAS</t>
  </si>
  <si>
    <t>Wei, ZX (corresponding author), State Ocean Adm, Inst Oceanog 1, Key Lab Marine Sci &amp; Numer Modeling, Qingdao 266061, Peoples R China.</t>
  </si>
  <si>
    <t>weizx@fio.org.cn</t>
  </si>
  <si>
    <t>Wei, Zexun/IXD-9990-2023; Guan, Yuping/A-1119-2015; Wei, Zexun/AAE-3058-2020</t>
  </si>
  <si>
    <t>Zhu, Yaohua/0000-0002-3092-9318</t>
  </si>
  <si>
    <t>National Basic Research Program Grant of China [2011CB403502]; National High Technology Research and Development Program (863 Program) [2013AA09A506]; Global Change and Air-Sea Interaction Program [GASI-03-01-01-04]; International Cooperation Program Grant of China [2010DFB23580]; National Natural Science Foundation of China [40976011, 91228202]</t>
  </si>
  <si>
    <t>National Basic Research Program Grant of China(National Basic Research Program of China); National High Technology Research and Development Program (863 Program)(National High Technology Research and Development Program of China); Global Change and Air-Sea Interaction Program; International Cooperation Program Grant of China; National Natural Science Foundation of China(National Natural Science Foundation of China (NSFC))</t>
  </si>
  <si>
    <t>Foundation item: The National Basic Research Program Grant of China under contract No. 2011CB403502; the National High Technology Research and Development Program (863 Program) under contract No. 2013AA09A506; the Global Change and Air-Sea Interaction Program under contract No. GASI-03-01-01-04; the International Cooperation Program Grant of China under contract No. 2010DFB23580; author GuanYuping is supported by the National Natural Science Foundation of China under contract Nos 40976011 and 91228202.</t>
  </si>
  <si>
    <t>10.1007/s13131-014-0513-7</t>
  </si>
  <si>
    <t>WOS:000341334500002</t>
  </si>
  <si>
    <t>Goodwin, ID; Browning, S; Lorrey, AM; Mayewski, PA; Phipps, SJ; Bertler, NAN; Edwards, RP; Cohen, TJ; van Ommen, T; Curran, M; Barr, C; Stager, JC</t>
  </si>
  <si>
    <t>Goodwin, Ian D.; Browning, Stuart; Lorrey, Andrew M.; Mayewski, Paul A.; Phipps, Steven J.; Bertler, Nancy A. N.; Edwards, Ross P.; Cohen, Tim J.; van Ommen, Tas; Curran, Mark; Barr, Cameron; Stager, J. Curt</t>
  </si>
  <si>
    <t>A reconstruction of extratropical Indo-Pacific sea-level pressure patterns during the Medieval Climate Anomaly</t>
  </si>
  <si>
    <t>CLIMATE DYNAMICS</t>
  </si>
  <si>
    <t>Medieval Climate Anomaly; Extratropical; Southern Annular Mode; Pacific South American Mode; Paleo-sea-level pressure reconstruction</t>
  </si>
  <si>
    <t>SOUTHERN-HEMISPHERE ATMOSPHERE; MCMURDO DRY VALLEYS; NEW-ZEALAND; TROPICAL PACIFIC; LATE HOLOCENE; SYNCHRONOUS VARIABILITY; AMERICAN MODES; ANNULAR MODE; ICE-AGE; OSCILLATION</t>
  </si>
  <si>
    <t>Subtropical and extratropical proxy records of wind field, sea level pressure (SLP), temperature and hydrological anomalies from South Africa, Australia/New Zealand, Patagonian South America and Antarctica were used to reconstruct the Indo-Pacific extratropical southern hemisphere sea-level pressure anomaly (SLPa) fields for the Medieval Climate Anomaly (MCA similar to 700-1350 CE) and transition to the Little Ice Age (LIA 1350-1450 CE). The multivariate array of proxy data were simultaneously evaluated against global climate model output in order to identify climate state analogues that are most consistent with the majority of proxy data. The mean SLP and SLP anomaly patterns derived from these analogues illustrate the evolution of low frequency changes in the extratropics. The Indo-Pacific extratropical mean climate state was dominated by a strong tropical interaction with Antarctica emanating from: (1) the eastern Indian and south-west Pacific regions prior to 1100 CE, then, (2) the eastern Pacific evolving to the central Pacific La Nia-like pattern interacting with a +ve SAM to 1300 CE. A relatively abrupt shift to -ve SAM and the central Pacific El Nio-like pattern occurred at similar to 1300. A poleward (equatorward) shift in the subtropical ridge occurred during the MCA (MCA-LIA transition). The Hadley Cell expansion in the Australian and Southwest Pacific, region together with the poleward shift of the zonal westerlies is contemporaneous with previously reported Hadley Cell expansion in the North Pacific and Atlantic regions, and suggests that bipolar climate symmetry was a feature of the MCA.</t>
  </si>
  <si>
    <t>[Goodwin, Ian D.; Browning, Stuart] Macquarie Univ, Marine Climate Risk Grp, Sydney, NSW 2109, Australia; [Goodwin, Ian D.; Browning, Stuart] Macquarie Univ, Sydney, NSW 2109, Australia; [Lorrey, Andrew M.] Natl Inst Water &amp; Atmospher Res, Natl Climate Ctr, Auckland, New Zealand; [Mayewski, Paul A.] Univ Maine, Climate Change Inst, Orono, ME 04469 USA; [Phipps, Steven J.] Univ New S Wales, ARC Ctr Excellence Climate Syst Sci, Climate Change Res Ctr, Sydney, NSW 2052, Australia; [Bertler, Nancy A. N.] Victoria Univ Wellington, Joint Antarctic Res Inst, Wellington 6012, New Zealand; [Bertler, Nancy A. N.] GNS Sci, Wellington 6012, New Zealand; [Edwards, Ross P.] Nevada Syst Higher Educ, Desert Res Inst, Reno, NV 89512 USA; [Edwards, Ross P.] Curtin Univ, Dept Imaging &amp; Appl Phys, Perth, WA 6845, Australia; [Cohen, Tim J.] Univ Wollongong, Sch Earth &amp; Environm Sci, GeoQuEST Res Ctr, Wollongong, NSW 2522, Australia; [van Ommen, Tas; Curran, Mark] Australian Antarctic Div, Kingston, Tas 7050, Australia; [van Ommen, Tas; Curran, Mark] Univ Tasmania, Antarctic Climate &amp; Ecosyst CRC, Hobart, Tas, Australia; [Barr, Cameron] Univ Adelaide, Discipline Geog Environm &amp; Populat, Adelaide, SA 5005, Australia; [Stager, J. Curt] Paul Smiths Coll, Paul Smiths, NY 12970 USA</t>
  </si>
  <si>
    <t>Macquarie University; Macquarie University; National Institute of Water &amp; Atmospheric Research (NIWA) - New Zealand; University of Maine System; University of Maine Orono; ARC Centre of Excellence for Climate System Science; University of New South Wales Sydney; Victoria University Wellington; GNS Science - New Zealand; Nevada System of Higher Education (NSHE); Desert Research Institute NSHE; Curtin University; University of Wollongong; Australian Antarctic Division; University of Tasmania; University of Adelaide</t>
  </si>
  <si>
    <t>Goodwin, ID (corresponding author), Macquarie Univ, Marine Climate Risk Grp, Sydney, NSW 2109, Australia.</t>
  </si>
  <si>
    <t>Ian.Goodwin@mq.edu.au</t>
  </si>
  <si>
    <t>IPO, PAGES/JXY-7546-2024; Mayewski, Paul Andrew/HRD-6969-2023; Cohen, Tim J/A-7427-2012; Bertler, Nancy A N/F-3967-2011; Edwards, Ross/B-1433-2013; van Ommen, Tas/B-5020-2012; Phipps, Steven/B-3135-2008</t>
  </si>
  <si>
    <t>Barr, Cameron/0000-0003-0436-8702; Edwards, Ross/0000-0002-9233-8775; van Ommen, Tas/0000-0002-2463-1718; Goodwin, Ian/0000-0001-8682-6409; Browning, Stuart/0000-0003-4337-4419; Cohen, Tim/0000-0003-4081-9523; Bertler, Nancy/0000-0001-6028-4891; Phipps, Steven/0000-0001-5657-8782</t>
  </si>
  <si>
    <t>Macquarie University External Collaborative Grant; News South Wales Office for Environment and Heritage; New South Wales Environmental Trust; Australian Research Council [DP1092945]; NIWA; US National Science Foundation Office of Polar Programs; Antarctica New Zealand; Australian Antarctic Division; Australian Research Council [DP1092945] Funding Source: Australian Research Council; Directorate For Geosciences; Office of Polar Programs (OPP) [1042883, 0944348] Funding Source: National Science Foundation</t>
  </si>
  <si>
    <t>Macquarie University External Collaborative Grant; News South Wales Office for Environment and Heritage; New South Wales Environmental Trust; Australian Research Council(Australian Research Council); NIWA; US National Science Foundation Office of Polar Programs(National Science Foundation (NSF)); Antarctica New Zealand; Australian Antarctic Division; Australian Research Council(Australian Research Council); Directorate For Geosciences; Office of Polar Programs (OPP)(National Science Foundation (NSF)NSF - Directorate for Geosciences (GEO))</t>
  </si>
  <si>
    <t>This work is a contribution to the PAGES2K Australasian regional synthesis (part of the PAGES Aus2k project). The research was part funded by a Macquarie University External Collaborative Grant with the News South Wales Office for Environment and Heritage, and the New South Wales Environmental Trust. The research forms a contribution to the Eastern Seaboard Climate Change Initiative (ESCCI). S. Phipps' CSIRO Mk3L modeling was supported under the Australian Research Council's Discovery Projects funding scheme (Project Number DP1092945). AML was supported in part by the NIWA core-funded project Climate Present and Past. The paper draws on a significant proxy climate database interpreted from Antarctic Ice Coring and we acknowledge the support of the US National Science Foundation Office of Polar Programs, Antarctica New Zealand and the Australian Antarctic Division. We thank the reviewers for there constructive suggestions to improve both the methodology and manuscript.</t>
  </si>
  <si>
    <t>0930-7575</t>
  </si>
  <si>
    <t>1432-0894</t>
  </si>
  <si>
    <t>CLIM DYNAM</t>
  </si>
  <si>
    <t>Clim. Dyn.</t>
  </si>
  <si>
    <t>5-6</t>
  </si>
  <si>
    <t>10.1007/s00382-013-1899-1</t>
  </si>
  <si>
    <t>AO5FR</t>
  </si>
  <si>
    <t>WOS:000341369700004</t>
  </si>
  <si>
    <t>Mergelov, NS</t>
  </si>
  <si>
    <t>Mergelov, N. S.</t>
  </si>
  <si>
    <t>Soils of wet valleys in the Larsemann Hills and Vestfold Hills oases (Princess Elizabeth Land, East Antarctica)</t>
  </si>
  <si>
    <t>EURASIAN SOIL SCIENCE</t>
  </si>
  <si>
    <t>organomineral interactions; extreme conditions; biofilms; endoliths</t>
  </si>
  <si>
    <t>LAST GLACIAL MAXIMUM; ENVIRONMENTAL-CHANGE; PRYDZ BAY; LAKE; DEGLACIATION; HOLOCENE; HISTORY; BIOFILMS; ROCKS</t>
  </si>
  <si>
    <t>The properties and spatial distribution of soils and soil-like bodies in valleys of the coastal Larsemann Hills and Vestfold Hills oases-poorly investigated in terms of the soil areas of East Antarctica-are discussed. In contrast to Dry Valleys-large continental oases of Western Antarctica-the studied territory is characterized by the presence of temporarily waterlogged sites in the valleys. It is argued that the deficit of water rather than the low temperature is the major limiting factor for the development of living organisms and the pedogenesis on loose substrates. The moisture gradients in the surface soil horizons explain the spatial distribution of the different soils and biotic complexes within the studied valleys. Despite the permanent water-logging of the deep suprapermafrost horizons of most of the soils in the valleys, no gley features have been identified in them. The soils of the wet valleys in the Larsemann Hills oasis do not contain carbonates. They have a slightly acid or neutral reaction. The organic carbon and nitrogen contents are mainly controlled by the amount of living and dead biomass rather than by the humic substances proper. The larger part of the biomass is concentrated inside the mineral soil matrix rather than on the soil surface. The stresses caused by surface drying, strong winds, and ultraviolet radiation prevent the development of organisms on the surface of the soil and necessitate the search for shelter within the soil fine earth material (endoedaphic niche) or under the gravelly pavement (hypolithic niche). In the absence of higher plants, humified products of their decomposition, and rainwater that can wash the soil profile and upon the low content of silt and clay particles in the soil material, classical soil horizons are not developed. The most distinct (and, often, the only diagnosed) products of pedogenesis in these soils are represented by organomineral films on the surface of mineral particles.</t>
  </si>
  <si>
    <t>Russian Acad Sci, Inst Geog, Moscow 119017, Russia</t>
  </si>
  <si>
    <t>Institute of Geography, Russian Academy of Sciences; Russian Academy of Sciences</t>
  </si>
  <si>
    <t>Mergelov, NS (corresponding author), Russian Acad Sci, Inst Geog, Per Staromonetnyi 29, Moscow 119017, Russia.</t>
  </si>
  <si>
    <t>mergelov@igras.ru</t>
  </si>
  <si>
    <t>Mergelov, Nikita S/D-2585-2015</t>
  </si>
  <si>
    <t>Mergelov, Nikita/0000-0001-5796-5960</t>
  </si>
  <si>
    <t>Russian Foundation for Basic Research [12-04-01815]</t>
  </si>
  <si>
    <t>Russian Foundation for Basic Research(Russian Foundation for Basic Research (RFBR)Spanish Government)</t>
  </si>
  <si>
    <t>This study was supported by the Russian Foundation for Basic Research, project no. 12-04-01815. The field works were supported by the Russian Antarctic Expedition. This study would have been impossible without creative, moral, and organizational support by D.A. Gilichinskii.</t>
  </si>
  <si>
    <t>1064-2293</t>
  </si>
  <si>
    <t>1556-195X</t>
  </si>
  <si>
    <t>EURASIAN SOIL SCI+</t>
  </si>
  <si>
    <t>Eurasian Soil Sci.</t>
  </si>
  <si>
    <t>10.1134/S1064229314090099</t>
  </si>
  <si>
    <t>Soil Science</t>
  </si>
  <si>
    <t>Agriculture</t>
  </si>
  <si>
    <t>AO8HP</t>
  </si>
  <si>
    <t>WOS:000341595300001</t>
  </si>
  <si>
    <t>Knuth, SL; Cassano, JJ</t>
  </si>
  <si>
    <t>Knuth, Shelley L.; Cassano, John J.</t>
  </si>
  <si>
    <t>Estimating Sensible and Latent Heat Fluxes Using the Integral Method from in situ Aircraft Measurements</t>
  </si>
  <si>
    <t>JOURNAL OF ATMOSPHERIC AND OCEANIC TECHNOLOGY</t>
  </si>
  <si>
    <t>TERRA-NOVA BAY; ROSS SEA</t>
  </si>
  <si>
    <t>In September 2009, several Aerosonde unmanned aerial vehicles (UAVs) were flown from McMurdo Station to Terra Nova Bay, Antarctica, with the purpose of collecting three-dimensional measurements of the atmospheric boundary layer (ABL) overlying a polynya. Temperature, pressure, wind speed, and relative humidity measurements collected by the UAVs were used to calculate sensible and latent heat fluxes (SHF and LHF, respectively) during three flights. Fluxes were calculated over the depth of the ABL using the integral method, in which only measurements of the mean atmospheric state (no transfer coefficients) were used. The initial flux estimates assumed that the observations were Lagrangian. Subsequent fluxes were estimated using a robust and innovative methodology that included modifications to incorporate adiabatic and non-Lagrangian processes as well as the heat content below flight level. The SHF ranged from 12 to 485W m(-2), while the LHF ranged from 56 to 152W m(-2). The importance of properly measuring the variables used to calculate the adiabatic and non-Lagrangian processes is discussed. Uncertainty in the flux estimates is assessed both by varying the calculation methodology and by accounting for observational errors. The SHF proved to be most sensitive to the temperature measurements, while the LHF was most sensitive to relative humidity. All of the flux estimates are sensitive to the depth of the boundary layer over which the values are calculated. This manuscript highlights these sensitivities for future field campaigns to demonstrate the measurements most important for accurate flux estimates.</t>
  </si>
  <si>
    <t>[Cassano, John J.] Univ Colorado, CIRES, Boulder, CO 80309 USA; Univ Colorado, Dept Atmospher &amp; Ocean Sci, Boulder, CO 80309 USA</t>
  </si>
  <si>
    <t>University of Colorado System; University of Colorado Boulder; University of Colorado System; University of Colorado Boulder</t>
  </si>
  <si>
    <t>Cassano, JJ (corresponding author), Univ Colorado, CIRES, Box 216 UCB, Boulder, CO 80309 USA.</t>
  </si>
  <si>
    <t>john.cassano@colorado.edu</t>
  </si>
  <si>
    <t>Cassano, John/HKW-8817-2023</t>
  </si>
  <si>
    <t>Knuth, Shelley/0000-0001-7249-4773</t>
  </si>
  <si>
    <t>NSF [ANT 0739464, ANT 1043657]</t>
  </si>
  <si>
    <t>NSF(National Science Foundation (NSF))</t>
  </si>
  <si>
    <t>The authors thank the Aerosonde flight team for their assistance with the flight data, the Italian Antarctic Research Program for access to the Eneide AWS data, and all of the U.S. Antarctic Program personnel that made this field campaign possible. This work was funded by NSF Projects ANT 0739464 and ANT 1043657.</t>
  </si>
  <si>
    <t>0739-0572</t>
  </si>
  <si>
    <t>1520-0426</t>
  </si>
  <si>
    <t>J ATMOS OCEAN TECH</t>
  </si>
  <si>
    <t>J. Atmos. Ocean. Technol.</t>
  </si>
  <si>
    <t>10.1175/JTECH-D-14-00008.1</t>
  </si>
  <si>
    <t>Engineering, Ocean; Meteorology &amp; Atmospheric Sciences</t>
  </si>
  <si>
    <t>Engineering; Meteorology &amp; Atmospheric Sciences</t>
  </si>
  <si>
    <t>AO4WM</t>
  </si>
  <si>
    <t>WOS:000341342100007</t>
  </si>
  <si>
    <t>Zhang, X; Kuo, YH; Chen, SY; Huang, XY; Hsiao, LF</t>
  </si>
  <si>
    <t>Zhang, Xin; Kuo, Ying-Hwa; Chen, Shu-Ya; Huang, Xiang-Yu; Hsiao, Ling-Feng</t>
  </si>
  <si>
    <t>Parallelization Strategies for the GPS Radio Occultation Data Assimilation with a Non local Operator in the Weather Research and Forecasting Model</t>
  </si>
  <si>
    <t>PHASE OBSERVATION OPERATOR; IMPACT; PREDICTION; SYSTEM; REFRACTIVITY; IMPROVEMENTS; ANGLE; WRF</t>
  </si>
  <si>
    <t>The nonlocal excess phase observation operator for assimilating the global positioning system (GPS) radio occultation (RO) sounding data has been proven by some research papers to produce significantly better analyses for numerical weather prediction (NWP) compared to the local refractivity observation operator. However, the high computational cost and the difficulties in parallelization associated with the nonlocal GPS RO operator deter its application in research and operational NWP practices. In this article, two strategies are designed and implemented in the data assimilation system for the Weather Research and Forecasting Model to demonstrate the capability of parallel assimilation of GPS RO profiles with the nonlocal excess phase observation operator. In particular, to solve the parallel load imbalance problem due to the uneven geographic distribution of the GPS RO observations, round-robin scheduling is adopted to distribute GPS RO observations among the processing cores to balance the workload. The wall clock time requited to complete a five-iteration minimization on a demonstration Antarctic case with 106 GPS RO observations is reduced from more than 3.5 h with a single processing core to 2.5 min with 106 processing cores. These strategies present the possibility of application of the nonlocal GPS RO excess phase observation operator in operational data assimilation systems with a cutoff time limit.</t>
  </si>
  <si>
    <t>[Zhang, Xin; Huang, Xiang-Yu] Natl Ctr Atmospher Res, Boulder, CO 80307 USA; [Kuo, Ying-Hwa; Chen, Shu-Ya] Univ Corp Atmospher Res, Boulder, CO USA; [Hsiao, Ling-Feng] Taiwan Typhoon &amp; Flood Res Inst, Taipei, Taiwan</t>
  </si>
  <si>
    <t>National Center Atmospheric Research (NCAR) - USA; National Center Atmospheric Research (NCAR) - USA</t>
  </si>
  <si>
    <t>Zhang, X (corresponding author), Natl Ctr Atmospher Res, MMM Div, POB 3000, Boulder, CO 80307 USA.</t>
  </si>
  <si>
    <t>xinzhang@ucar.edu</t>
  </si>
  <si>
    <t>Zhang, Xin/L-7141-2015; Chen, Shu-Ya/AAZ-5522-2021</t>
  </si>
  <si>
    <t>Chen, Shu-Ya/0000-0002-4428-7643</t>
  </si>
  <si>
    <t>National Science Foundation [AGS-1033112]; National Space Organization; Directorate For Geosciences; Div Atmospheric &amp; Geospace Sciences [1033112] Funding Source: National Science Foundation</t>
  </si>
  <si>
    <t>National Science Foundation(National Science Foundation (NSF)); National Space Organization; Directorate For Geosciences; Div Atmospheric &amp; Geospace Sciences(National Science Foundation (NSF)NSF - Directorate for Geosciences (GEO))</t>
  </si>
  <si>
    <t>This work is supported by the National Science Foundation to UCAR for the continued operation of the COSMIC mission, with Grant AGS-1033112, and by the National Space Organization through a UCAR-NSPO AIT-TECRO Agreement. Michael Kavulich helped edit the manuscript. The authors thank three anonymous reviewers for their careful reviews of this paper.</t>
  </si>
  <si>
    <t>10.1175/JTECH-D-13-00195.1</t>
  </si>
  <si>
    <t>WOS:000341342100010</t>
  </si>
  <si>
    <t>Smith, CA; Speer, KG; Griffiths, RW</t>
  </si>
  <si>
    <t>Smith, Carlowen A.; Speer, Kevin G.; Griffiths, Ross W.</t>
  </si>
  <si>
    <t>Multiple Zonal Jets in a Differentially Heated Rotating Annulus</t>
  </si>
  <si>
    <t>ANTARCTIC CIRCUMPOLAR CURRENT; GEOSTROPHIC TURBULENCE; BAROCLINIC WAVES; BETA-PLANE; FLOWS; FLUID; SPECTRA; DRIVEN; OCEANS; MODEL</t>
  </si>
  <si>
    <t>A laboratory experiment of multiple baroclinic zonal jets is described, thought to be dynamically similar to flow observed in the Antarctic Circumpolar Current. Differential heating sets the overall temperature difference and drives unstable baroclinic flow, but the circulation is free to determine its own structure and local stratification; experiments were run to a stationary state and extend the dynamical regime of previous experiments. A topographic analog to the planetary beta effect is imposed by the gradient of fluid depth with radius supplied by a sloping bottom and a parabolic free surface. New regimes of a low thermal Rossby number (ROT similar to 10(-3)) and high Taylor number (Ta similar to 10(11)) are explored such that the deformation radius L-rho is much smaller than the annulus gap width L and similar to the Rhines length. Multiple jets emerge in rough proportion to the smallness of the Rhines scale, relatively insensitive to the Taylor number; a regime diagram taking the beta effect into account better reflects the emergence of the jets. Eddy momentum fluxes are consistent with an active role in maintaining the jets, and jet development appears to follow the Vallis and Maltrud phenomenology of anisotropic wave turbulence interaction on a beta plane. Intermittency and episodes of coherent meridional jet migration occur, especially during spinup.</t>
  </si>
  <si>
    <t>[Smith, Carlowen A.; Speer, Kevin G.] Florida State Univ, Inst Geophys Fluid Dynam, Tallahassee, FL 32306 USA; [Smith, Carlowen A.; Speer, Kevin G.] Florida State Univ, Dept Earth Ocean &amp; Atmospher Sci, Tallahassee, FL 32306 USA; [Griffiths, Ross W.] Australian Natl Univ, Res Sch Earth Sci, Canberra, ACT, Australia</t>
  </si>
  <si>
    <t>State University System of Florida; Florida State University; State University System of Florida; Florida State University; Australian National University</t>
  </si>
  <si>
    <t>Smith, CA (corresponding author), Florida State Univ, Dept Earth Ocean &amp; Atmospher Sci, Inst Geophys Fluid Dynam, 018 Keen Bldg,77 Chieftain Way, Tallahassee, FL 32306 USA.</t>
  </si>
  <si>
    <t>csmith@gfdi.fsu.edu</t>
  </si>
  <si>
    <t>griffiths, ross/E-6121-2010</t>
  </si>
  <si>
    <t>griffiths, ross/0000-0002-5291-1178; Smith, Carlowen/0000-0003-1556-7723</t>
  </si>
  <si>
    <t>NSF [0927583, 0622670, 1231803]; ARC [DP120102744]; Directorate For Geosciences; Division Of Ocean Sciences [0927583, 1231803] Funding Source: National Science Foundation; Division Of Ocean Sciences; Directorate For Geosciences [0622670] Funding Source: National Science Foundation</t>
  </si>
  <si>
    <t>NSF(National Science Foundation (NSF)); ARC(Australian Research Council); Directorate For Geosciences; Division Of Ocean Sciences(National Science Foundation (NSF)NSF - Directorate for Geosciences (GEO)); Division Of Ocean Sciences; Directorate For Geosciences(National Science Foundation (NSF)NSF - Directorate for Geosciences (GEO))</t>
  </si>
  <si>
    <t>We thank Andy Hogg for his helpful comments and support in hosting CAS, Dhruv Balwada, and two anonymous reviewers who greatly improved this paper. The laboratory portion of this work was performed using the facilities of the Geophysical Fluid Dynamics Laboratory at the Australian National University. The experiments would not have been possible without Anthony Beasley and Ben Tranter who were responsible for the construction and modification of the apparatus, as well as producing and troubleshooting the traversing thermistors. Nicola Maher and Simon Merminod were also essential in the development of the experimental techniques and data analysis methods for the apparatus. We thank them for sharing their technical skills and help. This work was supported by NSF 0927583, NSF 0622670, and NSF 1231803, as well as ARC DP120102744.</t>
  </si>
  <si>
    <t>10.1175/JPO-D-13-0255.1</t>
  </si>
  <si>
    <t>AO4TM</t>
  </si>
  <si>
    <t>WOS:000341334300002</t>
  </si>
  <si>
    <t>Chen, R; Flierl, GR; Wunsch, C</t>
  </si>
  <si>
    <t>Chen, Ru; Flierl, Glenn R.; Wunsch, Carl</t>
  </si>
  <si>
    <t>A Description of Local and Nonlocal Eddy-Mean Flow Interaction in a Global Eddy-Permitting State Estimate</t>
  </si>
  <si>
    <t>AVAILABLE POTENTIAL-ENERGY; ANTARCTIC CIRCUMPOLAR CURRENT; KINETIC-ENERGY; BAROCLINIC INSTABILITY; GENERAL-CIRCULATION; OCEAN CIRCULATION; MOMENTUM FLUXES; SOUTHERN-OCEAN; NEAR-SURFACE; MODEL</t>
  </si>
  <si>
    <t>The assumption that local baroclinic instability dominates eddy-mean flow interactions is tested on a global scale using a dynamically consistent eddy-permitting state estimate. Interactions are divided into local and nonlocal. If all the energy released from the mean flow through eddy-mean flow interaction is used to support eddy growth in the same region, or if all the energy released from eddies through eddy mean flow interaction is used to feed back to the mean flow in the same region, eddy mean flow interaction is local; otherwise, it is nonlocal. Different regions have different characters: in the subtropical region studied in detail, interactions are dominantly local. In the Southern Ocean and Kuroshio and Gulf Stream Extension regions, they are mainly nonlocal. Geographical variability of dominant eddy-eddy and eddy-mean flow processes is a dominant factor in understanding ocean energetics.</t>
  </si>
  <si>
    <t>[Chen, Ru] Univ Calif San Diego, Scripps Inst Oceanog, La Jolla, CA 92037 USA; [Flierl, Glenn R.; Wunsch, Carl] MIT, Cambridge, MA 02139 USA; [Wunsch, Carl] Harvard Univ, Cambridge, MA 02138 USA</t>
  </si>
  <si>
    <t>University of California System; University of California San Diego; Scripps Institution of Oceanography; Massachusetts Institute of Technology (MIT); Harvard University</t>
  </si>
  <si>
    <t>Chen, R (corresponding author), Univ Calif San Diego, Scripps Inst Oceanog, 8622 Kennel Way, La Jolla, CA 92037 USA.</t>
  </si>
  <si>
    <t>ruchen@alum.mit.edu</t>
  </si>
  <si>
    <t>Chen, Ru/A-5681-2015</t>
  </si>
  <si>
    <t>Chen, Ru/0009-0007-6025-6867; Chen, Ru/0000-0002-5017-029X</t>
  </si>
  <si>
    <t>NASA [NNX09AI87G, NNX08AR33G]; NASA [95400, NNX08AR33G, 115867, NNX09AI87G] Funding Source: Federal RePORTER</t>
  </si>
  <si>
    <t>NASA(National Aeronautics &amp; Space Administration (NASA)); NASA(National Aeronautics &amp; Space Administration (NASA))</t>
  </si>
  <si>
    <t>Most material was from a Ph.D. thesis from the MIT-WHOI Joint Program in Oceanography (i.e., Chen 2013). R. Chen thanks NASA (NNX09AI87G and NNX08AR33G) for support. Remarks from Shafer Smith and one anonymous reviewer greatly improved the paper. We thank J.-M. Campin, C. Hill, D. Menemenlis, and H. Zhang for discussions about the ECCO2 state estimate. R. Chen's thesis committee (R. Ferrari, R. Huang, S. Lentz, J. Marshall, and M. Spall) provided helpful suggestions. Comments from A. Wang improved the presentation of the energy diagram.</t>
  </si>
  <si>
    <t>10.1175/JPO-D-14-0009.1</t>
  </si>
  <si>
    <t>Green Published, Bronze, Green Submitted</t>
  </si>
  <si>
    <t>WOS:000341334300005</t>
  </si>
  <si>
    <t>Zhong, WL; Zhao, JP</t>
  </si>
  <si>
    <t>Zhong, Wenli; Zhao, Jinping</t>
  </si>
  <si>
    <t>Deepening of the Atlantic Water Core in the Canada Basin in 2003-11</t>
  </si>
  <si>
    <t>ARCTIC-OCEAN; INTERMEDIATE; VARIABILITY; MAKAROV; NANSEN; IMPACT; FLUX</t>
  </si>
  <si>
    <t>In 2004, a cold mode of Atlantic Water (AW) entered the western Canada basin, replacing the anomalously warm AW that resided in the basin since the 1990s. This slightly colder AW was denser than the 1990s warm mode; it gradually filled most of the western basin by 2009. The enhanced surface stress curl led to the spinup of the Beaufort Gyre and convergence of freshwater. The spinup also resulted in a deepening of the AW core at the center of the gyre and in shoaling of the AW core at the margins of the gyre. The density versus depth relationship revealed in this study shows that the depth of the maximum AW temperature was mainly controlled by the density structure before 2007; thus, it is the case when the denser water was deeper and the case when the lighter water was shallower around the basin. However, this relationship was reversed to become the case when the denser water was shallower and the case when the lighter water was deeper since 2008 inside the Beaufort Gyre. The combined effect of density and sea ice retreat that enhanced surface stress curl determined the depth of the AW inside the Beaufort Gyre since 2008. The deepening of the AW core and expanding of the area where the AW deepening occurred had a profound effect on the large-scale circulation in the Arctic Ocean.</t>
  </si>
  <si>
    <t>[Zhong, Wenli; Zhao, Jinping] Ocean Univ China, Key Lab Phys Oceanog, Qingdao 266100, Peoples R China</t>
  </si>
  <si>
    <t>Ocean University of China</t>
  </si>
  <si>
    <t>Zhong, WL (corresponding author), Ocean Univ China, Key Lab Phys Oceanog, 238 Songling Rd, Qingdao 266100, Peoples R China.</t>
  </si>
  <si>
    <t>wlzhongouc@163.com; jpzhao@ouc.edu.cn</t>
  </si>
  <si>
    <t>Zhong, Wenli/0000-0002-1571-9902</t>
  </si>
  <si>
    <t>National Project of China for Global Change Research [2010CB951403]; Project for Arctic and Antarctic Expedition [CHINARE2012-04-03]</t>
  </si>
  <si>
    <t>National Project of China for Global Change Research; Project for Arctic and Antarctic Expedition</t>
  </si>
  <si>
    <t>This study was supported by the National Project of China for Global Change Research (2010CB951403) and the Project for Arctic and Antarctic Expedition (CHINARE2012-04-03). The authors thank Prof. Jiuxin Shi and Dr. Xiang Li for their insightful discussions. We are greatly indebted to the scientists and technicians at WHOI, DFO, CHINARE, and JAMSTEC who carried out the field expeditions. Several figures were produced using Ocean Data View (R. Schlitzer 2013, Ocean Data View data; http://odv.awi.de). Comments from three anonymous reviewers were valuable and have greatly improved the manuscript.</t>
  </si>
  <si>
    <t>10.1175/JPO-D-13-084.1</t>
  </si>
  <si>
    <t>WOS:000341334300006</t>
  </si>
  <si>
    <t>Ivchenko, VO; Danilov, S; Schröter, J</t>
  </si>
  <si>
    <t>Ivchenko, V. O.; Danilov, S.; Schroeter, J.</t>
  </si>
  <si>
    <t>Comparison of the Effect of Parameterized Eddy Fluxes of Thickness and Potential Vorticity</t>
  </si>
  <si>
    <t>ANTARCTIC CIRCUMPOLAR CURRENT; OCEAN CIRCULATION MODELS; QUASI-GEOSTROPHIC MODEL; BETA-PLANE CHANNEL; GENERAL-CIRCULATION; BOTTOM TOPOGRAPHY; ZONAL FLOWS; INTEGRAL CONSTRAINTS; EDDIES; ATMOSPHERE</t>
  </si>
  <si>
    <t>Parameterization of mesoscale eddies is an important problem of modern ocean dynamics and modeling. The most widely used scheme is the so-called Gent-McWilliams parameterization, which describes the eddy-induced transport of tracers, including temperature, density, and isopycnal thickness (TH). An alternative scheme, proposed by Green and Welander, deals with parameterizing eddy fluxes of potential vorticity (PV). Many recent studies propose using it, for it includes the effect of eddy Reynolds stresses that may influence mean flows. These two schemes are compared in the simplest configuration of two-layer quasigeostrophic channel flow, which enables analytical solutions for zonal-mean fields. It is shown how the parameterizations shape the zonally averaged zonal velocity profiles, with special attention paid to the role of the Reynolds stresses and momentum conservation. The zonally averaged zonal velocity profiles are sensitive to the amplitude and profiles of TH and PV diffusivities. For small enough diffusivities the TH parameterization may lead to solutions resembling those for the PV parameterization if it uses the diffusivity of the latter; that is, it may mimic the impact of the Reynolds stresses on the mean flow.</t>
  </si>
  <si>
    <t>[Ivchenko, V. O.; Danilov, S.; Schroeter, J.] Alfred Wegener Inst Polar &amp; Marine Res, D-27570 Bremerhaven, Germany</t>
  </si>
  <si>
    <t>Helmholtz Association; Alfred Wegener Institute, Helmholtz Centre for Polar &amp; Marine Research</t>
  </si>
  <si>
    <t>Ivchenko, VO (corresponding author), Alfred Wegener Inst Polar &amp; Marine Res, Bussestr 24, D-27570 Bremerhaven, Germany.</t>
  </si>
  <si>
    <t>vladimir.ivchenko@awi.de</t>
  </si>
  <si>
    <t>Danilov, Sergey/S-6184-2016; Schröter, Jens G/H-8806-2016</t>
  </si>
  <si>
    <t>Danilov, Sergey/0000-0001-8098-182X; Schröter, Jens G/0000-0002-9240-5798</t>
  </si>
  <si>
    <t>10.1175/JPO-D-13-0267.1</t>
  </si>
  <si>
    <t>WOS:000341334300012</t>
  </si>
  <si>
    <t>Sauli, C; Busetti, M; De Santis, L; Wardell, N</t>
  </si>
  <si>
    <t>Sauli, Chiara; Busetti, Martina; De Santis, Laura; Wardell, Nigel</t>
  </si>
  <si>
    <t>Late Neogene geomorphological and glacial reconstruction of the northern Victoria Land coast, western Ross Sea (Antarctica)</t>
  </si>
  <si>
    <t>MARINE GEOLOGY</t>
  </si>
  <si>
    <t>Antarctica; western Ross Sea; Neogene; seismic stratigraphy</t>
  </si>
  <si>
    <t>PLEISTOCENE-HOLOCENE RETREAT; ICE-SHEET SYSTEM; TRANSANTARCTIC MOUNTAINS; HISTORY; EMBAYMENT; FLUCTUATIONS; CONSTRAINTS; SEDIMENTARY; SEQUENCES; ORIGIN</t>
  </si>
  <si>
    <t>This study is a contribution to the reconstruction of the geomorphology and the glacial history of the northern Victoria Land coastal glaciers. High-resolution single-channel reflection seismic lines were collected in 2002 within the framework of the Italian Antarctic programme (PNRA), in Wood Bay and Lady Newnes Bay, north to Cape Washington (western Ross Sea, Antarctica). The data provide evidence of overdeepened marine subglacial valleys, more than 1 km deep and 1-2 km wide, formed along the seaward extension of the Tinker, Aviator, Fitzgerald and Icebreaker glaciers and converging into the major SW-NE ice stream system. The spatial distribution and the geometry of the seismic facies, as well as the direct correlation with the seismic sequences in the Northern Basin, are interpreted to document 1) the depositional activity of a coastal glacial system seaward of northern Victoria Land (NVL) after 18 Ma (based on the seismic correlation with the base of DSDP 273) and possibly in the early Pliocene, in coalescence with expanded ice streams coming from the south along the Drygalski Basin, possibly draining from the WAIS as documented at AND-1B in the McMurdo Sound (Naish et al., 2007, 2008, 2009), followed by 2) the development of TAM tidewater glaciers that carved sea valleys near the Victoria Land coast, onto the shelf. The transition from a dynamic thick ice sheet covering the coastal area of NVL to the NVL valley glaciers advancing and retreating up to about 100 km from the coast in the middle Pliocene would represent a significant environmental change, possibly from interglacial conditions more temperate than today and gradually cooling to a cold and dry coastal regime. (C) 2014 Elsevier B.V. All rights reserved.</t>
  </si>
  <si>
    <t>[Sauli, Chiara; Busetti, Martina; De Santis, Laura; Wardell, Nigel] Ist Nazl Oceanog &amp; Geofis Sperimentale OGS, I-34010 Trieste, Italy</t>
  </si>
  <si>
    <t>Istituto Nazionale di Oceanografia e di Geofisica Sperimentale</t>
  </si>
  <si>
    <t>Sauli, C (corresponding author), Ist Nazl Oceanog &amp; Geofis Sperimentale OGS, Borgo Grotta Gigante 42-C, I-34010 Trieste, Italy.</t>
  </si>
  <si>
    <t>csauli@inogs.it</t>
  </si>
  <si>
    <t>Busetti, Martina/L-5185-2014</t>
  </si>
  <si>
    <t>Busetti, Martina/0000-0001-7039-3282; De Santis, Laura/0000-0002-7752-7754; Wardell, Nigel/0000-0002-3213-3209; Sauli, Chiara/0000-0002-0726-9702</t>
  </si>
  <si>
    <t>Italian PNRA (Programma Nazionale di Ricerca in Antartide) [PEA2010/A2.04 Sauli]</t>
  </si>
  <si>
    <t>Italian PNRA (Programma Nazionale di Ricerca in Antartide)</t>
  </si>
  <si>
    <t>This work was funded by Italian PNRA (Programma Nazionale di Ricerca in Antartide) (PEA2010/A2.04 Sauli). The authors thank the crew of the R/V Italica and the PNRA logistic support for the acquisition of the high-resolution seismic data. The multichannel seismic data were made available throughout the Antarctic Seismic Data Library System (SDLS) and the single channel data were kindly provided by John Anderson and Lou Bartek. The authors thank IHS for providing an educational user licence of the Kingdom Suite that was used for the seismic data interpretation. The authors thank also Ross Powell and David Pollard for the useful advice as well as David Piper, John Anderson, Stuart Henrys and an anonymous reviewer for their helpful suggestions that contributed to the improvement of the manuscript.</t>
  </si>
  <si>
    <t>0025-3227</t>
  </si>
  <si>
    <t>1872-6151</t>
  </si>
  <si>
    <t>MAR GEOL</t>
  </si>
  <si>
    <t>Mar. Geol.</t>
  </si>
  <si>
    <t>10.1016/j.margeo.2014.06.008</t>
  </si>
  <si>
    <t>Geosciences, Multidisciplinary; Oceanography</t>
  </si>
  <si>
    <t>Geology; Oceanography</t>
  </si>
  <si>
    <t>AO4VN</t>
  </si>
  <si>
    <t>WOS:000341339600022</t>
  </si>
  <si>
    <t>van den Berk, J; Drijfhout, SS</t>
  </si>
  <si>
    <t>van den Berk, J.; Drijfhout, S. S.</t>
  </si>
  <si>
    <t>A realistic freshwater forcing protocol for ocean-coupled climate models</t>
  </si>
  <si>
    <t>Surface freshwater flux; Global ocean model; North Atlantic; Southern ocean</t>
  </si>
  <si>
    <t>GREENLAND ICE-SHEET; SEA-LEVEL RISE; NORTH-ATLANTIC; MASS-BALANCE; DYNAMICS; PREDICTION; SCENARIOS; IMPACT; MELT</t>
  </si>
  <si>
    <t>A high-end scenario of polar ice loss from the Greenland and Antarctic ice sheet is presented with separate projections for different mass-loss sites up to the year 2100. For each large ice sheet three potential sources of freshwater release to the ocean are considered: run-off from surface melt, basal melt through heat exchange with the ocean, and iceberg calving and subsequent mass loss through melt of drifting icebergs. The location and relative magnitude of freshwater forcing due to drifting icebergs is calculated from a separate iceberg drift simulation. We assume fixed annual spatial patterns with magnitudes varying in time. These magnitudes are based on a severe warming scenario based on expert elicitation. The resultant freshwater forcing is applied to a global climate model and the effects on sea-level rise are discussed. The simulations show strong sea level rise on the Antarctic continental shelves. The effect on the Atlantic overturning circulation is very small, however. (C) 2014 The Authors. Published by Elsevier Ltd. This is an open access article under the CC BY-NC-ND license (http://creativecommons.org/licenses/by-nc-nd/3.0/).</t>
  </si>
  <si>
    <t>[van den Berk, J.; Drijfhout, S. S.] Royal Netherlands Meteorol Inst, NL-3730 AE De Bilt, Netherlands; [Drijfhout, S. S.] Univ Southampton, Sch Ocean &amp; Earth Sci, Southampton, Hants, England</t>
  </si>
  <si>
    <t>Royal Netherlands Meteorological Institute; NERC National Oceanography Centre; University of Southampton</t>
  </si>
  <si>
    <t>van den Berk, J (corresponding author), Royal Netherlands Meteorol Inst, POB 201, NL-3730 AE De Bilt, Netherlands.</t>
  </si>
  <si>
    <t>jelle.van.den.berk@knmi.nl; s.s.drijfhout@soton.ac.uk</t>
  </si>
  <si>
    <t>Drijfhout, Sybren/I-4230-2016</t>
  </si>
  <si>
    <t>Drijfhout, Sybren/0000-0001-5325-7350</t>
  </si>
  <si>
    <t>10.1016/j.ocemod.2014.07.003</t>
  </si>
  <si>
    <t>AO6DQ</t>
  </si>
  <si>
    <t>hybrid, Green Accepted</t>
  </si>
  <si>
    <t>WOS:000341439800004</t>
  </si>
  <si>
    <t>Geng, JJ; Wu, XF; Li, L; Huang, YF; Dai, ZG</t>
  </si>
  <si>
    <t>Geng, J. J.; Wu, X. F.; Li, Liang; Huang, Y. F.; Dai, Z. G.</t>
  </si>
  <si>
    <t>REVISITING THE EMISSION FROM RELATIVISTIC BLAST WAVES IN A DENSITY-JUMP MEDIUM</t>
  </si>
  <si>
    <t>ASTROPHYSICAL JOURNAL</t>
  </si>
  <si>
    <t>gamma-ray burst: general; hydrodynamics; radiation mechanisms: non-thermal; shock waves</t>
  </si>
  <si>
    <t>GAMMA-RAY BURST; ENERGY INJECTION MODEL; X-RAY; LIGHT CURVES; AFTERGLOW EMISSION; 2-COMPONENT JET; TEMPORAL STRUCTURE; OPTICAL FLASHES; DYNAMICAL MODEL; GRB AFTERGLOWS</t>
  </si>
  <si>
    <t>Re-brightening bumps are frequently observed in gamma-ray burst afterglows. Many scenarios have been proposed to interpret the origin of these bumps, of which a blast wave encountering a density-jump in the circumburst environment has been questioned by recent works. We develop a set of differential equations to calculate the relativistic outflow encountering the density-jump by extending the work of Huang et al. This approach is a semi-analytic method and is very convenient. Our results show that late high-amplitude bumps cannot be produced under common conditions, rather only a short plateau may emerge even when the encounter occurs at an early time (&lt; 10(4) s). In general, our results disfavor the density-jump origin for those observed bumps, which is consistent with the conclusion drawn from full hydrodynamics studies. The bumps thus should be caused by other scenarios.</t>
  </si>
  <si>
    <t>[Geng, J. J.; Huang, Y. F.; Dai, Z. G.] Nanjing Univ, Sch Astron &amp; Space Sci, Nanjing 210093, Jiangsu, Peoples R China; [Geng, J. J.; Huang, Y. F.; Dai, Z. G.] Nanjing Univ, Key Lab Modern Astron &amp; Astrophys, Minist Educ, Nanjing 210008, Jiangsu, Peoples R China; [Wu, X. F.] Chinese Acad Sci, Purple Mt Observ, Nanjing 210008, Jiangsu, Peoples R China; [Wu, X. F.] Chinese Acad Sci, Chinese Ctr Antarctic Astron, Nanjing 210008, Jiangsu, Peoples R China; [Wu, X. F.] Nanjing Univ, Chinese Acad Sci, Purple Mt Observ, Joint Ctr Particle Nucl Phys &amp; Cosmol, Nanjing 210008, Jiangsu, Peoples R China; [Li, Liang] Univ Stockholm, Dept Phys, SE-10691 Stockholm, Sweden</t>
  </si>
  <si>
    <t>Nanjing University; Nanjing University; Purple Mountain Observatory, CAS; Chinese Academy of Sciences; Nanjing Institute of Astronomical Optics &amp; Technology, NAOC, CAS; Chinese Academy of Sciences; Chinese Academy of Sciences; Nanjing Institute of Astronomical Optics &amp; Technology, NAOC, CAS; Nanjing University; Purple Mountain Observatory, CAS; Stockholm University</t>
  </si>
  <si>
    <t>Geng, JJ (corresponding author), Nanjing Univ, Sch Astron &amp; Space Sci, Nanjing 210093, Jiangsu, Peoples R China.</t>
  </si>
  <si>
    <t>xfwu@pmo.ac.cn; hyf@nju.edu.cn; dzg@nju.edu.cn</t>
  </si>
  <si>
    <t>Huang, Y.F./G-7274-2015; GENG, Jin-Jun/K-1684-2019; Li, Liang/AAB-1075-2020; Wu, Xuefeng/G-5316-2015</t>
  </si>
  <si>
    <t>GENG, Jin-Jun/0000-0001-9648-7295; Li, Liang/0000-0002-1343-3089; Dai, Zigao/0000-0002-7835-8585; Wu, Xuefeng/0000-0002-6299-1263</t>
  </si>
  <si>
    <t>National Basic Research Program of China (973 Program) [2014CB845800, 2013CB834900]; National Natural Science Foundation of China [11033002, 11322328]; One-Hundred-Talents Program; Youth Innovation Promotion Association; Strategic Priority Research Program The Emergence of Cosmological Structures of the Chinese Academy of Sciences [XDB09000000]; Swedish National Space Board; Erasmus Mundus Joint Doctorate Program from the EACEA of the European Commission [2011-1640]</t>
  </si>
  <si>
    <t>National Basic Research Program of China (973 Program)(National Basic Research Program of China); National Natural Science Foundation of China(National Natural Science Foundation of China (NSFC)); One-Hundred-Talents Program(Chinese Academy of Sciences); Youth Innovation Promotion Association; Strategic Priority Research Program The Emergence of Cosmological Structures of the Chinese Academy of Sciences; Swedish National Space Board(Swedish National Space Agency (SNSA)); Erasmus Mundus Joint Doctorate Program from the EACEA of the European Commission</t>
  </si>
  <si>
    <t>We thank the anonymous referee for helpful comments and suggestions that led to an overall improvement of this study. This work was supported by the National Basic Research Program of China (973 Program, grant No. 2014CB845800, and 2013CB834900) and the National Natural Science Foundation of China (grant No. 11033002 and 11322328). X.F.W. acknowledges support by the One-Hundred-Talents Program, the Youth Innovation Promotion Association, and the Strategic Priority Research Program The Emergence of Cosmological Structures of the Chinese Academy of Sciences (grant No. XDB09000000). L.L. acknowledges support by the Swedish National Space Board, and the Erasmus Mundus Joint Doctorate Program by grant Number 2011-1640 from the EACEA of the European Commission.</t>
  </si>
  <si>
    <t>0004-637X</t>
  </si>
  <si>
    <t>1538-4357</t>
  </si>
  <si>
    <t>ASTROPHYS J</t>
  </si>
  <si>
    <t>Astrophys. J.</t>
  </si>
  <si>
    <t>10.1088/0004-637X/792/1/31</t>
  </si>
  <si>
    <t>AO2RE</t>
  </si>
  <si>
    <t>WOS:000341172100031</t>
  </si>
  <si>
    <t>Schmid, C</t>
  </si>
  <si>
    <t>Schmid, Claudia</t>
  </si>
  <si>
    <t>Mean vertical and horizontal structure of the subtropical circulation in the South Atlantic from three-dimensional observed velocity fields</t>
  </si>
  <si>
    <t>DEEP-SEA RESEARCH PART I-OCEANOGRAPHIC RESEARCH PAPERS</t>
  </si>
  <si>
    <t>Subtropical gyre; Transport; South Atlantic; Three-dimensional velocity field from observations</t>
  </si>
  <si>
    <t>ANTARCTIC INTERMEDIATE WATER; TOTAL GEOSTROPHIC CIRCULATION; BRAZIL-MALVINAS CONFLUENCE; BENGUELA CURRENT; LAGRANGIAN CIRCULATION; DEPTH CIRCULATION; FLOW PATTERNS; OCEAN; VARIABILITY; TRANSPORT</t>
  </si>
  <si>
    <t>An analysis of the mean three-dimensional horizontal circulation in the subtropical South Atlantic based on velocity fields derived primarily from Argo data and AVISO sea surface heights, collected in the years 2000-2012, provides new insight into the zonal and meridional transports in the subtropical gyre. The velocity fields reveal the reduction of the latitudinal extent of the subtropical gyre with increasing depth that is mainly due to a southward shift of the westward flowing branch of the subtropical gyre, which is most pronounced near the western boundary. An analysis of zonal and meridional transports in the subtropical gyre in five 400 m thick layers from the surface to 2000 m reveals an interior pathway from the South Atlantic Current (SAC) to the Southern South Equatorial Current (SSEC) between 18 degrees W and 1 degrees E. At 35 degrees S the northward transport in this longitude band ranges from 5.5 Sv (1 Sv =1 Sverdrup = 10(6) m(3) s(-1)) in the shallowest layer to 3.5 Sv in the deepest layer, and adds up to total transport of 14.6 Sv in the upper 800 m. Within the uncertainty of the estimated transports, these northward transports are consistent with the east-to-west strengthening of the SSEC in 18 degrees W and 1 degrees E (e.g. 14.2 Sv in the upper 800 m). For the SAC, the change of the transport has the correct sign, but the west-to-east shrinking of the transport is larger than the northward transport, which suggests a transfer of water from the SAC to the Antarctic Circumpolar Current. With respect to the boundary currents that are part of the subtropical gyre, the southward transport of the western boundary current in the upper 2000 m increases from 5.2 Sv at 28 degrees S to 44.2 Sv at 33 degrees S. This is followed by a decrease to 22.2 Sv at 36 degrees S and another increase to 38.7 Sv at 39 degrees S. Further analysis shows that the increase of the transport by 15.2 Sv between 31 S and 33 degrees S is primarily due to the small recirculation cell just east of the Brazil Current that has a northward transport of 13.1 Sv at 35 degrees S in the upper 2000 m. Along the eastern boundary, the transport of the Benguela Current within the upper 1200 m at 35 degrees S is 23.9 Sv, increasing by about 10 Sv between 37 degrees S and 32 degrees S. To the east of this current, the Benguela Poleward Undercurrent can be detected in the velocity and salinity fields derived for the core of the Antarctic Intermediate Water. This current extends as far south as 30 degrees S and potentially even to 33 degrees S. Published by Elsevier Ltd.</t>
  </si>
  <si>
    <t>NOAA AOML PHOD, Miami, FL 33149 USA</t>
  </si>
  <si>
    <t>National Oceanic Atmospheric Admin (NOAA) - USA; Atlantic Oceanographic &amp; Meteorological Laboratory (AOML)</t>
  </si>
  <si>
    <t>Schmid, C (corresponding author), NOAA AOML PHOD, 4301 Rickenbacker Causeway, Miami, FL 33149 USA.</t>
  </si>
  <si>
    <t>claudia.schmid@noaa.gov</t>
  </si>
  <si>
    <t>Schmid, Claudia/D-5875-2013</t>
  </si>
  <si>
    <t>0967-0637</t>
  </si>
  <si>
    <t>1879-0119</t>
  </si>
  <si>
    <t>DEEP-SEA RES PT I</t>
  </si>
  <si>
    <t>Deep-Sea Res. Part I-Oceanogr. Res. Pap.</t>
  </si>
  <si>
    <t>10.1016/j.dsr.2014.04.015</t>
  </si>
  <si>
    <t>AO0FM</t>
  </si>
  <si>
    <t>WOS:000340984500006</t>
  </si>
  <si>
    <t>Bombosch, A; Zitterbart, DP; Van Opzeeland, U; Frickenhaus, S; Burkhardt, E; Wisz, MS; Boebel, O</t>
  </si>
  <si>
    <t>Bombosch, Annette; Zitterbart, Daniel P.; Van Opzeeland, Use; Frickenhaus, Stephan; Burkhardt, Elke; Wisz, Mary S.; Boebel, Olaf</t>
  </si>
  <si>
    <t>Predictive habitat modelling of humpback (Megaptera novaeangliae) and Antarctic minke (Balaenoptera bonaerensis) whales in the Southern Ocean as a planning tool for seismic surveys</t>
  </si>
  <si>
    <t>Seismic survey; Ocean noise; Humpback whale (Megaptera novaeangliae); Antarctic minke whale (Balaenoptera bonaerensis); Species distribution; Habitat preference; Antarctic; Maxent</t>
  </si>
  <si>
    <t>MARINE MAMMALS; SPECIES DISTRIBUTIONS; SAMPLE-SIZE; BELLINGSHAUSEN; PREFERENCES; PERFORMANCE; SELECTION; AMUNDSEN; WEST</t>
  </si>
  <si>
    <t>Seismic surveys are frequently a matter of concern regarding their potentially negative impacts on marine mammals. In the Southern Ocean, which provides a critical habitat for several endangered cetacean species, seismic research activities are undertaken at a circumpolar scale. In order to minimize impacts of these surveys, pre-cruise planning requires detailed, spatio-temporally resolved knowledge on the likelihood of encountering these species in the survey area. In this publication we present predictive habitat modelling as a potential tool to support decisions for survey planning. We associated opportunistic sightings (2005-2011) of humpback (Megaptera novaeangliae, N=93) and Antarctic minke whales (Balaenoptera bonaerensis, N=139) with a range of static and dynamic environmental variables. A maximum entropy algorithm (Maxent) was used to develop habitat models and to calculate daily basinwide/circumpolar prediction maps to evaluate how species-specific habitat conditions evolved throughout the spring and summer months. For both species, prediction maps revealed considerable changes in habitat suitability throughout the season. Suitable humpback whale habitat occurred predominantly in ice-free areas, expanding southwards with the retreating sea ice edge, whereas suitable Antarctic minke whale habitat was consistently predicted within sea ice covered areas. Daily, large-scale prediction maps provide a valuable tool to design layout and timing of seismic surveys as they allow the identification and consideration of potential spatio-temporal hotspots to minimize potential impacts of seismic surveys on Antarctic cetacean species. (C) 2014 The Authors. Published by Elsevier Ltd. This is an open access article under the CC BY-NC-ND license (http://creativecommons.org/licenses/by-nc-nd/3.0/).</t>
  </si>
  <si>
    <t>[Bombosch, Annette; Zitterbart, Daniel P.; Van Opzeeland, Use; Frickenhaus, Stephan; Burkhardt, Elke; Boebel, Olaf] Helmholtz Zentrum Polar &amp; Meeresforsch, Alfred Wegener Inst, D-27568 Bremerhaven, Germany; [Zitterbart, Daniel P.] Univ Erlangen Nurnberg, Biophys Grp, D-91054 Erlangen, Germany; [Wisz, Mary S.] Aarhus Univ, Arctic Res Ctr, Dept Biosci, DK-4000 Roskilde, Denmark; [Wisz, Mary S.] Danish Hydraul Inst, Dept Ecol &amp; Environm, DK-2970 Horsholm, Denmark</t>
  </si>
  <si>
    <t>Helmholtz Association; Alfred Wegener Institute, Helmholtz Centre for Polar &amp; Marine Research; University of Erlangen Nuremberg; Aarhus University; Danish Hydraulic Institute (DHI)</t>
  </si>
  <si>
    <t>Bombosch, A (corresponding author), Helmholtz Zentrum Polar &amp; Meeresforsch, Alfred Wegener Inst, Alten Hafen 26, D-27568 Bremerhaven, Germany.</t>
  </si>
  <si>
    <t>annette.bombosch@gmail.com; Olaf.Boebel@awi.de</t>
  </si>
  <si>
    <t>Zitterbart, Daniel P/N-7489-2013; Wisz, Mary S/J-7826-2013</t>
  </si>
  <si>
    <t>Zitterbart, Daniel/0000-0001-9429-4350; Frickenhaus, Stephan/0000-0002-0356-9791; Wisz, Mary S./0000-0002-5357-6367</t>
  </si>
  <si>
    <t>Federal Ministry for the Environment, Nature Conservation and Nuclear Safety [BMU 370891101-01]</t>
  </si>
  <si>
    <t>Federal Ministry for the Environment, Nature Conservation and Nuclear Safety</t>
  </si>
  <si>
    <t>This project was funded by the Federal Ministry for the Environment, Nature Conservation and Nuclear Safety (Grant no. BMU 370891101-01). The responsibility for the content of this publication rests solely with the authors.</t>
  </si>
  <si>
    <t>10.1016/j.dsr.2014.05.017</t>
  </si>
  <si>
    <t>hybrid, Green Published</t>
  </si>
  <si>
    <t>WOS:000340984500010</t>
  </si>
  <si>
    <t>Ye, LL; Lay, T; Koper, KD; Smalley, R; Rivera, L; Bevis, MG; Zakrajsek, AF; Teferle, FN</t>
  </si>
  <si>
    <t>Ye, Lingling; Lay, Thorne; Koper, Keith D.; Smalley, Robert, Jr.; Rivera, Luis; Bevis, Michael G.; Zakrajsek, Andres F.; Teferle, Felix Norman</t>
  </si>
  <si>
    <t>Complementary slip distributions of the August 4, 2003 Mw 7.6 and November 17, 2013 Mw 7.8 South Scotia Ridge earthquakes</t>
  </si>
  <si>
    <t>EARTH AND PLANETARY SCIENCE LETTERS</t>
  </si>
  <si>
    <t>Scotia Plate earthquakes; strike-slip faulting; finite-fault models; fault asperities; high-rate GPS</t>
  </si>
  <si>
    <t>ANTARCTICA PLATE BOUNDARY; WEDDELL SEA; TECTONICS; ATLANTIC; FAULT; MOTIONS; REGION; WAVES</t>
  </si>
  <si>
    <t>The South Scotia Ridge Transform (SSRT) plate boundary between the Scotia and Antarctic plates experienced large strike-slip earthquakes on August 4, 2003 (M-w 7.6) and November 17, 2013 (M-w 7.8). These events have overlapping aftershock zones, which is unusual. A 36 degrees-45 degrees southward dipping fault zone ruptured with left-lateral displacements in each event along the northern margin of the South Orkney micro-continent near 60 degrees S. Slip distributions for the two events are determined using teleseismic body and surface wave recordings along with constraints from GPS ground motion recordings at station BORC on Laurie Island (South Orkney Islands), just south of the SSRT. The aftershock distributions, high-frequency back-projections, and unconstrained body wave finite-fault inversions permit significant overlap of the 2003 and 2013 slip zones; however, the GPS static displacements resolve differences in the large-slip regions of the two ruptures. The 2013 earthquake sequence along the SSRT initiated with M-w 6.1 (November 13) and M-w 6.8 (November 16) foreshocks located similar to 50 km west of the mainshock hypocenter, and had aftershocks extending similar to 250 km eastward. The rupture spread primarily eastward at similar to 2.5 km/s with a total rupture duration of about 120 s, with two distinct patches of large-slip located northwest and northeast of the South Orkney Islands. The rupture swept past BORC, with high-rate GPS (HRGPS) ground motion recordings capturing the time-varying slip history of the faulting. Traditional GPS data require that the largest-slip region of the shorter rupture in 2003 is located in the gap NNE of BORC between the two patches that ruptured in 2013. There appears to be some overlap of lower slip regions. The complementary slip distributions comprise a relatively uniform offset along this portion of the SSRT, which is one of the most seismically active regions of the entire Antarctic plate boundary. (C) 2014 Elsevier B.V. All rights reserved.</t>
  </si>
  <si>
    <t>[Ye, Lingling; Lay, Thorne] Univ Calif Santa Cruz, Dept Earth &amp; Planetary Sci, Santa Cruz, CA 95064 USA; [Koper, Keith D.] Univ Utah, Dept Geol &amp; Geophys, Salt Lake City, UT 84112 USA; [Smalley, Robert, Jr.] Univ Memphis, Ctr Earthquake Res &amp; Informat, Memphis, TN 38152 USA; [Rivera, Luis] Univ Strasbourg, CNRS, Inst Phys Globe Strasbourg, Strasbourg, France; [Bevis, Michael G.] Ohio State Univ, Sch Earth Sci, Mendenhall Lab 275, Columbus, OH 43210 USA; [Zakrajsek, Andres F.] Inst Antartico Argentino, Direcc Nacl Antartico, Buenos Aires, DF, Argentina; [Teferle, Felix Norman] Univ Luxembourg, Geophys Lab, L-1359 Luxembourg, Luxembourg</t>
  </si>
  <si>
    <t>University of California System; University of California Santa Cruz; Utah System of Higher Education; University of Utah; University of Memphis; Universites de Strasbourg Etablissements Associes; Universite de Strasbourg; Centre National de la Recherche Scientifique (CNRS); University System of Ohio; Ohio State University; Instituto Antartico Argentino; University of Luxembourg</t>
  </si>
  <si>
    <t>Lay, T (corresponding author), Univ Calif Santa Cruz, Dept Earth &amp; Planetary Sci, Santa Cruz, CA 95064 USA.</t>
  </si>
  <si>
    <t>tlay@ucsc.edu</t>
  </si>
  <si>
    <t>Teferle, Felicia Norma/AFL-9981-2022; Lay, Thorne/ABE-6272-2021</t>
  </si>
  <si>
    <t>Teferle, Felicia Norma/0000-0002-9132-3571; LIVIA CRISTINA, PINAS RIVERA/0000-0002-1631-4923; Ye, Lingling/0000-0002-8739-2072</t>
  </si>
  <si>
    <t>NSF [EAR1245717]; Directorate For Geosciences; Office of Polar Programs (OPP) [1247518] Funding Source: National Science Foundation; Division Of Earth Sciences; Directorate For Geosciences [1245717] Funding Source: National Science Foundation</t>
  </si>
  <si>
    <t>NSF(National Science Foundation (NSF)); Directorate For Geosciences; Office of Polar Programs (OPP)(National Science Foundation (NSF)NSF - Directorate for Geosciences (GEO)); Division Of Earth Sciences; Directorate For Geosciences(National Science Foundation (NSF)NSF - Directorate for Geosciences (GEO))</t>
  </si>
  <si>
    <t>This work made use of GMT and SAC software. The IRIS DMS data center was used to access the seismic data from Global seismic network and Federation of Digital Seismic Network stations. We thank the Argentine National Park Service and Argentine Navy for operation of BORC. We thank R. Abercrombie and an anonymous reviewer for their helpful reviews of the manuscript. This work was supported by NSF grant EAR1245717 (T.L.).</t>
  </si>
  <si>
    <t>0012-821X</t>
  </si>
  <si>
    <t>1385-013X</t>
  </si>
  <si>
    <t>EARTH PLANET SC LETT</t>
  </si>
  <si>
    <t>Earth Planet. Sci. Lett.</t>
  </si>
  <si>
    <t>10.1016/j.epsl.2014.06.007</t>
  </si>
  <si>
    <t>AO3GV</t>
  </si>
  <si>
    <t>WOS:000341218600020</t>
  </si>
  <si>
    <t>Hurford, TA; Brunt, KM</t>
  </si>
  <si>
    <t>Hurford, T. A.; Brunt, K. M.</t>
  </si>
  <si>
    <t>Antarctic analog for dilational bands on Europa</t>
  </si>
  <si>
    <t>Europa; tectonics; Earth analog; Antarctica</t>
  </si>
  <si>
    <t>ROSS ICE SHELF; MORPHOLOGY; ENCELADUS; TECTONICS; SURFACE; FLEXURE; MODEL; RIFTS; TIDES; FLOW</t>
  </si>
  <si>
    <t>Europa's surface shows signs of extension, which is revealed as lithospheric dilation expressed along ridges, dilational bands and ridged bands. Ridges, the most common tectonic feature on Europa, comprise a central crack flanked by two raised banks a few hundred meters high on each side. Together these three classes may represent a continuum of formation. In Tufts' Dilational Model ridge formation is dominated by daily tidal cycling of a crack, which can be superimposed with regional secular dilation. The two sources of dilation can combine to form the various band morphologies observed. New GPS data along a rift on the Ross Ice Shelf, Antarctica is a suitable Earth analog to test the framework of Tufts' Dilational Model. As predicted by Tufts' Dilational Model, tensile failures in the Ross Ice Shelf exhibit secular dilation, upon which a tidal signal can be seen. From this analog we conclude that Tufts' Dilational Model for Europan ridges and bands may be credible and that the secular dilation is most likely from a regional source and not tidally driven. Published by Elsevier B.V.</t>
  </si>
  <si>
    <t>[Hurford, T. A.] NASA, Planetary Syst Lab, Goddard Spaceflight Ctr, Greenbelt, MD 20771 USA; [Brunt, K. M.] Univ Maryland, ESSIC, College Pk, MD 20740 USA; [Brunt, K. M.] NASA, Cryospher Sci Lab, Goddard Space Flight Ctr, Greenbelt, MD 20771 USA</t>
  </si>
  <si>
    <t>National Aeronautics &amp; Space Administration (NASA); NASA Goddard Space Flight Center; University System of Maryland; University of Maryland College Park; National Aeronautics &amp; Space Administration (NASA); NASA Goddard Space Flight Center</t>
  </si>
  <si>
    <t>Hurford, TA (corresponding author), NASA, Planetary Syst Lab, Goddard Spaceflight Ctr, Greenbelt, MD 20771 USA.</t>
  </si>
  <si>
    <t>Terry.A.Hurford@nasa.gov</t>
  </si>
  <si>
    <t>Hurford, Terry/F-2625-2012</t>
  </si>
  <si>
    <t>NASA Headquarters</t>
  </si>
  <si>
    <t>NASA Headquarters(National Aeronautics &amp; Space Administration (NASA))</t>
  </si>
  <si>
    <t>We thank NASA Headquarters for funding through the Science Innovation Fund (Surface Deformation of Icy Moons: Insights from Earth Analogs and Modeling). We thank Douglas MacAyeal and the NSIDC for Nascent Iceberg GPS data. We thank Jeanne Sauber, Alyssa Rhoden, Wade Henning, Ryan Walker and Tom Neumann for insightful comments and discussions.</t>
  </si>
  <si>
    <t>10.1016/j.epsl.2014.05.015</t>
  </si>
  <si>
    <t>WOS:000341218600025</t>
  </si>
  <si>
    <t>Fernandes, MC; Nayak, GN; Pande, A; Volvoikar, SP; Dessai, DRG</t>
  </si>
  <si>
    <t>Fernandes, M. C.; Nayak, G. N.; Pande, A.; Volvoikar, S. P.; Dessai, D. R. G.</t>
  </si>
  <si>
    <t>Depositional environment of mudflats and mangroves and bioavailability of selected metals within mudflats in a tropical estuary</t>
  </si>
  <si>
    <t>ENVIRONMENTAL EARTH SCIENCES</t>
  </si>
  <si>
    <t>Sediment; Metal; Tropical estuary; Bioavailability</t>
  </si>
  <si>
    <t>SALT-MARSH SEDIMENTS; HEAVY-METALS; TRACE-METALS; WEST-COAST; SURFICIAL SEDIMENTS; SPATIAL VARIATION; MIDDLE ESTUARY; ZN; GEOCHEMISTRY; ACCUMULATION</t>
  </si>
  <si>
    <t>Four sediment cores representing adjacent mudflat and mangrove sub-environments of middle estuary (Shastri) were analyzed for sand, silt, clay, and organic carbon. Total metal concentration of iron (Fe), manganese (Mn), nickel (Ni), zinc (Zn), chromium (Cr), copper (Cu), cobalt (Co), and lead (Pb) and chemical speciation of Fe, Mn, and Co on selected samples was also carried out on mudflat cores. The sediments in the upper middle estuary were found to be deposited under highly varying hydrodynamic energy conditions; whereas lower middle estuary experienced relatively stable hydrodynamic energy conditions with time. The tributary joining the river near the upper middle estuary is found to be responsible for the addition of enhanced organic carbon and metal concentrations. Speciation study indicated Fe and Co are from natural lithogenic origin while Mn is derived from anthropogenic sources. Higher Mn and Co than apparent effects threshold can pose a high risk of toxicity to organisms associated with these sediments.</t>
  </si>
  <si>
    <t>[Fernandes, M. C.; Nayak, G. N.; Pande, A.; Volvoikar, S. P.] Goa Univ, Dept Marine Sci, Taleigao 403206, Goa, India; [Dessai, D. R. G.] Natl Ctr Antarctic &amp; Ocean Res, Vasco Da Gama 403804, Goa, India</t>
  </si>
  <si>
    <t>Goa University; Ministry of Earth Sciences (MoES) - India; National Centre for Polar and Ocean Research (NCPOR)</t>
  </si>
  <si>
    <t>Nayak, GN (corresponding author), Goa Univ, Dept Marine Sci, Taleigao 403206, Goa, India.</t>
  </si>
  <si>
    <t>nayak1006@rediffmail.com</t>
  </si>
  <si>
    <t>Fernandes, Maria/AAO-6056-2020</t>
  </si>
  <si>
    <t>Ministry of Earth Sciences, New Delhi</t>
  </si>
  <si>
    <t>One of the authors (GNN) wish to thank the Ministry of Earth Sciences, New Delhi for the financial support to carry out research work on mudflats along central west coast of India.</t>
  </si>
  <si>
    <t>1866-6280</t>
  </si>
  <si>
    <t>1866-6299</t>
  </si>
  <si>
    <t>ENVIRON EARTH SCI</t>
  </si>
  <si>
    <t>Environ. Earth Sci.</t>
  </si>
  <si>
    <t>10.1007/s12665-014-3095-y</t>
  </si>
  <si>
    <t>Environmental Sciences; Geosciences, Multidisciplinary; Water Resources</t>
  </si>
  <si>
    <t>Environmental Sciences &amp; Ecology; Geology; Water Resources</t>
  </si>
  <si>
    <t>AO1OV</t>
  </si>
  <si>
    <t>WOS:000341083800010</t>
  </si>
  <si>
    <t>Watson, R; Pauly, D</t>
  </si>
  <si>
    <t>Watson, Reg; Pauly, Daniel</t>
  </si>
  <si>
    <t>Coastal catch transects as a tool for studying global fisheries</t>
  </si>
  <si>
    <t>FISH AND FISHERIES</t>
  </si>
  <si>
    <t>Coastal; cross-sectional transects; exclusive economic zones; global fisheries; large marine ecosystems</t>
  </si>
  <si>
    <t>VARIABILITY; OCEAN</t>
  </si>
  <si>
    <t>We present a new, intuitive approach for the representation of fisheries catches within profiles perpendicular to coast of the Exclusive Economic Zones (EEZ) of countries, or of Large Marine Ecosystems (LME). These 'catch transects' show where catch is extracted in the water column and near the sea bottom on plots of log-bathymetry versus log-distance offshore and thus allow for representation of the catch density of pelagic and benthic fisheries. Hence, they also allow direct visual comparison of the intensity of fishing through time and space. The California Current, North Sea and the South China Sea LMEs and the EEZs of Australia, Canada, Chile, China, India and Thailand are presented as examples, revealing the general intensification and extension of fishing offshore and into the depths over the decades from the 1950s. Catch transects reveal how these trends have accelerated in some areas, but surprisingly have reversed themselves in some others. It is proposed that these catch transects will be particularly useful for communicating the results of large-scale fisheries studies to a wide spectrum of groups ranging from the fishing industry to the general public.</t>
  </si>
  <si>
    <t>[Watson, Reg] Univ Tasmania, Inst Marine &amp; Antarctic Studies, Hobart, Tas 7001, Australia; [Pauly, Daniel] Univ British Columbia, Fisheries Ctr, Sea Us Project, Vancouver, BC V6T 1Z4, Canada</t>
  </si>
  <si>
    <t>University of Tasmania; University of British Columbia</t>
  </si>
  <si>
    <t>Watson, R (corresponding author), Univ Tasmania, Inst Marine &amp; Antarctic Studies, Private Bag 49, Hobart, Tas 7001, Australia.</t>
  </si>
  <si>
    <t>rwatson@ecomarres.com</t>
  </si>
  <si>
    <t>Pauly, Daniel Marc/AAY-2316-2021; Watson, Reg A/F-4850-2012</t>
  </si>
  <si>
    <t>Watson, Reg A/0000-0001-7201-8865; Pauly, Daniel/0000-0003-3756-4793</t>
  </si>
  <si>
    <t>University of British Columbia; Pew Environment Group</t>
  </si>
  <si>
    <t>Authors acknowledge the support of the Sea Around Us project, a scientific collaboration between the University of British Columbia and the Pew Environment Group. RW acknowledges the support of the Sea Around Us project's data team members, and the R programming assistance provided by Gabrielle Nowara.</t>
  </si>
  <si>
    <t>1467-2960</t>
  </si>
  <si>
    <t>1467-2979</t>
  </si>
  <si>
    <t>FISH FISH</t>
  </si>
  <si>
    <t>Fish. Fish.</t>
  </si>
  <si>
    <t>10.1111/faf.12025</t>
  </si>
  <si>
    <t>Fisheries</t>
  </si>
  <si>
    <t>AN5WB</t>
  </si>
  <si>
    <t>WOS:000340661300006</t>
  </si>
  <si>
    <t>Budaeva, N; Pyataeva, S; Meissner, K</t>
  </si>
  <si>
    <t>Budaeva, Nataliya; Pyataeva, Sofia; Meissner, Karin</t>
  </si>
  <si>
    <t>Development of the deep-sea viviparous quill worm Leptoecia vivipara (Hyalinoeciinae, Onuphidae, Annelida)</t>
  </si>
  <si>
    <t>INVERTEBRATE BIOLOGY</t>
  </si>
  <si>
    <t>Antarctica; brooding; chaetal replacement; Polychaeta; progenesis</t>
  </si>
  <si>
    <t>LARVAL DEVELOPMENT; REPRODUCTION; POLYCHAETA; EVOLUTIONARY; EUNICIDAE; GROWTH; WATER</t>
  </si>
  <si>
    <t>Development of Leptoecia vivipara, a brooding deep-sea onuphid polychaete with a circum-Antarctic distribution, was studied using light microscopy, scanning and transmission electron microscopy, and histology. All specimens examined were brooding viviparous females or juveniles; no male gametes were detected. Anterior segments of juvenile and adult worms bore paired compact ovaries with clusters of vitellogenic oocytes. In adults, the mid-body region formed a chamber containing up to 12 offspring at different stages of development, from oocyte to 13 chaetigers. Mature oocytes freely floated in the coelomic fluid, while embryos and juveniles were enclosed in peritoneal envelopes. Chaetal replacement in juveniles and the morphology of the provisional maxillae are described. Leptoecia vivipara is argued to be a progenetic species with juvenile-like external morphology and accelerated sexual maturation. These traits may have arisen as adaptations to epibenthic life in a high-latitude deep-sea environment affected by seasonal pulses of organic matter.</t>
  </si>
  <si>
    <t>[Budaeva, Nataliya] Univ Museum Bergen, Nat Hist Collect, N-5007 Bergen, Norway; [Budaeva, Nataliya] Russian Acad Sci, PP Shirshov Oceanol Inst, Moscow 117997, Russia; [Pyataeva, Sofia] Lomonosov Moscow State Univ, Dept Invertebrate Zool, Fac Biol, Moscow 19991, Russia; [Meissner, Karin] Senckenberg Res Inst, German Ctr Marine Biodivers Res, D-20146 Hamburg, Germany</t>
  </si>
  <si>
    <t>University of Bergen; Russian Academy of Sciences; Shirshov Institute of Oceanology; Lomonosov Moscow State University; Senckenberg Gesellschaft fur Naturforschung (SGN)</t>
  </si>
  <si>
    <t>Budaeva, N (corresponding author), Univ Museum Bergen, Nat Hist Collect, N-5007 Bergen, Norway.</t>
  </si>
  <si>
    <t>nataliya.budaeva@um.uib.no</t>
  </si>
  <si>
    <t>Budaeva, Nataliya/E-5768-2012</t>
  </si>
  <si>
    <t>Budaeva, Nataliya/0000-0001-9748-2285</t>
  </si>
  <si>
    <t>Marie Curie postdoctoral Fellowship (Project PRODEEP PROgenetic evolution of the DEEP-sea fauna); Research Council of Norway; Russian Foundation for Basic Research [12-05-33049]; CeDAMar taxonomic exchange fellowship</t>
  </si>
  <si>
    <t>Marie Curie postdoctoral Fellowship (Project PRODEEP PROgenetic evolution of the DEEP-sea fauna)(Marie Curie ActionsEuropean Union (EU)); Research Council of Norway(Research Council of Norway); Russian Foundation for Basic Research(Russian Foundation for Basic Research (RFBR)Spanish Government); CeDAMar taxonomic exchange fellowship</t>
  </si>
  <si>
    <t>We thank the crew and the scientists of ANDEEP I and III expeditions for sampling in the deep-sea Antarctic. We are grateful to Hannelore Paxton, Pat Hutchings, Stephen Keable, and the staff of the Australian Museum for making the specimens of Leptoecia from the Australian waters available for examination and for providing facilities at the Australian Museum. We thank Robin Wilson and Chris Rowley (Museum Victoria) for the loan exchange of specimens of the Australian polychaetes. We are grateful to Renate Walter, Egil Severin Erichsen, Katrine Kongshavn, and Sue Lindsay for assistance with SEM and digital photography. We thank two anonymous reviewers and Hannelore Paxton for providing valuable comments on our manuscript. This work was supported by a Marie Curie postdoctoral Fellowship (Project PRODEEP PROgenetic evolution of the DEEP-sea fauna), the Research Council of Norway (top-up financing of Marie Curie Fellows), the Russian Foundation for Basic Research (Project No. 12-05-33049), and a CeDAMar taxonomic exchange fellowship. Examination of the Australian material was supported by an Endeavour Research Fellowship.</t>
  </si>
  <si>
    <t>1077-8306</t>
  </si>
  <si>
    <t>1744-7410</t>
  </si>
  <si>
    <t>INVERTEBR BIOL</t>
  </si>
  <si>
    <t>Invertebr. Biol.</t>
  </si>
  <si>
    <t>10.1111/ivb.12062</t>
  </si>
  <si>
    <t>Marine &amp; Freshwater Biology; Zoology</t>
  </si>
  <si>
    <t>AO2TT</t>
  </si>
  <si>
    <t>WOS:000341179600005</t>
  </si>
  <si>
    <t>Chambert, T; Rotella, JJ; Garrott, RA</t>
  </si>
  <si>
    <t>Chambert, Thierry; Rotella, Jay J.; Garrott, Robert A.</t>
  </si>
  <si>
    <t>An evolutionary perspective on reproductive individual heterogeneity in a marine vertebrate</t>
  </si>
  <si>
    <t>JOURNAL OF ANIMAL ECOLOGY</t>
  </si>
  <si>
    <t>Bayesian statistics; heritability; life-history traits; marine mammals; multimodel inference; natural selection; parameter uncertainty</t>
  </si>
  <si>
    <t>MOOSE ALCES-ALCES; WEDDELL SEALS; TRADE-OFF; MATERNAL CHARACTERISTICS; NATURAL-SELECTION; BODY-SIZE; AGE; FITNESS; DYNAMICS; HERITABILITY</t>
  </si>
  <si>
    <t>1. Although the quantification of individual heterogeneity in wild populations' vital rates has recently attracted growing interest among ecologists, the investigation of its evolutionary consequences remains limited, mainly because of the difficulties in assessing fitness and heritability from field studies on free-ranging animals. In the presence of individual variability, evaluation of fitness consequences can notably be complicated by the existence of trade-offs among different vital rates. 2. In this study, to further assess the evolutionary significance of previously quantified levels of individual heterogeneity in female Weddell seal (Leptonychotes weddellii Lesson) reproductive rates (Chambert et al. 2013), we investigated how several life-history characteristics of female offspring were related to their mother's reproductive rate, as well as to other maternal traits (age and experience) and environmental conditions at birth. 3. The probability and age of first reproduction (recruitment) of female offspring was not related to their mother's reproductive rate, suggesting the absence of a maternal trade-off between the number and quality of offspring a female produces. Evidence of a positive, but relatively weak, relationship between the reproductive rates of a mother and her female offspring was found, suggesting some degree of heritability in this trait. 4. Using a simulation approach based on these statistical findings, we showed that substantial differences in the number of grandchildren, produced through female progeny, can be expected among females with different reproductive rates. 5. Despite the presence of substantial stochastic variability, due to environmental fluctuations and other unidentified mechanisms, and in the light of the fact that the metrics obtained do not provide a full measure of real fitness, our results do suggest that the individual reproductive variability found in female Weddell seals could potentially have important fitness consequences.</t>
  </si>
  <si>
    <t>[Chambert, Thierry; Rotella, Jay J.; Garrott, Robert A.] Montana State Univ, Dept Ecol, Bozeman, MT 59717 USA</t>
  </si>
  <si>
    <t>Montana State University System; Montana State University Bozeman</t>
  </si>
  <si>
    <t>Chambert, T (corresponding author), Montana State Univ, Dept Ecol, Bozeman, MT 59717 USA.</t>
  </si>
  <si>
    <t>thierry.chambert@gmail.com</t>
  </si>
  <si>
    <t>Rotella, Jay/0000-0001-7014-7524; Chambert, Thierry/0000-0002-9450-9080</t>
  </si>
  <si>
    <t>National Science Foundation, Division of Polar Programs [ANT-1141326]; prior NSF grants</t>
  </si>
  <si>
    <t>National Science Foundation, Division of Polar Programs(National Science Foundation (NSF)); prior NSF grants</t>
  </si>
  <si>
    <t>The authors thank M. D. Higgs and J.D. Nichols, as well as two anonymous reviewers, for helpful comments that helped improving the manuscript. We are also very grateful to the many individuals who have worked on the projects associated with the Erebus Bay Weddell seal population since the 1960s. The project was supported by the National Science Foundation, Division of Polar Programs (Grant No ANT-1141326 to R. A. Garrott, J.J. Rotella and D. B. Siniff) and prior NSF grants to R. A. Garrott, J. J. Rotella, D. B. Siniff and J. W. Testa. Logistical support for fieldwork in Antarctica was provided by Lockheed Martin, Raytheon Polar Services Company, Antarctic Support Associates, the United States Navy and Air Force, and Petroleum Helicopters Incorporated. Animal handling protocol was approved by Montana State University's Animal Care and Use Committee (Protocol #2011-38).</t>
  </si>
  <si>
    <t>0021-8790</t>
  </si>
  <si>
    <t>1365-2656</t>
  </si>
  <si>
    <t>J ANIM ECOL</t>
  </si>
  <si>
    <t>J. Anim. Ecol.</t>
  </si>
  <si>
    <t>10.1111/1365-2656.12211</t>
  </si>
  <si>
    <t>Ecology; Zoology</t>
  </si>
  <si>
    <t>Environmental Sciences &amp; Ecology; Zoology</t>
  </si>
  <si>
    <t>AN8TP</t>
  </si>
  <si>
    <t>WOS:000340877700016</t>
  </si>
  <si>
    <t>Schwabe, J; Scheinert, M</t>
  </si>
  <si>
    <t>Schwabe, Joachim; Scheinert, Mirko</t>
  </si>
  <si>
    <t>Regional geoid of the Weddell Sea, Antarctica, from heterogeneous ground-based gravity data</t>
  </si>
  <si>
    <t>JOURNAL OF GEODESY</t>
  </si>
  <si>
    <t>Regional geoid; Heterogeneous gravity data; Least-squares collocation; Marine gravity; Radar altimetry; Mean dynamic topography; Geostrophic velocities</t>
  </si>
  <si>
    <t>UTILIZING AIRBORNE GRAVITY; ICE; THICKNESS; TOPOGRAPHY; GEOSAT; OCEAN; WATER; FIELD; GYRE</t>
  </si>
  <si>
    <t>We present a geoid solution for the Weddell Sea and adjacent continental Antarctic regions. There, a refined geoid is of interest, especially for oceanographic and glaciological applications. For example, to investigate the Weddell Gyre as a part of the Antarctic Circumpolar Current and, thus, of the global ocean circulation, the mean dynamic topography (MDT) is needed. These days, the marine gravity field can be inferred with high and homogeneous resolution from altimetric height profiles of the mean sea surface. However, in areas permanently covered by sea ice as well as in coastal regions, satellite altimetry features deficiencies. Focussing on the Weddell Sea, these aspects are investigated in detail. In these areas, ground-based data that have not been used for geoid computation so far provide additional information in comparison with the existing high-resolution global gravity field models such as EGM2008. The geoid computation is based on the remove-compute-restore approach making use of least-squares collocation. The residual geoid with respect to a release 4 GOCE model adds up to two meters and more in the near-coastal and continental areas of the Weddell Sea region, also in comparison with EGM2008. Consequently, the thus refined geoid serves to compute new estimates of the regional MDT and geostrophic currents.</t>
  </si>
  <si>
    <t>[Schwabe, Joachim; Scheinert, Mirko] Tech Univ Dresden, Inst Planetare Geodasie, D-01062 Dresden, Germany</t>
  </si>
  <si>
    <t>Technische Universitat Dresden</t>
  </si>
  <si>
    <t>Schwabe, J (corresponding author), Tech Univ Dresden, Inst Planetare Geodasie, D-01062 Dresden, Germany.</t>
  </si>
  <si>
    <t>joachim.schwabe@tu-dresden.de</t>
  </si>
  <si>
    <t>Schwabe, Joachim/0009-0003-6156-1063; Scheinert, Mirko/0000-0002-0892-8941</t>
  </si>
  <si>
    <t>CNES; German Research Foundation (DFG) [SPP 1257]; [CHE 1426/6]</t>
  </si>
  <si>
    <t>CNES(Centre National D'etudes Spatiales); German Research Foundation (DFG)(German Research Foundation (DFG));</t>
  </si>
  <si>
    <t>The MDT CNES-CLS09 was produced by CLS Space Oceanography Division and distributed by Aviso, with support from CNES (http://www.aviso.oceanobs.com/). Attribution for SIO/NOAA gravity anomalies and all derived material herein: Data: SIO, NOAA, NGA The work is partly supported by the German Research Foundation (DFG) within the priority program SPP 1257 Mass transport and mass distribution in the system Earth, project SCHE 1426/6, as part of the joint project GEOTOP. All colleagues from Munich and Bremerhaven are thanked for the fruitful cooperation within this project. Finally, the authors greatly acknowledge the valuable comments of Editor-in-Chief R. Klees, handling editor P. Ditmar and three anonymous reviewers who helped to improve the paper considerably.</t>
  </si>
  <si>
    <t>0949-7714</t>
  </si>
  <si>
    <t>1432-1394</t>
  </si>
  <si>
    <t>J GEODESY</t>
  </si>
  <si>
    <t>J. Geodesy</t>
  </si>
  <si>
    <t>10.1007/s00190-014-0724-x</t>
  </si>
  <si>
    <t>Geochemistry &amp; Geophysics; Remote Sensing</t>
  </si>
  <si>
    <t>AN4WC</t>
  </si>
  <si>
    <t>WOS:000340588500001</t>
  </si>
  <si>
    <t>Chase, Z; McManus, J; Mix, AC; Muratli, J</t>
  </si>
  <si>
    <t>Chase, Zanna; McManus, James; Mix, Alan C.; Muratli, Jesse</t>
  </si>
  <si>
    <t>Southern-ocean and glaciogenic nutrients control diatom export production on the Chile margin</t>
  </si>
  <si>
    <t>Chile margin; Opal flux; 230-Thorium; Paleoproductivity; ODP Leg 202; Sediment focusing</t>
  </si>
  <si>
    <t>LAST GLACIAL MAXIMUM; CARBON; SEDIMENT; TH-230; RECORDS; PACIFIC; VARIABILITY; FLUXES; CYCLE; PALEOPRODUCTIVITY</t>
  </si>
  <si>
    <t>Biogenic particle flux was reconstructed using 230-Thorium normalization at two sites on the southern Chile margin. ODP Site 1233 at 41 degrees S, 838 m depth, is at the southern limit of the Peru-Chile upwelling system, where the northern extent of the Antarctic Circumpolar Current impinges on the South American continental margin. ODP Site 1234, at 36 degrees S, 1014 m depth, is located within the core of the coastal upwelling system near the mouths of the Bio Bio and Itata Rivers. At 41 degrees S, opal, lithogenic and carbonate fluxes are greatest during the Last Glacial interval (26-20 ka), carbonate has a secondary peak during the mid Holocene (similar to 8 ka) and organic carbon fluxes increase slightly from 17 ka to the present At 36 degrees S, large lithogenic fluxes are observed both during the Last Glacial interval and the Holocene, and a maximum in organic carbon flux is observed during the late Holocene (similar to 5 ka) without an accompanying peak in opal flux. These reconstructed fluxes at 36 degrees S and 41 degrees S fit within a larger latitudinal pattern of a poleward increase in the magnitude of opal flux during the glacial period. The pattern of normalized opal flux, opal mass accumulation rate and opal:carbonate ratios is consistent with either i) enhanced supply of Si from the Southern Ocean, as proposed by the Silicic Acid Leakage Hypothesis or ii) enhanced Si and Fe delivery from land, driven by glacial erosion. The pattern of reconstructed export production supports our view that the appearance of more reducing conditions in the sediments upon deglaciation was most likely driven by decreased ventilation, rather than increased local productivity. (C) 2014 Elsevier Ltd. All rights reserved.</t>
  </si>
  <si>
    <t>[Chase, Zanna] Univ Tasmania, Inst Marine &amp; Antarctic Studies, Hobart, Tas 7001, Australia; [McManus, James; Mix, Alan C.; Muratli, Jesse] Oregon State Univ, Coll Earth Ocean &amp; Atmospher Sci, Corvallis, OR 97331 USA</t>
  </si>
  <si>
    <t>University of Tasmania; Oregon State University</t>
  </si>
  <si>
    <t>Chase, Z (corresponding author), Univ Tasmania, Inst Marine &amp; Antarctic Studies, Private Bag 129, Hobart, Tas 7001, Australia.</t>
  </si>
  <si>
    <t>Zanna.Chase@utas.edu.au</t>
  </si>
  <si>
    <t>McManus, James/GSM-7165-2022; Chase, Zanna/E-9232-2013</t>
  </si>
  <si>
    <t>Chase, Zanna/0000-0001-5060-779X</t>
  </si>
  <si>
    <t>National Science Foundation [OCE-0526278]</t>
  </si>
  <si>
    <t>National Science Foundation(National Science Foundation (NSF))</t>
  </si>
  <si>
    <t>SeaWiFS data were provided by the Ocean Biology Processing Group (OBPG) at the NASA Goddard Space Flight Center. We thank Emily Colin, Briana Gentry, Tina Schnell and Kate Howell for their work in the lab. Samples used in this work were provided by the Ocean Drilling Program. This research was financially supported by a grant from the National Science Foundation to JM, ZC, and ACM (OCE-0526278). We thank two anonymous reviewers for providing comments that improved the manuscript.</t>
  </si>
  <si>
    <t>10.1016/j.quascirev.2014.06.015</t>
  </si>
  <si>
    <t>AO0DU</t>
  </si>
  <si>
    <t>WOS:000340980100011</t>
  </si>
  <si>
    <t>Capriglione, T; de Paolo, S; Cocca, E</t>
  </si>
  <si>
    <t>Capriglione, T.; de Paolo, S.; Cocca, E.</t>
  </si>
  <si>
    <t>Characterization and in situ hybridization mapping of Helinoto, a DNA transposon isolated in the genome of the antarctic icefish Chionodraco hamatus</t>
  </si>
  <si>
    <t>CHROMOSOME RESEARCH</t>
  </si>
  <si>
    <t>21st International Colloquium on Animal Cytogenetics and Gene Mapping (ICACGM)</t>
  </si>
  <si>
    <t>JUN 07-10, 2014</t>
  </si>
  <si>
    <t>Naples, ITALY</t>
  </si>
  <si>
    <t>[Capriglione, T.; de Paolo, S.] Univ Naples Federico II, Dept Biol, Naples, Italy; [Cocca, E.] CNR, Inst Prot Biochem, I-80125 Naples, Italy</t>
  </si>
  <si>
    <t>University of Naples Federico II; Consiglio Nazionale delle Ricerche (CNR); Istituto di Biochimica delle Proteine (IBP-CNR)</t>
  </si>
  <si>
    <t>teresa.capriglione@unina.it</t>
  </si>
  <si>
    <t>0967-3849</t>
  </si>
  <si>
    <t>1573-6849</t>
  </si>
  <si>
    <t>CHROMOSOME RES</t>
  </si>
  <si>
    <t>Chromosome Res.</t>
  </si>
  <si>
    <t>O25</t>
  </si>
  <si>
    <t>AN4CH</t>
  </si>
  <si>
    <t>WOS:000340534700090</t>
  </si>
  <si>
    <t>Belkadi, L; Coutanceau, JP; Bonillo, C; Graça, P; Dettaï, A; Ozouf-Costaz, C; Higuet, D</t>
  </si>
  <si>
    <t>Belkadi, L.; Coutanceau, J-P.; Bonillo, C.; Graca, P.; Dettai, A.; Ozouf-Costaz, C.; Higuet, D.</t>
  </si>
  <si>
    <t>Bursts of retrotransposons and extensive chromosomal repatterning within the Antarctic teleost fish species flock Trematominae</t>
  </si>
  <si>
    <t>[Belkadi, L.; Coutanceau, J-P.; Graca, P.; Ozouf-Costaz, C.; Higuet, D.] UPMC, CNRS, UMR Evolut Paris Seine 7138, Paris, France; [Bonillo, C.] MNHN, Serv Syst Mol, UMS 2700, Paris, France; [Dettai, A.] MNHN, Inst Syst, UMR 7205, Paris, France</t>
  </si>
  <si>
    <t>Centre National de la Recherche Scientifique (CNRS); CNRS - National Institute for Biology (INSB); Sorbonne Universite; Museum National d'Histoire Naturelle (MNHN); Centre National de la Recherche Scientifique (CNRS); CNRS - Institute of Ecology &amp; Environment (INEE); Sorbonne Universite; Centre National de la Recherche Scientifique (CNRS); CNRS - Institute of Ecology &amp; Environment (INEE); Museum National d'Histoire Naturelle (MNHN)</t>
  </si>
  <si>
    <t>ozouf@mnhn.fr</t>
  </si>
  <si>
    <t>Dettai, Agnes/Q-6743-2019</t>
  </si>
  <si>
    <t>P44</t>
  </si>
  <si>
    <t>WOS:000340534700094</t>
  </si>
  <si>
    <t>Kristoffersen, M; Andersen, T; Andresen, A</t>
  </si>
  <si>
    <t>Kristoffersen, Magnus; Andersen, Tom; Andresen, Arild</t>
  </si>
  <si>
    <t>U-Pb age and Lu-Hf signatures of detrital zircon from Palaeozoic sandstones in the Oslo Rift, Norway</t>
  </si>
  <si>
    <t>GEOLOGICAL MAGAZINE</t>
  </si>
  <si>
    <t>Oslo Graben; Zircon; U-Pb; Lu-Hf</t>
  </si>
  <si>
    <t>TRACE-ELEMENT; ISOTOPE SYSTEMATICS; TH-PB; PROVENANCE CHARACTERISTICS; SVECONORWEGIAN OROGEN; ANTARCTIC PROVENANCE; CONTINENTAL-CRUST; MIDDLE ORDOVICIAN; ASKER DISTRICT; SW NORWAY</t>
  </si>
  <si>
    <t>U-Pb and Lu-Hf isotope analyses of detrital zircon from the latest Ordovician (Hirnantian) Langoyene Formation, the Late Silurian Ringerike Group and the Late Carboniferous Asker Group in the Oslo Rift were obtained by laser ablation inductively coupled plasma mass spectrometry (LA-ICP-MS). Overall the U-Pb dating yielded ages within the range 2861-313 Ma. The U-Pb age and Lu-Hf isotopic signatures correspond to virtually all known events of crustal evolution in Fennoscandia, as well as synorogenic intrusions from the Norwegian Caledonides. Such temporally and geographically diverse source areas likely reflect multiple episodes of sediment recycling in Fennoscandia, and highlights the intrinsic problem of using zircon as a tracer-mineral in 'source to sink' sedimentary provenance studies. In addition to its mostly Fennoscandia-derived detritus, the Asker Group also have zircon grains of Late Devonian - Late Carboniferous age. Since no rocks of these ages are known in Fennoscandia, these zircons are inferred to be derived from the Variscan Orogen of central Europe.</t>
  </si>
  <si>
    <t>[Kristoffersen, Magnus; Andersen, Tom; Andresen, Arild] Univ Oslo, Dept Geosci, N-0316 Oslo, Norway</t>
  </si>
  <si>
    <t>University of Oslo</t>
  </si>
  <si>
    <t>Kristoffersen, M (corresponding author), Univ Oslo, Dept Geosci, POB 1047 Blindern, N-0316 Oslo, Norway.</t>
  </si>
  <si>
    <t>magnus.kristoffersen@geo.uio.no</t>
  </si>
  <si>
    <t>Kristoffersen, Magnus/0000-0001-7000-0282</t>
  </si>
  <si>
    <t>Vista project [6254]; Department of Geosciences, University of Oslo</t>
  </si>
  <si>
    <t>Vista project; Department of Geosciences, University of Oslo</t>
  </si>
  <si>
    <t>Snorre Olaussen and Johan Petter Nystuen are thanked for help in the field. Tumseela Mubashir is thanked for providing data for samples R2010-2, R2010-6 and R2010-8. Thanks also to Siri Simonsen for analytical help with the ICP-MS, and Gunborg Bye Fjeld and Berit Loken Berg for laboratory assistance. We thank two anonymous reviewers whose constructive comments helped improve an earlier version of this article. The study was financially supported by the Department of Geosciences, University of Oslo and Vista project no. 6254. This is publication no. 37 from the Isotope Geology Laboratory at the Department of Geosciences, University of Oslo.</t>
  </si>
  <si>
    <t>0016-7568</t>
  </si>
  <si>
    <t>1469-5081</t>
  </si>
  <si>
    <t>GEOL MAG</t>
  </si>
  <si>
    <t>Geol. Mag.</t>
  </si>
  <si>
    <t>10.1017/S0016756813000885</t>
  </si>
  <si>
    <t>AN4WK</t>
  </si>
  <si>
    <t>WOS:000340589700004</t>
  </si>
  <si>
    <t>Halpin, JA; Jensen, T; McGoldrick, P; Meffre, S; Berry, RF; Everard, JL; Calver, CR; Thompson, J; Goemann, K; Whittaker, JM</t>
  </si>
  <si>
    <t>Halpin, Jacqueline A.; Jensen, Torsten; McGoldrick, Peter; Meffre, Sebastien; Berry, Ron F.; Everard, John L.; Calver, Clive R.; Thompson, Jay; Goemann, Karsten; Whittaker, Joanne M.</t>
  </si>
  <si>
    <t>Authigenic monazite and detrital zircon dating from the Proterozoic Rocky Cape Group, Tasmania: Links to the Belt-Purcell Supergroup, North America</t>
  </si>
  <si>
    <t>PRECAMBRIAN RESEARCH</t>
  </si>
  <si>
    <t>Authigenic monazite; Detrital zircon; Horodyskia; Proterozoic basin; Nuns; Rodinia</t>
  </si>
  <si>
    <t>U-PB GEOCHRONOLOGY; SOUTHEASTERN BRITISH-COLUMBIA; KING ISLAND; TH-PB; MESOPROTEROZOIC SUPERCONTINENT; SYNTECTONIC MONAZITE; DIAGENETIC MONAZITE; ELECTRON-MICROPROBE; METAMORPHIC EVENTS; WESTERN MONTANA</t>
  </si>
  <si>
    <t>The oldest known rocks in Tasmania occur in the Proterozoic Rocky Cape Group, a similar to 10 km thick quartzarenite-siltstone-pelite-dominated succession, previously constrained to have been deposited between 1450 Ma and 750 Ma. The Rocky Cape Group contains the enigmatic fossil Horodyskia ('string of beads') and has the potential to place Tasmania within supercontinent reconstructions. Detrital zircon and authigenic monazite grains dated via U-Pb laser ablation-inductively coupled plasma mass spectrometry (LA-ICPMS) analysis yield a deposition window between c. 1450 Ma (youngest zircon populations) and c. 1330 Ma (oldest authigenic monazite population) for the 9 km thick lower-middle units (Pedder River Siltstone, Lagoon River Quartzite, Balfour Subgroup which hosts Horodyskia, Detention Subgroup). The upper units (similar to 1 km) include the Irby Siltstone, which is younger than c. 1310 Ma; this unit is likely separated from both the lower-middle units and the overlying c. &lt;1010 Ma Jacob Quartzite by disconformities. The lower-middle Rocky Cape Group is dominated by detrital zircon populations between 1600 and 1900 Ma, with subordinate populations at c. 1450 Ma and a spread of older grains mostly between 2300 and 2900 Ma. The overlying Irby Siltstone has a bimodal detrital zircon distribution with a dominant peak at c. 1340 Ma and a secondary peak at c. 1720 Ma; no &gt;1900 Ma grains were identified. Authigenic monazite age distributions are complex, with multiple age domains within most samples. The common Pb corrected U-206/Pb-238 ages, defined by oldest grains in each sample, identify three statistically significant groups: (1) 1358-1292 Ma (inclusive of two sigma errors) (Lagoon River Quartzite and Pedder River Siltstone), (2) 1283-1239 Ma (Cowrie Siltstone and Balfour Subgroup), and (3) 1085 9 Ma (Detention Subgroup). We suggest monazite was precipitated during episodic fluid flow events at these three stages in various parts of the basin. The original source for REE-bearing fluids could be detrital monazite, which is rarely preserved, and/or organic matter from the interbedded carbonaceous shales. The Rocky Cape Group has a shared provenance with the higher-grade metasediments (Surprise Bay and Fraser formations) of nearby King Island; the newly derived depositional ages also overlap and support the correlation of these rock associations. On the basis of current datasets, there are no obvious correlations that can be made with Mesoproterozoic basins preserved in mainland Australia. Instead, an overlap in the timing of deposition, similarities in detrital zircon signatures and analogous depositional environment suggests the c. 1.45-1.37 Ga upper Belt-Purcell Supergroup (Missoula and Lemhi groups) of western North America constitutes a plausible correlation with the Tasmanian Mesoproterozoic succession. If the (unexposed) Palaeoproterozoic basement of Tasmania correlates with the Transantarctic Mountains region of East Antarctica as previously proposed, we suggest that the overlying Mesoproterozoic sequences were deposited during rifting of the supercontinent Nuna, between proto-Australia (including the Mawson craton of Antarctica) and Laurentia as predicted by the most recent palaeogeographic reconstructions. Both the Tasmanian and western Laurentian packages were affected by episodic post-depositional fluid flow events between c. 1.35 and 1.05 Ga, possible thermotectonic imprints of the subsequent assembly of Rodinia. (C) 2014 Elsevier B.V. All rights reserved.</t>
  </si>
  <si>
    <t>[Halpin, Jacqueline A.; Jensen, Torsten; McGoldrick, Peter; Meffre, Sebastien; Berry, Ron F.; Thompson, Jay] Univ Tasmania, Sch Phys Sci, ARC Ctr Excellence Ore Deposits CODES, Hobart, Tas 7001, Australia; [Everard, John L.; Calver, Clive R.] Mineral Resources Tasmania, Rosny Pk, Tas 7018, Australia; [Goemann, Karsten] Univ Tasmania, Cent Sci Lab, Hobart, Tas 7001, Australia; [Whittaker, Joanne M.] Univ Tasmania, Inst Marine &amp; Antarctic Studies, Hobart, Tas 7001, Australia</t>
  </si>
  <si>
    <t>University of Tasmania; University of Tasmania; University of Tasmania</t>
  </si>
  <si>
    <t>Halpin, JA (corresponding author), Univ Tasmania, Sch Phys Sci, ARC Ctr Excellence Ore Deposits CODES, Private Bag 79, Hobart, Tas 7001, Australia.</t>
  </si>
  <si>
    <t>jahalpin@utas.edu.au</t>
  </si>
  <si>
    <t>Meffre, Sebastien/J-8700-2014; Halpin, Jacqueline A/A-3776-2014; Thompson, Jay/JCO-9307-2023; Kamenetsky, Vadim/CAF-7424-2022; Meffre, Sebastien/O-6896-2019; Whittaker, Joanne/B-3695-2010; Thompson, Jay/B-9868-2014; Goemann, Karsten/J-7812-2014</t>
  </si>
  <si>
    <t>Meffre, Sebastien/0000-0003-2741-6076; Halpin, Jacqueline A/0000-0002-4992-8681; Meffre, Sebastien/0000-0003-2741-6076; Berry, Ron/0000-0002-5547-3396; Whittaker, Joanne/0000-0002-3170-3935; Thompson, Jay/0000-0003-3322-0870; Goemann, Karsten/0000-0002-8136-3617</t>
  </si>
  <si>
    <t>ARC Centre of Excellence [CE0561595]; Australian Research Council [CE0561595] Funding Source: Australian Research Council</t>
  </si>
  <si>
    <t>ARC Centre of Excellence(Australian Research Council); Australian Research Council(Australian Research Council)</t>
  </si>
  <si>
    <t>We are grateful to S. Feig (Central Science Laboratory, University of Tasmania) for assistance with FE-SEM work. S. Pisarevsky (Curtin University) generously provided for the Mesoproterozoic reconstruction files used in the making of Fig. 6. E. Stewart (Texas A&amp;M University) is thanked for providing LA-ICPMS detrital zircon data and stratigraphic information for the upper Belt-Purcell Supergroup. We thank C. Spencer and an anonymous reviewer for their constructive reviews and R. Parrish for editorial handling. ARC Centre of Excellence funding (grant number CE0561595) provided financial support to conduct the research.</t>
  </si>
  <si>
    <t>0301-9268</t>
  </si>
  <si>
    <t>1872-7433</t>
  </si>
  <si>
    <t>PRECAMBRIAN RES</t>
  </si>
  <si>
    <t>Precambrian Res.</t>
  </si>
  <si>
    <t>10.1016/j.precamres.2014.05.025</t>
  </si>
  <si>
    <t>AN0XW</t>
  </si>
  <si>
    <t>WOS:000340308300004</t>
  </si>
  <si>
    <t>Do, H; Kim, IS; Kim, YS; Shin, SY; Kim, JJ; Mok, JE; Park, SI; Wi, AR; Park, H; Lee, JH; Yoon, HS; Kim, HW</t>
  </si>
  <si>
    <t>Do, Hackwon; Kim, Il-Sup; Kim, Young-Saeng; Shin, Sun-Young; Kim, Jin-Ju; Mok, Ji-Eun; Park, Seong-Im; Wi, Ah Ram; Park, Hyun; Lee, Jun Hyuck; Yoon, Ho-Sung; Kim, Han-Woo</t>
  </si>
  <si>
    <t>Purification, characterization and preliminary X-ray crystallographic studies of monodehydroascorbate reductase from Oryza sativa L. japonica</t>
  </si>
  <si>
    <t>ACTA CRYSTALLOGRAPHICA SECTION F-STRUCTURAL BIOLOGY COMMUNICATIONS</t>
  </si>
  <si>
    <t>OXIDATIVE STRESS; ENHANCED TOLERANCE; TRANSGENIC PLANTS; METABOLISM; OVEREXPRESSION; CHLOROPLASTS; ASCORBATE; ENZYMES; TOMATO; RICE</t>
  </si>
  <si>
    <t>Monodehydroascorbate reductase (MDHAR; EC 1.6.5.4) is a key enzyme in the reactive oxygen species (ROS) detoxification system of plants. The participation of MDHAR in ascorbate (AsA) recycling in the ascorbate-glutathione cycle is important in the acquired tolerance of crop plants to abiotic environmental stresses. Thus, MDHAR represents a strategic target protein for the improvement of crop yields. Although physiological studies have intensively characterized MDHAR, a structure-based functional analysis is not available. Here, a cytosolic MDHAR (OsMDHAR) derived from Oryza sativa L. japonica was expressed using Escherichia coli strain NiCo21 (DE3) and purified. The purified OsMDHAR showed specific enzyme activity (approximately 380 U per milligram of protein) and was crystallized using the hanging-drop vapourdiffusion method at pH 8.0 and 298 K. The crystal diffracted to 1.9 angstrom resolution and contained one molecule in the asymmetric unit (the Matthews coefficient V-M is 1.98 angstrom(3) Da(-1), corresponding to a solvent content of 38.06%) in space group P4(1)2(1)2 with unit-cell parameters a = b = 81.89, c = 120.4 angstrom. The phase of the OsMDHAR structure was resolved by the molecular-replacement method using a ferredoxin reductase from Acidovorax sp. strain KKS102 (PDB entry 4h4q) as a model.</t>
  </si>
  <si>
    <t>[Do, Hackwon; Wi, Ah Ram; Park, Hyun; Lee, Jun Hyuck; Kim, Han-Woo] Korea Polar Res Inst, Div Polar Life Sci, Inchon 406840, South Korea; [Do, Hackwon; Park, Hyun; Lee, Jun Hyuck] Korea Univ Sci &amp; Technol, Dept Polar Sci, Inchon 406840, South Korea; [Kim, Il-Sup; Kim, Young-Saeng; Shin, Sun-Young; Kim, Jin-Ju; Mok, Ji-Eun; Park, Seong-Im; Yoon, Ho-Sung] Kyungpook Natl Univ, Dept Biol, Taegu 702701, South Korea</t>
  </si>
  <si>
    <t>Korea Polar Research Institute (KOPRI); Korea Institute of Ocean Science &amp; Technology (KIOST); Kyungpook National University</t>
  </si>
  <si>
    <t>junhyucklee@kopri.re.kr; hsy@knu.ac.kr; hwkim@kopri.re.kr</t>
  </si>
  <si>
    <t>Park, Hyun/0000-0002-8055-2010; , Hackwon/0000-0001-7663-2010</t>
  </si>
  <si>
    <t>Antarctic Organisms Cold-Adaptation Mechanisms and its application grant - Korea Polar Research Institute, Kyungpook National University Research Fund [PE14070]; Next Generation BioGreen 21 Program (Rural Development Administration, Republic of Korea) [PJ008115012014]</t>
  </si>
  <si>
    <t>Antarctic Organisms Cold-Adaptation Mechanisms and its application grant - Korea Polar Research Institute, Kyungpook National University Research Fund; Next Generation BioGreen 21 Program (Rural Development Administration, Republic of Korea)</t>
  </si>
  <si>
    <t>We thank the staff at the X-ray core facility of the Korea Basic Science Institute (KBSI), Ochang, Republic of Korea and BL-5C of the Pohang Accelerator Laboratory for their assistance with data collection. This work was supported by the Antarctic Organisms Cold-Adaptation Mechanisms and its application grant (PE14070) funded by the Korea Polar Research Institute, Kyungpook National University Research Fund (2012) and a grant from the Next Generation BioGreen 21 Program (No. PJ008115012014, Rural Development Administration, Republic of Korea).</t>
  </si>
  <si>
    <t>INT UNION CRYSTALLOGRAPHY</t>
  </si>
  <si>
    <t>CHESTER</t>
  </si>
  <si>
    <t>2 ABBEY SQ, CHESTER, CH1 2HU, ENGLAND</t>
  </si>
  <si>
    <t>2053-230X</t>
  </si>
  <si>
    <t>ACTA CRYSTALLOGR F</t>
  </si>
  <si>
    <t>Acta Crystallogr. F-Struct. Biol. Commun.</t>
  </si>
  <si>
    <t>10.1107/S2053230X14015908</t>
  </si>
  <si>
    <t>Biochemical Research Methods; Biochemistry &amp; Molecular Biology; Biophysics; Crystallography</t>
  </si>
  <si>
    <t>Biochemistry &amp; Molecular Biology; Biophysics; Crystallography</t>
  </si>
  <si>
    <t>AP1HJ</t>
  </si>
  <si>
    <t>WOS:000341818600024</t>
  </si>
  <si>
    <t>Barbaro, E; Zangrando, R; Vecchiato, M; Turetta, C; Barbante, C; Gambaro, A</t>
  </si>
  <si>
    <t>Barbaro, Elena; Zangrando, Roberta; Vecchiato, Marco; Turetta, Clara; Barbante, Carlo; Gambaro, Andrea</t>
  </si>
  <si>
    <t>D- and L-amino acids in Antarctic lakes: assessment of a very sensitive HPLC-MS method</t>
  </si>
  <si>
    <t>ANALYTICAL AND BIOANALYTICAL CHEMISTRY</t>
  </si>
  <si>
    <t>Amino acids; Chiral separation; Antarctica; HPLC-MS/MS; HPLC-orbitrap; Lakes</t>
  </si>
  <si>
    <t>NORTHERN VICTORIA-LAND; PERFORMANCE LIQUID-CHROMATOGRAPHY; DISSOLVED ORGANIC NITROGEN; TERRA-NOVA BAY; MASS-SPECTROMETRY; WATER; SEPARATION; GEOCHEMISTRY; RATES; PHTHALDIALDEHYDE</t>
  </si>
  <si>
    <t>Amino acids represent a fraction of organic matter in marine and freshwater ecosystems, and a source of carbon, nitrogen and energy. l-Amino acids are the most common enantiomers in nature because these chiral forms are used during the biosynthesis of proteins and peptide. To the contrary, the occurrence of d-amino acids is usually linked to the presence of bacteria. We investigated the distribution of l- and d-amino acids in the lacustrine environment of Terra Nova Bay, Antarctica, in order to define their natural composition in this area and to individuate a possible relationship with primary production. A simultaneous chromatographic separation of 40 l- and d-amino acids was performed using a chiral stationary phase based on teicoplainin aglycone (chirobiotic tag). The chromatographic separation was coupled to two different mass spectrometers-an LTQ-Orbitrap XL (Thermo Fisher Scientific) and an API 4000 (ABSciex)-in order to investigate their quantitative performance. High-performance liquid chromatography coupled with mass spectrometry methods were evaluated through the estimation of their linear ranges, repeatability, accuracy and detection and quantification limits. The high-resolution mass spectrometer LTQ-Orbitrap XL presented detection limits between 0.4 and 7 mu g l (-1), while the triple quadrupole mass spectrometer API 4000 achieved the best detection limits reported in the literature for the quantification of amino acids (between 4 and 200 ng l (-1)). The most sensitive method, HPLC-API 4000, was applied to lake water samples.</t>
  </si>
  <si>
    <t>[Barbaro, Elena; Gambaro, Andrea] Univ Venice, Dept Environm Sci Informat &amp; Stat, I-30123 Venice, Italy; [Barbaro, Elena; Zangrando, Roberta; Vecchiato, Marco; Turetta, Clara; Barbante, Carlo; Gambaro, Andrea] CNR, Inst Dynam Environm Proc, I-30123 Venice, Italy; [Vecchiato, Marco] Univ Siena, Dept Phys Sci Earth &amp; Environm, I-53100 Siena, Italy</t>
  </si>
  <si>
    <t>Universita Ca Foscari Venezia; Consiglio Nazionale delle Ricerche (CNR); Istituto per la Dinamica dei Processi Ambientali (IDPA-CNR); University of Siena</t>
  </si>
  <si>
    <t>Barbaro, E (corresponding author), Univ Venice, Dept Environm Sci Informat &amp; Stat, Calle Larga Santa Marta 2137, I-30123 Venice, Italy.</t>
  </si>
  <si>
    <t>barbaro@unive.it</t>
  </si>
  <si>
    <t>BARBARO, ELENA/AAK-3106-2021; Barbaro, Elena/AAX-8809-2020; Turetta, Clara/O-2849-2015; Barbante, Carlo/B-3195-2011</t>
  </si>
  <si>
    <t>Barbaro, Elena/0000-0003-2639-7475; Turetta, Clara/0000-0003-3130-2901; Barbante, Carlo/0000-0003-4177-2288; Vecchiato, Marco/0000-0002-5112-8472</t>
  </si>
  <si>
    <t>Italian Programma Nazionale di Ricerche in Antartide (PNRA) [2009/A2.02]; National Research Council of Italy (CNR); Early Human Impact ERC Advance Grant of the European Commission's VII Framework Programme [267696]</t>
  </si>
  <si>
    <t>Italian Programma Nazionale di Ricerche in Antartide (PNRA); National Research Council of Italy (CNR)(Consiglio Nazionale delle Ricerche (CNR)); Early Human Impact ERC Advance Grant of the European Commission's VII Framework Programme</t>
  </si>
  <si>
    <t>This work was financially supported by the Italian Programma Nazionale di Ricerche in Antartide (PNRA) through the project Caratterizzazione Biogeochimica dei laghi sub-glaciali antartici (CaBiLA) (2009/A2.02). The research was also funded by the National Research Council of Italy (CNR) and by the Early Human Impact ERC Advance Grant of the European Commission's VII Framework Programme, grant number 267696, contribution no. 13. The authors thank ELGA LabWater for providing the PURE-LAB Option-R and Ultra Analytic, which produced the ultrapure water used in these experiments. We would also like to thank Dr. Daniela Almansi for the revision of our manuscript. In conclusion, we wish to thank Dr. S. Illuminati (Polytechnic University of Marche - Ancona, Italy) for her help and cooperation during the sampling activities in Antarctica.</t>
  </si>
  <si>
    <t>1618-2642</t>
  </si>
  <si>
    <t>1618-2650</t>
  </si>
  <si>
    <t>ANAL BIOANAL CHEM</t>
  </si>
  <si>
    <t>Anal. Bioanal. Chem.</t>
  </si>
  <si>
    <t>10.1007/s00216-014-7961-y</t>
  </si>
  <si>
    <t>Biochemical Research Methods; Chemistry, Analytical</t>
  </si>
  <si>
    <t>AN8TK</t>
  </si>
  <si>
    <t>WOS:000340877200005</t>
  </si>
  <si>
    <t>Lee, YM; Hwang, CY; Lee, I; Jung, YJ; Cho, Y; Baek, K; Hong, SG; Kim, JH; Chun, J; Lee, HK</t>
  </si>
  <si>
    <t>Lee, Yung Mi; Hwang, Chung Yeon; Lee, Inae; Jung, You-Jung; Cho, Yirang; Baek, Kiwoon; Hong, Soon Gyu; Kim, Ji-Hee; Chun, Jongsik; Lee, Hong Kum</t>
  </si>
  <si>
    <t>Lacinutrix jangbogonensis sp nov., a psychrophilic bacterium isolated from Antarctic marine sediment and emended description of the genus Lacinutrix</t>
  </si>
  <si>
    <t>ANTONIE VAN LEEUWENHOEK INTERNATIONAL JOURNAL OF GENERAL AND MOLECULAR MICROBIOLOGY</t>
  </si>
  <si>
    <t>Lacinutrix jangbogonensis sp nov.; Polyphasic taxonomy</t>
  </si>
  <si>
    <t>DNA-DNA HYBRIDIZATION; FAMILY FLAVOBACTERIACEAE; MEMBERS; POLAR</t>
  </si>
  <si>
    <t>A Gram-negative, strictly aerobic, non-motile, rod-shaped and psychrophilic bacterial strain, PAMC 27137(T), was isolated from the marine sediment of the Ross Sea, Antarctica. Strain PAMC 27137(T) was observed to grow at 4-10 A degrees C, at pH 6.5-7.5 and in the presence of 2.5-4.0 % (w/v) sea salts. Phylogenetic analysis based on the 16S rRNA gene sequence indicated that strain PAMC 27137(T) belongs to the genus Lacinutrix showing the high similarities with Lacinutrix mariniflava JCM 13824(T) (97.6 %) and Lacinutrix algicola JCM 13825(T) (97.1 %). Genomic relatedness analyses based on the average nucleotide identity and the genome-to-genome distance showed that strain PAMC 27137(T) is clearly distinguished from the most closely related Lacinutrix species. The major fatty acids (&gt; 5 %) were identified as iso-C-15:1 G (19.9 %), iso-C-15:0 (19.3 %), iso-C-17:0 3-OH (11.3 %), summed feature 9 (C-16:0 10-methyl and/or iso-C-17:1 omega 9c as defined by MIDI, 9.1 %), iso-C-15:0 3-OH (7.5 %), and anteiso-C-15:1 A (5.8 %). The polar lipids were found to consist of phosphatidylethanolamine, an unidentified aminolipid, an unidentified aminophospholipid, and five unidentified phospholipids. The major respiratory quinone was identified as MK-6. The genomic DNA G+C content was determined to be 32.1 mol%. Based on the data from this polyphasic taxonomic study, strain PAMC 27137(T) is considered to represent a novel species of the genus Lacinutrix, for which the name Lacinutrix jangbogonensis sp. nov. is proposed. The type strain is PAMC 27137(T) (=KCTC 32573(T)=JCM 19883(T)).</t>
  </si>
  <si>
    <t>[Lee, Yung Mi; Hwang, Chung Yeon; Lee, Inae; Jung, You-Jung; Cho, Yirang; Baek, Kiwoon; Hong, Soon Gyu; Kim, Ji-Hee; Lee, Hong Kum] Korea Polar Res Inst, Div Polar Life Sci, Inchon 406840, South Korea; [Lee, Yung Mi; Chun, Jongsik] Seoul Natl Univ, Sch Biol Sci, Coll Nat Sci, Seoul 151747, South Korea</t>
  </si>
  <si>
    <t>Korea Polar Research Institute (KOPRI); Korea Institute of Ocean Science &amp; Technology (KIOST); Seoul National University (SNU)</t>
  </si>
  <si>
    <t>Lee, HK (corresponding author), Korea Polar Res Inst, Div Polar Life Sci, 26 Songdomirae Ro, Inchon 406840, South Korea.</t>
  </si>
  <si>
    <t>hklee@kopri.re.kr</t>
  </si>
  <si>
    <t>Chun, Jongsik/R-8458-2017</t>
  </si>
  <si>
    <t>Chun, Jongsik/0000-0003-3385-5171; Hwang, Chung/0000-0001-9861-0197</t>
  </si>
  <si>
    <t>Korea Polar Research Institute [PM11030, PE14080]</t>
  </si>
  <si>
    <t>We thank the crew of the R/V ARAON support at sea. This work was supported by Korea Polar Research Institute (Grant PM11030 and PE14080).</t>
  </si>
  <si>
    <t>0003-6072</t>
  </si>
  <si>
    <t>1572-9699</t>
  </si>
  <si>
    <t>ANTON LEEUW INT J G</t>
  </si>
  <si>
    <t>Antonie Van Leeuwenhoek</t>
  </si>
  <si>
    <t>10.1007/s10482-014-0221-5</t>
  </si>
  <si>
    <t>AN1PN</t>
  </si>
  <si>
    <t>WOS:000340356100012</t>
  </si>
  <si>
    <t>Summers, RW; Boland, H; Colhoun, K; Elkins, N; Etheridge, B; Foster, S; Fox, JW; Mackie, K; Quinn, LR; Swann, RL</t>
  </si>
  <si>
    <t>Summers, R. W.; Boland, H.; Colhoun, K.; Elkins, N.; Etheridge, B.; Foster, S.; Fox, J. W.; Mackie, K.; Quinn, L. R.; Swann, R. L.</t>
  </si>
  <si>
    <t>Contrasting trans-Atlantic migratory routes of Nearctic Purple Sandpipers Calidris maritima associated with low pressure systems in spring and winter</t>
  </si>
  <si>
    <t>ARDEA</t>
  </si>
  <si>
    <t>Arctic; Atlantic; Calidris maritima; migration; synoptic charts</t>
  </si>
  <si>
    <t>MOLT; POPULATION; PATTERNS; SIZE; ASSISTANCE; BIOMETRICS; AUTUMN; BIRDS; WIND</t>
  </si>
  <si>
    <t>Bird migration is generally scheduled to avoid other energetically expensive events in the annual cycle (e. g. moult) and seasons when survival can be difficult (e. g. northern winters). Purple Sandpipers winter at relatively high latitudes compared to other waders. It is suspected that the majority that winter in Britain and Ireland originate from Canada, but there is no primary evidence of their breeding grounds and migratory routes. These birds, characterised by their long bills, start to arrive in Britain and Ireland in late October/early November, after completing their post-nuptial moult at an unknown location. Fifty geolocators were attached to Purple Sandpipers in northern Scotland and southwest Ireland and we established for the first time their Canadian origin (Baffin Island and Devon Island), migration routes and post-nuptial moulting areas. Spring departure from Scotland and Ireland took place mainly in late May, followed by staging in Iceland and/or southwest Greenland before reaching the breeding grounds. Those that staged in Iceland departed earlier than those that flew directly to Greenland. Post-nuptial moulting areas were in southern Baffin Island, northern Quebec/Labrador (the Hudson Strait), and southwest Greenland. Migration from Baffin Island and Labrador took place during late October - early November, and during mid to late December from Greenland, usually in a single trans-Atlantic flight. Therefore, this migration was scheduled at a time when most other wader species are already on their wintering grounds. No birds staged in Iceland on the return trip. The flight from Baffin Island to Scotland and Ireland was accomplished in about 2.5 days at an average speed of about 1400 km per day. Freezing of coastal waters may be the reason for the eventual departure from the Hudson Strait. The more northerly route via Iceland, taken in spring by most birds, and the more southerly route in early winter were associated with seasonal shifts in the Atlantic low pressure systems (depressions) whose anti-clockwise wind-flows would have assisted flights.</t>
  </si>
  <si>
    <t>[Summers, R. W.] Lismore, North Kessock 1V1 3XY, Rossshire, Scotland; [Boland, H.] Kilcoole Co, BirdWatch Ireland, Wicklow, Ireland; [Colhoun, K.; Mackie, K.] Comber Co, Wildfowl &amp; Wetlands Trust, Down BT23 6EA, North Ireland; [Elkins, N.] 18 Scotstarvit View, Cupar KY15 5DX, Fife, Scotland; [Etheridge, B.] Beechgrove, Avoch 1V9 8RE, Ross Shire, Scotland; [Fox, J. W.] British Antarctic Survey, Cambridge CB3 0ET, England; [Quinn, L. R.] Univ Aberdeen, Inst Biol &amp; Environm Sci, Lighthouse Field Stn, Cromarty 1V11 8YJ, Scotland</t>
  </si>
  <si>
    <t>UK Research &amp; Innovation (UKRI); Natural Environment Research Council (NERC); NERC British Antarctic Survey; University of Aberdeen</t>
  </si>
  <si>
    <t>Summers, RW (corresponding author), Lismore, 7 Mill Crescent, North Kessock 1V1 3XY, Rossshire, Scotland.</t>
  </si>
  <si>
    <t>ron.summers@rspb.org.uk</t>
  </si>
  <si>
    <t>Fox, James W./0000-0002-3107-696X; Colhoun, Kendrew/0000-0003-4451-695X</t>
  </si>
  <si>
    <t>Heritage Council, Ireland; NERC [bas010011] Funding Source: UKRI; Natural Environment Research Council [bas010011] Funding Source: researchfish</t>
  </si>
  <si>
    <t>Heritage Council, Ireland; NERC(UK Research &amp; Innovation (UKRI)Natural Environment Research Council (NERC)); Natural Environment Research Council(UK Research &amp; Innovation (UKRI)Natural Environment Research Council (NERC))</t>
  </si>
  <si>
    <t>We are indebted to Ronnie and Shenac Graham who raised funds for the Highland Ringing Group to buy geolocators. The Heritage Council, Ireland, provided the grant to buy geolocators in Ireland. Rhys Green kindly advised on the design of the thigh-loop harness. Tagging was approved by the unconventional marking panel of the British Trust for Ornithology. The following helped during the capture of the Purple Sandpipers: Tony Backx, Brian Bates, Stuart Bearhop, Hugh Bradley, Declan Clarke, Sinead Cummins, Becks Denny, Kenny Graham, Xavier Harrison, Seamus Hassett, Owen Hegarty, Chris Honan, Sean Kingston, Graham McElwaine, William McDevitt, Helen and Tony Mainwood, Declan, Patrick and Katie Manley, Alex Portig, Niall Tierney, Alyn Walsh, Ewan Weston and Ally Young. Susi Hodgson and Karen Frake of Scottish Natural Heritage helped prepare the initial maps. Gudmundur Gudmundsson, David Hussell, Mark Mallory, Jennifer Provencher, Wouter Vansteelant and Yvonne Verkuil kindly commented on the drafts and/or provided information.</t>
  </si>
  <si>
    <t>NEDERLANDSE ORNITHOLOGISCHE UNIE</t>
  </si>
  <si>
    <t>ZEIST</t>
  </si>
  <si>
    <t>C/O PAUL STARMANS, OUDE ARNHEMSEWEG 261, 3705 BD ZEIST, NETHERLANDS</t>
  </si>
  <si>
    <t>0373-2266</t>
  </si>
  <si>
    <t>2213-1175</t>
  </si>
  <si>
    <t>Ardea</t>
  </si>
  <si>
    <t>FAL</t>
  </si>
  <si>
    <t>10.5253/arde.v102i2.a4</t>
  </si>
  <si>
    <t>Ornithology</t>
  </si>
  <si>
    <t>AW8UL</t>
  </si>
  <si>
    <t>WOS:000346536800004</t>
  </si>
  <si>
    <t>Sakerin, SM; Vlasov, NI; Kabanov, DM; Lubo-Lesnichenko, KE; Prakhov, AN; Radionov, VF; Turchinovich, YS; Holben, BN; Smirnov, A</t>
  </si>
  <si>
    <t>Sakerin, S. M.; Vlasov, N. I.; Kabanov, D. M.; Lubo-Lesnichenko, K. E.; Prakhov, A. N.; Radionov, V. F.; Turchinovich, Yu. S.; Holben, B. N.; Smirnov, A.</t>
  </si>
  <si>
    <t>Results of Spectral Measurements of Atmospheric Aerosol Optical Depth with Sun Photometers in the 58th Russian Antarctic Expedition</t>
  </si>
  <si>
    <t>ATMOSPHERIC AND OCEANIC OPTICS</t>
  </si>
  <si>
    <t>aerosol optical depth; Atlantic; Antarctica</t>
  </si>
  <si>
    <t>We discuss the specific features of the spatiotemporal variations in the atmospheric aerosol optical depth (AOD) measured during the 58th Russian Antarctic Expedition on board RVs Akademik Fedorov and Akademik Tryoshnikov and at the Mirny station. It is shown that the main feature of the spatiotemporal AOD distribution over ocean in the Southern Hemisphere is the linear latitudinal decrease of AOD from 0.15 at the equator to 0.025 near Antarctica. We indicate that the low AOD level in Antarctica (0.022 + 0.005) has persisted for the last 17 years.</t>
  </si>
  <si>
    <t>[Sakerin, S. M.; Kabanov, D. M.; Turchinovich, Yu. S.] Russian Acad Sci, Siberian Branch, VE Zuev Inst Atmospher Opt, Pl Akad Zueva 1, Tomsk 634021, Russia; [Vlasov, N. I.; Lubo-Lesnichenko, K. E.; Prakhov, A. N.; Radionov, V. F.] Arctic &amp; Antarctic Res Inst, St Petersburg 199397, Russia; [Holben, B. N.; Smirnov, A.] NASA, Goddard Space Flight Ctr, Greenbelt, MD 20771 USA</t>
  </si>
  <si>
    <t>Russian Academy of Sciences; Zuev Institute of Atmospheric Optics, Siberian Branch of the Russian Academy of Sciences; Arctic &amp; Antarctic Research Institute; National Aeronautics &amp; Space Administration (NASA); NASA Goddard Space Flight Center</t>
  </si>
  <si>
    <t>Sakerin, SM (corresponding author), Russian Acad Sci, Siberian Branch, VE Zuev Inst Atmospher Opt, Pl Akad Zueva 1, Tomsk 634021, Russia.</t>
  </si>
  <si>
    <t>sms@iao.ru</t>
  </si>
  <si>
    <t>Kabanov, Dmitry M./A-5805-2014; Kabanov, Dmitry/A-4871-2014; Sakerin, Sergey/A-6508-2014; Radionov, Vladimir F./O-3038-2017; Smirnov, Alexander/C-2121-2009</t>
  </si>
  <si>
    <t>Presidium of the Russian Academy of Sciences (Program of Basic Research) [23]; Ministry of Education and Science of the Russian Federation [16.518.11.7093]</t>
  </si>
  <si>
    <t>Presidium of the Russian Academy of Sciences (Program of Basic Research); Ministry of Education and Science of the Russian Federation(Ministry of Education and Science, Russian Federation)</t>
  </si>
  <si>
    <t>We would like to thank the crews of RVs Akademik Fedorov and Akademik Tryoshnikov for assistance and support in expedition observations. This work was performed under the support of the Presidium of the Russian Academy of Sciences (Program of Basic Research no. 23) and with the use of unique setup RV Akademik Fedorov (under the state contract of the Ministry of Education and Science of the Russian Federation no. 16.518.11.7093).</t>
  </si>
  <si>
    <t>PLEIADES PUBLISHING INC</t>
  </si>
  <si>
    <t>MOSCOW</t>
  </si>
  <si>
    <t>PLEIADES PUBLISHING INC, MOSCOW, 00000, RUSSIA</t>
  </si>
  <si>
    <t>0869-5695</t>
  </si>
  <si>
    <t>2070-0393</t>
  </si>
  <si>
    <t>ATMOS OCEAN OPT</t>
  </si>
  <si>
    <t>Atmos. Ocean. Opt.</t>
  </si>
  <si>
    <t>10.1134/S1024856014050108</t>
  </si>
  <si>
    <t>Optics</t>
  </si>
  <si>
    <t>VC7UB</t>
  </si>
  <si>
    <t>WOS:000434601000006</t>
  </si>
  <si>
    <t>Deagle, BE; Jarman, SN; Coissac, E; Pompanon, F; Taberlet, P</t>
  </si>
  <si>
    <t>Deagle, Bruce E.; Jarman, Simon N.; Coissac, Eric; Pompanon, Francois; Taberlet, Pierre</t>
  </si>
  <si>
    <t>DNA metabarcoding and the cytochrome c oxidase subunit I marker: not a perfect match</t>
  </si>
  <si>
    <t>BIOLOGY LETTERS</t>
  </si>
  <si>
    <t>DNA metabarcoding; DNA barcoding; cytochrome oxidase I</t>
  </si>
  <si>
    <t>BIODIVERSITY</t>
  </si>
  <si>
    <t>DNA metabarcoding enables efficient characterization of species composition in environmental DNA or bulk biodiversity samples, and this approach is making significant and unique contributions in the field of ecology. In metabarcoding of animals, the cytochrome c oxidase subunit I (COI) gene is frequently used as the marker of choice because no other genetic region can be found in taxonomically verified databases with sequences covering so many taxa. However, the accuracy of metabarcoding datasets is dependent on recovery of the targeted taxa using conserved amplification primers. We argue that COI does not contain suitably conserved regions for most amplicon-based metabarcoding applications. Marker selection deserves increased scrutiny and available marker choices should be broadened in order to maximize potential in this exciting field of research.</t>
  </si>
  <si>
    <t>[Coissac, Eric; Pompanon, Francois; Taberlet, Pierre] Univ Grenoble Alpes, F-38000 Grenoble, France; [Coissac, Eric; Pompanon, Francois; Taberlet, Pierre] CNRS, Lab Ecol Alpine, F-38000 Grenoble, France</t>
  </si>
  <si>
    <t>Communaute Universite Grenoble Alpes; Universite Grenoble Alpes (UGA); Communaute Universite Grenoble Alpes; Universite Grenoble Alpes (UGA); Centre National de la Recherche Scientifique (CNRS); Universite Savoie Mont Blanc</t>
  </si>
  <si>
    <t>Deagle, BE (corresponding author), 203 Channel Highway, Kingston, Tas, Australia.</t>
  </si>
  <si>
    <t>bruce.deagle@aad.gov.au</t>
  </si>
  <si>
    <t>Coissac, Éric/AAE-8735-2019; Pompanon, François/D-3459-2009; Deagle, Bruce E/R-2999-2019; Taberlet, Pierre/D-1178-2010; Jarman, Simon/H-9265-2016</t>
  </si>
  <si>
    <t>Coissac, Éric/0000-0001-7507-6729; Pompanon, François/0000-0003-4600-0172; Deagle, Bruce E/0000-0001-7651-3687; Jarman, Simon/0000-0002-0792-9686</t>
  </si>
  <si>
    <t>Australian Antarctic Science Program (AAS Projects) [4014, 4313]</t>
  </si>
  <si>
    <t>Australian Antarctic Science Program (AAS Projects)</t>
  </si>
  <si>
    <t>B.D. and S.J. received operating grants from the Australian Antarctic Science Program (AAS Projects 4014 and 4313).</t>
  </si>
  <si>
    <t>1744-9561</t>
  </si>
  <si>
    <t>1744-957X</t>
  </si>
  <si>
    <t>BIOL LETTERS</t>
  </si>
  <si>
    <t>Biol. Lett.</t>
  </si>
  <si>
    <t>10.1098/rsbl.2014.0562</t>
  </si>
  <si>
    <t>Biology; Ecology; Evolutionary Biology</t>
  </si>
  <si>
    <t>Life Sciences &amp; Biomedicine - Other Topics; Environmental Sciences &amp; Ecology; Evolutionary Biology</t>
  </si>
  <si>
    <t>AP2WA</t>
  </si>
  <si>
    <t>Y</t>
  </si>
  <si>
    <t>N</t>
  </si>
  <si>
    <t>WOS:000341935400005</t>
  </si>
  <si>
    <t>Landerer, FW; Gleckler, PJ; Lee, T</t>
  </si>
  <si>
    <t>Landerer, Felix W.; Gleckler, Peter J.; Lee, Tong</t>
  </si>
  <si>
    <t>Evaluation of CMIP5 dynamic sea surface height multi-model simulations against satellite observations</t>
  </si>
  <si>
    <t>Sea surface height; CMIP5; GCM skill; Model evaluation; AR5</t>
  </si>
  <si>
    <t>OCEAN CIRCULATION; LEVEL RISE; REPRESENTATION; VARIABILITY; MODELS; IMPACT</t>
  </si>
  <si>
    <t>We evaluate the representation of dynamic sea surface height (SSH) fields of 33 global coupled models (GCMs) contributed to the fifth phase of the Coupled Model Intercomparison Project (CMIP5). We use observations from satellite altimetry and basic performance metrics to quantify the ability of the GCMs to replicate observed SSH of the time-mean, seasonal cycle, and inter-annual variability patterns. The time-mean SSH representation has markedly improved from CMIP3 to CMIP5, both in terms of overall reduction in root-mean square differences, and in terms of reduced GCM ensemble spread. Biases of the time-mean SSH field in the Indian and Pacific Ocean equatorial regions are consistent with biases in the zonal surface wind stress fields identified with independent measurements. In the Southern Ocean, the latitude of the maximum meridional gradient of the zonal mean SSH CMIP5 models is shifted equatorward, consistent with the GCMs' spatial biases in the maximum of the zonal mean westerly surface wind stress fields. However, while the Southern Ocean SSH gradients correlate well with the maximum Antarctic circumpolar current transports, there is no significant correlation with the maximum zonal mean wind stress amplitudes, consistent with recent findings that the eddy parameterisations in GCMs dominate over wind stress amplitudes in this region. There is considerable spread across the CMIP5 ensemble for the seasonal and interannual SSH variability patterns. Because of the short observational period, the interannual variability patterns depend on the time-period over which they are derived, while no such dependency is found for the time-mean patterns. The model performance metrics for SSH presented here provide insight into GCM shortcoming due to inadequate model physics or processes. While the diagnostics of CMIP5 GCM performance relative to observations reveal that some models are clearly better than others, model performance is sensitive to the spatio-temporal scales chosen.</t>
  </si>
  <si>
    <t>[Landerer, Felix W.; Lee, Tong] CALTECH, Jet Prop Lab, Pasadena, CA 91125 USA; [Gleckler, Peter J.] Lawrence Livermore Natl Lab, Program Climate Model Diag &amp; Intercomparison, Livermore, CA USA</t>
  </si>
  <si>
    <t>National Aeronautics &amp; Space Administration (NASA); NASA Jet Propulsion Laboratory (JPL); California Institute of Technology; United States Department of Energy (DOE); Lawrence Livermore National Laboratory</t>
  </si>
  <si>
    <t>Landerer, FW (corresponding author), CALTECH, Jet Prop Lab, Pasadena, CA 91125 USA.</t>
  </si>
  <si>
    <t>felix.w.landerer@jpl.nasa.gov</t>
  </si>
  <si>
    <t>Lee, Tong/AAZ-6447-2020; Gleckler, Peter/H-4762-2012; Landerer, Felix W/ABG-2849-2021; Lee, Tony/JDM-3564-2023</t>
  </si>
  <si>
    <t>Lee, Tong/0000-0001-9817-2908; Landerer, Felix W/0000-0003-2678-095X;</t>
  </si>
  <si>
    <t>NASA</t>
  </si>
  <si>
    <t>NASA(National Aeronautics &amp; Space Administration (NASA))</t>
  </si>
  <si>
    <t>We acknowledge the GCM modeling groups, the PCMDI, and the WCRP's Working Group on Coupled Modeling for their roles in making available the WCRP CMIP3 and CMIP5 multimodel data sets. Support of these data sets is provided by the Office of Science, US Department of Energy. FWL's and TL's work was performed at the Jet Propulsion Laboratory, California Institute of Technology, under contract with NASA.</t>
  </si>
  <si>
    <t>10.1007/s00382-013-1939-x</t>
  </si>
  <si>
    <t>WOS:000341369700008</t>
  </si>
  <si>
    <t>Gerhardt, L; Vélez, JCD; Klein, SR</t>
  </si>
  <si>
    <t>Gerhardt, Lisa; Diaz Velez, Juan Carlos; Klein, Spencer R.</t>
  </si>
  <si>
    <t>Adventures in Antarctic Computing, or How I Learned to Stop Worrying and Love the Neutrino</t>
  </si>
  <si>
    <t>COMPUTER</t>
  </si>
  <si>
    <t>ICECUBE</t>
  </si>
  <si>
    <t>IceCube-a neutrino telescope that encompasses a cubic kilometer of Antarctic ice at the South Pole, collecting and processing data from 5,160 optical sensors buried a mile deep in the icecap-presents considerable challenges, from overcoming power and bandwidth limitations to simulating the complexities of Antarctic ice, which continue to stretch computing technology.</t>
  </si>
  <si>
    <t>[Gerhardt, Lisa] Lawrence Berkeley Natl Lab, Natl Energy Res Sci Comp Ctr NERSC, Berkeley, CA 94720 USA; [Diaz Velez, Juan Carlos] Univ Wisconsin Madison, Wisconsin IceCube Particle &amp; Astrophys Ctr, Madison, WI USA; [Klein, Spencer R.] Lawrence Berkeley Natl Lab, Berkeley, CA USA; [Klein, Spencer R.] Univ Calif Berkeley, Berkeley, CA 94720 USA</t>
  </si>
  <si>
    <t>United States Department of Energy (DOE); Lawrence Berkeley National Laboratory; University of Wisconsin System; University of Wisconsin Madison; United States Department of Energy (DOE); Lawrence Berkeley National Laboratory; University of California System; University of California Berkeley</t>
  </si>
  <si>
    <t>Gerhardt, L (corresponding author), Lawrence Berkeley Natl Lab, Natl Energy Res Sci Comp Ctr NERSC, Berkeley, CA 94720 USA.</t>
  </si>
  <si>
    <t>lgerhardt@lbl.gov; juancarlos.diazvelez@icecube.wisc.edu; srklein@lbl.gov</t>
  </si>
  <si>
    <t>Díaz Vélez, Juan Carlos/AAD-5211-2022</t>
  </si>
  <si>
    <t>Díaz Vélez, Juan Carlos/0000-0002-0087-0693; Klein, Spencer/0000-0003-2841-6553</t>
  </si>
  <si>
    <t>National Science Foundation [1307472]; Department of Energy [DE-AC-76SF00098]; Direct For Mathematical &amp; Physical Scien [1307472] Funding Source: National Science Foundation; Division Of Physics [1307472] Funding Source: National Science Foundation</t>
  </si>
  <si>
    <t>National Science Foundation(National Science Foundation (NSF)); Department of Energy(United States Department of Energy (DOE)); Direct For Mathematical &amp; Physical Scien(National Science Foundation (NSF)NSF - Directorate for Mathematical &amp; Physical Sciences (MPS)); Division Of Physics(National Science Foundation (NSF)NSF - Directorate for Mathematical &amp; Physical Sciences (MPS))</t>
  </si>
  <si>
    <t>This work was supported in part by the National Science Foundation under grant 1307472 and the Department of Energy under contract number DE-AC-76SF00098.</t>
  </si>
  <si>
    <t>IEEE COMPUTER SOC</t>
  </si>
  <si>
    <t>LOS ALAMITOS</t>
  </si>
  <si>
    <t>10662 LOS VAQUEROS CIRCLE, PO BOX 3014, LOS ALAMITOS, CA 90720-1314 USA</t>
  </si>
  <si>
    <t>0018-9162</t>
  </si>
  <si>
    <t>1558-0814</t>
  </si>
  <si>
    <t>Computer</t>
  </si>
  <si>
    <t>10.1109/MC.2014.234</t>
  </si>
  <si>
    <t>Computer Science, Hardware &amp; Architecture; Computer Science, Software Engineering</t>
  </si>
  <si>
    <t>Computer Science</t>
  </si>
  <si>
    <t>AS8CO</t>
  </si>
  <si>
    <t>WOS:000344478100022</t>
  </si>
  <si>
    <t>Oren, A</t>
  </si>
  <si>
    <t>Oren, Aharon</t>
  </si>
  <si>
    <t>Taxonomy of halophilic Archaea: current status and future challenges</t>
  </si>
  <si>
    <t>EXTREMOPHILES</t>
  </si>
  <si>
    <t>Halobacteriaceae; Halophilic methanogens; Nanohaloarchaea; Taxonomy; Nomenclature; Species concepts</t>
  </si>
  <si>
    <t>RIBOSOMAL-RNA GENES; SP-NOV; HALOQUADRATUM-WALSBYI; DEEP LAKE; METHANOHALOPHILUS; HALOARCULA; CULTIVATION; HALOBACTERIACEAE; METHANOGEN; BACTERIUM</t>
  </si>
  <si>
    <t>Several groups of Archaea, all Euryarchaeota, develop in hypersaline environments (from &gt; 10 % salt up to saturation). The cultured diversity of halophilic Archaea includes the family Halobacteriaceae of aerobic or facultative anaerobic, generally red-pigmented species (47 genera and 165 species as of February 2014) and seven representatives of four genera of methanogens, most of which obtain energy from methylated amines under anaerobic conditions. Metagenomic studies have identified an additional deep lineage of Archaea in salt lakes and ponds with brines approaching NaCl saturation. Genomic information is now available for representatives of these 'Nanohaloarchaea', but no members of this lineage have yet been cultured. Multilocus sequence analysis is becoming increasingly popular in taxonomic studies of the Halobacteriaceae, and such studies have demonstrated that recombination of genetic traits occurs at an extremely high frequency at least in some genera. Metagenomic studies in an Antarctic lake showed that large identical regions of up to 35 kb in length can be shared by members of different genera living together in the same environment. Such observations have important implications not only for the taxonomy of the Halobacteriaceae, but also for species concepts and questions on taxonomy and classification for prokaryotic microorganisms in general.</t>
  </si>
  <si>
    <t>Hebrew Univ Jerusalem, Inst Life Sci, Dept Plant &amp; Environm Sci, IL-91904 Jerusalem, Israel</t>
  </si>
  <si>
    <t>Hebrew University of Jerusalem</t>
  </si>
  <si>
    <t>Oren, A (corresponding author), Hebrew Univ Jerusalem, Inst Life Sci, Dept Plant &amp; Environm Sci, Edmond J Safra Campus, IL-91904 Jerusalem, Israel.</t>
  </si>
  <si>
    <t>aharon.oren@mail.huji.ac.il</t>
  </si>
  <si>
    <t>Oren, Aharon/JOZ-0901-2023</t>
  </si>
  <si>
    <t>Oren, Aharon/0000-0002-5828-0995</t>
  </si>
  <si>
    <t>SPRINGER JAPAN KK</t>
  </si>
  <si>
    <t>TOKYO</t>
  </si>
  <si>
    <t>SHIROYAMA TRUST TOWER 5F, 4-3-1 TORANOMON, MINATO-KU, TOKYO, 105-6005, JAPAN</t>
  </si>
  <si>
    <t>1431-0651</t>
  </si>
  <si>
    <t>1433-4909</t>
  </si>
  <si>
    <t>Extremophiles</t>
  </si>
  <si>
    <t>10.1007/s00792-014-0654-9</t>
  </si>
  <si>
    <t>Biochemistry &amp; Molecular Biology; Microbiology</t>
  </si>
  <si>
    <t>AP1WQ</t>
  </si>
  <si>
    <t>WOS:000341863200004</t>
  </si>
  <si>
    <t>Pauly, D; Belhabib, D; Blomeyer, R; Cheung, WWWL; Cisneros-Montemayor, AM; Copeland, D; Harper, S; Lam, VWY; Mai, YN; Le Manach, F; Österblom, H; Mok, KM; van der Meer, L; Sanz, A; Shon, S; Sumaila, UR; Swartz, W; Watson, R; Zhai, YL; Zeller, D</t>
  </si>
  <si>
    <t>Pauly, Daniel; Belhabib, Dyhia; Blomeyer, Roland; Cheung, William W. W. L.; Cisneros-Montemayor, Andres M.; Copeland, Duncan; Harper, Sarah; Lam, Vicky W. Y.; Mai, Yining; Le Manach, Frederic; Osterblom, Henrik; Mok, Ka Man; van der Meer, Liesbeth; Sanz, Antonio; Shon, Soohyun; Sumaila, U. Rashid; Swartz, Wilf; Watson, Reg; Zhai, Yunlei; Zeller, Dirk</t>
  </si>
  <si>
    <t>China's distant-water fisheries in the 21st century</t>
  </si>
  <si>
    <t>Control and Surveillance of fisheries; distant-water fishing; illegal; management; Monte Carlo method; unreported and unregulated (IUU) catch</t>
  </si>
  <si>
    <t>CATCH; POLICIES; AFRICA; TRADE; STATE</t>
  </si>
  <si>
    <t>We conservatively estimate the distant-water fleet catch of the People's Republic of China for 2000-2011, using a newly assembled database of reported occurrence of Chinese fishing vessels in various parts of the world and information on the annual catch by vessel type. Given the unreliability of official statistics, uncertainty of results was estimated through a regionally stratified Monte Carlo approach, which documents the presence and number of Chinese vessels in Exclusive Economic Zones and then multiplies these by the expected annual catch per vessel. We find that China, which over-reports its domestic catch, substantially under-reports the catch of its distant-water fleets. This catch, estimated at 4.6 million t year(-1) (95% central distribution, 3.4-6.1 million t year(-1)) from 2000 to 2011 (compared with an average of 368 000 t year(-1) reported by China to FAO), corresponds to an ex-vessel landed value of 8.93 billion year(-1) (95% central distribution, 6.3-12.3 billion). Chinese distant-water fleets extract the largest catch in African waters (3.1 million t year(-1), 95% central distribution, 2.0-4.4 million t), followed by Asia (1.0 million t year(-1), 0.56-1.5 million t), Oceania (198 000 t year(-1), 144 000-262 000 t), Central and South America (182 000 t year-1, 94 000299 000 t) and Antarctica (48 000 t year(-1), 8 000-129 000 t). The uncertainty of these estimates is relatively high, but several sources of inaccuracy could not be fully resolved given the constraints inherent in the underlying data and method, which also prevented us from distinguishing between legal and illegal catch.</t>
  </si>
  <si>
    <t>[Pauly, Daniel; Belhabib, Dyhia; Copeland, Duncan; Harper, Sarah; Mai, Yining; Le Manach, Frederic; Mok, Ka Man; Shon, Soohyun; Zhai, Yunlei; Zeller, Dirk] Univ British Columbia, Fisheries Ctr, Sea Us Project, Vancouver, BC V6T 1Z4, Canada; [Blomeyer, Roland; Sanz, Antonio] Blomeyer &amp; Sanz SL, ES-19163 Guadalajara, Spain; [Cheung, William W. W. L.; Lam, Vicky W. Y.] Univ British Columbia, Fisheries Ctr, Changing Ocean Res Unit, Vancouver, BC V6T 1Z4, Canada; [Cisneros-Montemayor, Andres M.; Lam, Vicky W. Y.; van der Meer, Liesbeth; Sumaila, U. Rashid; Swartz, Wilf] Univ British Columbia, Fisheries Ctr, Fisheries Econ Res Unit, Vancouver, BC V6T 1Z4, Canada; [Le Manach, Frederic] Ctr Rech Halieut Mediterraneennes &amp; Trop, UMR EME 212, IRD, F-34203 Sete, France; [Osterblom, Henrik] Stockholm Univ, Stockholm Resilience Ctr, S-10691 Stockholm, Sweden; [Watson, Reg] Univ Tasmania, Inst Marine &amp; Antarctic Studies, Hobart, Tas 7001, Australia</t>
  </si>
  <si>
    <t>University of British Columbia; University of British Columbia; University of British Columbia; Ifremer; Institut de Recherche pour le Developpement (IRD); Universite de Montpellier; Stockholm University; University of Tasmania</t>
  </si>
  <si>
    <t>Pauly, D (corresponding author), Univ British Columbia, Fisheries Ctr, 2202 Main Mall, Vancouver, BC V6T 1Z4, Canada.</t>
  </si>
  <si>
    <t>d.pauly@fish-eries.ubc.ca</t>
  </si>
  <si>
    <t>Watson, Reg A/F-4850-2012; Le Manach, Frederic/Q-1878-2019; Lam, Vicky/AAX-1684-2020; Sumaila, U. Rashid/ABE-6475-2020; Lam, Vy/KBQ-7534-2024; Osterblom, Henrik G/D-4249-2012; Pauly, Daniel Marc/AAY-2316-2021; , William/F-5104-2013</t>
  </si>
  <si>
    <t>Watson, Reg A/0000-0001-7201-8865; Le Manach, Frederic/0000-0002-7217-0530; Zeller, Dirk/0000-0001-7304-4125; Pauly, Daniel/0000-0003-3756-4793; Harper, Sarah/0000-0001-6869-9370; , William/0000-0003-3626-1045; Osterblom, Henrik/0000-0002-1913-5197</t>
  </si>
  <si>
    <t>10.1111/faf.12032</t>
  </si>
  <si>
    <t>WOS:000340661300008</t>
  </si>
  <si>
    <t>Roman, J; Estes, JA; Morissette, L; Smith, C; Costa, D; McCarthy, J; Nation, JB; Nicol, S; Pershing, A; Smetacek, V</t>
  </si>
  <si>
    <t>Roman, Joe; Estes, James A.; Morissette, Lyne; Smith, Craig; Costa, Daniel; McCarthy, James; Nation, J. B.; Nicol, Stephen; Pershing, Andrew; Smetacek, Victor</t>
  </si>
  <si>
    <t>Whales as marine ecosystem engineers</t>
  </si>
  <si>
    <t>FRONTIERS IN ECOLOGY AND THE ENVIRONMENT</t>
  </si>
  <si>
    <t>SEQUENTIAL MEGAFAUNAL COLLAPSE; NORTH PACIFIC-OCEAN; SOUTHERN-OCEAN; POPULATION-SIZE; SEA OTTERS; AQUATIC ECOSYSTEMS; HUMPBACK-WHALES; CARBON EXPORT; SPERM-WHALES; DEEP-SEA</t>
  </si>
  <si>
    <t>Baleen and sperm whales, known collectively as the great whales, include the largest animals in the history of life on Earth. With high metabolic demands and large populations, whales probably had a strong influence on marine ecosystems before the advent of industrial whaling: as consumers of fish and invertebrates; as prey to other large-bodied predators; as reservoirs of and vertical and horizontal vectors for nutrients; and as detrital sources of energy and habitat in the deep sea. The decline in great whale numbers, estimated to be at least 66% and perhaps as high as 90%, has likely altered the structure and function of the oceans, but recovery is possible and in many cases is already underway. Future changes in the structure and function of the world's oceans can be expected with the restoration of great whale populations.</t>
  </si>
  <si>
    <t>[Roman, Joe] Univ Vermont, Gund Inst Ecol Econ, Burlington, VT 05405 USA; [Estes, James A.; Costa, Daniel] Univ Calif Santa Cruz, Dept Ecol &amp; Evolutionary Biol, Santa Cruz, CA 95064 USA; [Morissette, Lyne] M Expertise Marine, St Luce, PQ, Canada; [Smith, Craig] Univ Hawaii Manoa, Dept Oceanog, Honolulu, HI 96822 USA; [McCarthy, James] Harvard Univ, Dept Organism &amp; Evolutionary Biol, Cambridge, MA 02138 USA; [Nation, J. B.] Univ Hawaii, Dept Math, Honolulu, HI 96822 USA; [Nicol, Stephen] Univ Tasmania, Inst Marine &amp; Antarctic Studies, Hobart, Tas 7001, Australia; [Pershing, Andrew] Univ Maine, Sch Marine Sci, Orono, ME USA; [Pershing, Andrew] Gulf Maine Res Inst, Portland, ME USA; [Smetacek, Victor] Helmholtz Ctr Polar &amp; Marine Res, Alfred Wegener Inst, Bremerhaven, Germany</t>
  </si>
  <si>
    <t>University of Vermont; University of California System; University of California Santa Cruz; University of Hawaii System; University of Hawaii Manoa; Harvard University; University of Hawaii System; University of Tasmania; University of Maine System; University of Maine Orono; Gulf of Maine Research Institute; Helmholtz Association; Alfred Wegener Institute, Helmholtz Centre for Polar &amp; Marine Research</t>
  </si>
  <si>
    <t>Roman, J (corresponding author), Univ Vermont, Gund Inst Ecol Econ, Burlington, VT 05405 USA.</t>
  </si>
  <si>
    <t>jroman@uvm.edu</t>
  </si>
  <si>
    <t>Costa, Daniel Paul/E-2616-2013</t>
  </si>
  <si>
    <t>Costa, Daniel Paul/0000-0002-0233-5782</t>
  </si>
  <si>
    <t>Gund Institute for Ecological Economics; Marine Mammal Commission, Fulbright Scholar Program; Mary Derrickson McCurdy Visiting Scholar Program at the Duke University Marine Lab; Lenfest Ocean Program of the Pew Charitable Trusts; Directorate For Geosciences; Division Of Ocean Sciences [1155703] Funding Source: National Science Foundation</t>
  </si>
  <si>
    <t>Gund Institute for Ecological Economics; Marine Mammal Commission, Fulbright Scholar Program; Mary Derrickson McCurdy Visiting Scholar Program at the Duke University Marine Lab; Lenfest Ocean Program of the Pew Charitable Trusts; Directorate For Geosciences; Division Of Ocean Sciences(National Science Foundation (NSF)NSF - Directorate for Geosciences (GEO))</t>
  </si>
  <si>
    <t>Financial and logistical support was provided by the Gund Institute for Ecological Economics; research and financial support was provided to JR by the Marine Mammal Commission, Fulbright Scholar Program, and the Mary Derrickson McCurdy Visiting Scholar Program at the Duke University Marine Lab. AP was supported by the Lenfest Ocean Program of the Pew Charitable Trusts.</t>
  </si>
  <si>
    <t>1540-9295</t>
  </si>
  <si>
    <t>1540-9309</t>
  </si>
  <si>
    <t>FRONT ECOL ENVIRON</t>
  </si>
  <si>
    <t>Front. Ecol. Environ.</t>
  </si>
  <si>
    <t>10.1890/130220</t>
  </si>
  <si>
    <t>AO3KE</t>
  </si>
  <si>
    <t>Green Accepted, Green Submitted</t>
  </si>
  <si>
    <t>WOS:000341227300011</t>
  </si>
  <si>
    <t>Lepot, K; Compère, P; Gérard, E; Namsaraev, Z; Verleyen, E; Tavernier, I; Hodgson, DA; Vyverman, W; Gilbert, B; Wilmotte, A; Javaux, EJ</t>
  </si>
  <si>
    <t>Lepot, K.; Compere, P.; Gerard, E.; Namsaraev, Z.; Verleyen, E.; Tavernier, I.; Hodgson, D. A.; Vyverman, W.; Gilbert, B.; Wilmotte, A.; Javaux, E. J.</t>
  </si>
  <si>
    <t>Organic and mineral imprints in fossil photosynthetic mats of an East Antarctic lake</t>
  </si>
  <si>
    <t>GEOBIOLOGY</t>
  </si>
  <si>
    <t>BENTHIC MICROBIAL MATS; SATONDA CRATER LAKE; MCMURDO ICE SHELF; ALGAL MATS; CARBONATE PRECIPITATION; HYPERSALINE LAKE; BLACK SHALE; BACTERIA; MATTER; SULFUR</t>
  </si>
  <si>
    <t>Lacustrine microbial mats in Antarctic ice-free oases are considered modern analogues of early microbial ecosystems as their primary production is generally dominated by cyanobacteria, the heterotrophic food chain typically truncated due to extreme environmental conditions, and they are geographically isolated. To better understand early fossilization and mineralization processes in this context, we studied the microstructure and chemistry of organo-mineral associations in a suite of sediments 50-4530 cal. years old from a lake in Skarvsnes, Lutzow Holm Bay, East Antarctica. First, we report an exceptional preservation of fossil autotrophs and their biomolecules on millennial timescales. The pigment scytonemin is preserved inside cyanobacterial sheaths. As non-pigmented sheaths are also preserved, scytonemin likely played little role in the preservation of sheath polysaccharides, which have been cross-linked by ether bonds. Coccoids preserved thylakoids and autofluorescence of pigments such as carotenoids. This exceptional preservation of autotrophs in the fossil mats argues for limited biodegradation during and after deposition. Moreover, cell-shaped aggregates preserved sulfur-rich nanoglobules, supporting fossilization of instable intracellular byproducts of chemotrophic or phototrophic S-oxidizers. Second, we report a diversity of micro-to nanostructured CaCO3 precipitates intimately associated with extracellular polymeric substances, cyanobacteria, and/or other prokaryotes. Micro-peloids Type 1 display features that distinguish them from known carbonates crystallized in inorganic conditions: (i) Type 1A are often filled with globular nanocarbonates and/or surrounded by a fibrous fringe, (ii) Type 1B are empty and display ovoid to wrinkled fringes of nanocrystallites that can be radially oriented (fibrous or triangular) or multilayered, and (iii) all show small-size variations. Type 2 rounded carbonates 12 mu m in diameter occurring inside autofluorescent spheres interpreted as coccoidal bacteria may represent fossils of intracellular calcification. These organo-mineral associations support organically driven nanocarbonate crystallization and stabilization, hence providing potential markers for microbial calcification in ancient rocks.</t>
  </si>
  <si>
    <t>[Lepot, K.; Javaux, E. J.] Univ Liege, Dept Geol, B-4000 Liege, Belgium; [Lepot, K.] Univ Lille 1, CNRS, SN5, UMR 8217, F-59655 Villeneuve Dascq, France; [Compere, P.] Univ Liege, Dept Ecol &amp; Evolut Biol, B-4000 Liege, Belgium; [Gerard, E.] Univ Paris Diderot, Sorbonne Paris Cite, UMR 7154, Inst Phys Globe Paris,CNRS, Paris, France; [Namsaraev, Z.; Wilmotte, A.] Univ Liege, Ctr Ingn Prot, B-4000 Liege, Belgium; [Namsaraev, Z.] IV Kurchatov Atom Energy Inst, Natl Res Ctr, Moscow 123182, Russia; [Namsaraev, Z.] Winogradsky Inst Microbiol RAS, Moscow 117312, Russia; [Verleyen, E.; Tavernier, I.; Vyverman, W.] Univ Ghent, B-9000 Ghent, Belgium; [Hodgson, D. A.] British Antarctic Survey, Cambridge CB3 0ET, England; [Gilbert, B.] Univ Liege, B-4000 Liege, Belgium</t>
  </si>
  <si>
    <t>University of Liege; Centre National de la Recherche Scientifique (CNRS); Universite de Lille; University of Liege; Universite Paris Cite; Centre National de la Recherche Scientifique (CNRS); CNRS - National Institute for Earth Sciences &amp; Astronomy (INSU); University of Liege; National Research Centre - Kurchatov Institute; Russian Academy of Sciences; Research Center of Biotechnology RAS; Ghent University; UK Research &amp; Innovation (UKRI); Natural Environment Research Council (NERC); NERC British Antarctic Survey; University of Liege</t>
  </si>
  <si>
    <t>Lepot, K (corresponding author), Univ Lille 1, CNRS, SN5, UMR 8217, F-59655 Villeneuve Dascq, France.</t>
  </si>
  <si>
    <t>kevin.lepot@univ-lille1.fr</t>
  </si>
  <si>
    <t>Wilmotte, Annick/H-1686-2011; Namsaraev, Zorigto/A-3696-2014; GERARD, Emmanuelle/A-3828-2013; Lepot, Kevin/C-7072-2014</t>
  </si>
  <si>
    <t>Namsaraev, Zorigto/0000-0002-9701-5721; GERARD, Emmanuelle/0000-0002-4910-747X; Lepot, Kevin/0000-0003-0556-0405; Wilmotte, Annick/0000-0003-3546-3489</t>
  </si>
  <si>
    <t>FRFC [2.4558.09F]; BELSPO IAP PLANET TOPERS; FP7-ERC StG ELiTE; FNRS Postdoc Fellowship; FRS-FNRS (National Funds for Scientific Research of Belgium); Institute for the Promotion of Innovation through Science and Technology in Flanders (IWT-Vlaanderen); NERC [bas0100024] Funding Source: UKRI; Natural Environment Research Council [bas0100024] Funding Source: researchfish</t>
  </si>
  <si>
    <t>FRFC(Fonds de la Recherche Scientifique - FNRS); BELSPO IAP PLANET TOPERS; FP7-ERC StG ELiTE; FNRS Postdoc Fellowship(Fonds de la Recherche Scientifique - FNRS); FRS-FNRS (National Funds for Scientific Research of Belgium)(Fonds de la Recherche Scientifique - FNRS); Institute for the Promotion of Innovation through Science and Technology in Flanders (IWT-Vlaanderen)(Institute for the Promotion of Innovation by Science and Technology in Flanders (IWT)); NERC(UK Research &amp; Innovation (UKRI)Natural Environment Research Council (NERC)); Natural Environment Research Council(UK Research &amp; Innovation (UKRI)Natural Environment Research Council (NERC))</t>
  </si>
  <si>
    <t>We thank Marcella Giraldo for performing the acid treatments, Nicole Decloux for preparing TEM samples, and the Center of Applied Technology in Microscopy of the University of Liege (CAT mu-ULg) for giving access to EM equipments. Stephen J. Roberts is thanked for his help with the age-depth model in BACON. This study was supported by a FRFC Project grant no 2.4558.09F, BELSPO IAP PLANET TOPERS and FP7-ERC StG ELiTE (EJ), and a FNRS Postdoc Fellowship (KL). AW is Research Associate of the FRS-FNRS (National Funds for Scientific Research of Belgium). IT was funded by the Institute for the Promotion of Innovation through Science and Technology in Flanders (IWT-Vlaanderen). The samples were obtained within the BelSPO project HOLANT. JARE 48 and Dr. S. Imura, Dr. S. Kudo, and Dr. T. Hoshino are thanked for their help in the field and logistic support. Karim Benzerara is thanked for his review of an early draft. We thank Tanja Bosak, Kurt Konhauser, and four anonymous reviewers for comments that greatly improved this manuscript.</t>
  </si>
  <si>
    <t>1472-4677</t>
  </si>
  <si>
    <t>1472-4669</t>
  </si>
  <si>
    <t>Geobiology</t>
  </si>
  <si>
    <t>10.1111/gbi.12096</t>
  </si>
  <si>
    <t>Biology; Environmental Sciences; Geosciences, Multidisciplinary</t>
  </si>
  <si>
    <t>Life Sciences &amp; Biomedicine - Other Topics; Environmental Sciences &amp; Ecology; Geology</t>
  </si>
  <si>
    <t>AR9BO</t>
  </si>
  <si>
    <t>WOS:000343866300004</t>
  </si>
  <si>
    <t>Xie, RFC; Marcantonio, F; Schmidt, MW</t>
  </si>
  <si>
    <t>Xie, Ruifang C.; Marcantonio, Franco; Schmidt, Matthew W.</t>
  </si>
  <si>
    <t>Reconstruction of intermediate water circulation in the tropical North Atlantic during the past 22,000 years</t>
  </si>
  <si>
    <t>NEODYMIUM ISOTOPIC COMPOSITION; LAST GLACIAL MAXIMUM; DEEP-WATER; LABRADOR SEA; MEDITERRANEAN OUTFLOW; OCEAN CIRCULATION; BOUNDARY EXCHANGE; ABRUPT CHANGES; SEAWATER; VARIABILITY</t>
  </si>
  <si>
    <t>Decades of paleoceanographic studies have reconstructed a well-resolved water mass structure for the deep Atlantic Ocean during the Last Glacial Maximum (LGM). However, the variability of intermediate water circulation in the tropics over the LGM and deglacial abrupt climate events is still largely debated. This study aims to reconstruct intermediate northern- and southern-sourced water circulation in the tropical North Atlantic during the past 22 kyr and attempts to confine the boundary between Antarctic Intermediate Water (AAIW) and northern-sourced intermediate water (i.e., upper North Atlantic Deep Water (NADW) or Glacial North Atlantic Intermediate Water) in the past. High-resolution Nd isotopic compositions of fish debris and acid-reductive leachate of bulk sediment in core VM12-107 (1079 m depth) from the Southern Caribbean are not in agreement. We suggest that the leachate method does not reliably extract the Nd isotopic compositions of seawater at this location, and that it needs to be tested in more detail in various oceanic settings. The fish debris epsilon(Nd) values display a general decrease from the early deglaciation to the end of the Younger Dryas, followed by a greater drop toward less radiogenic values into the early Holocene. We propose a potentially more radiogenic glacial northern endmember water mass and interpret this pattern as recording a recovery of the upper NADW during the last deglaciation. Comparing our new fish debris Nd isotope data to authigenic Nd isotope studies in the Florida Straits (546 and 751 m depth), we propose that both glacial and deglacial AAIW do not penetrate beyond the lower depth limit of modern AAIW in the tropical Atlantic. (C) 2014 Elsevier Ltd. All rights reserved.</t>
  </si>
  <si>
    <t>[Xie, Ruifang C.; Marcantonio, Franco] Texas A&amp;M Univ, Dept Geol &amp; Geophys, College Stn, TX 77843 USA; [Schmidt, Matthew W.] Texas A&amp;M Univ, Dept Oceanog, College Stn, TX 77843 USA</t>
  </si>
  <si>
    <t>Texas A&amp;M University System; Texas A&amp;M University College Station; Texas A&amp;M University System; Texas A&amp;M University College Station</t>
  </si>
  <si>
    <t>Xie, RFC (corresponding author), Max Planck Inst Chem, Dept Biogeochem, D-55128 Mainz, Germany.</t>
  </si>
  <si>
    <t>ruifang.xie@mpic.de</t>
  </si>
  <si>
    <t>Xie, Ruifang/JMD-0243-2023</t>
  </si>
  <si>
    <t>Xie, Ruifang/0000-0002-6628-9236</t>
  </si>
  <si>
    <t>NSF [OCE-1103157]; Division Of Ocean Sciences; Directorate For Geosciences [1103157] Funding Source: National Science Foundation</t>
  </si>
  <si>
    <t>NSF(National Science Foundation (NSF)); Division Of Ocean Sciences; Directorate For Geosciences(National Science Foundation (NSF)NSF - Directorate for Geosciences (GEO))</t>
  </si>
  <si>
    <t>We thank NSF (OCE-1103157) for providing funding for this work. We thank Ken and Jane Williams for their generous funding of the Radiogenic Isotope Geochemistry Laboratory at Texas A&amp;M University. R. C. Xie thanks Luz Romero for lab support, and Grecia Ivonne Lopez and Muhamad Ezriq B Mohd Kushairi for their help in sample processing. We are grateful to four anonymous reviewers and the editor, Dr. Claudine Stirling, for their constructive comments.</t>
  </si>
  <si>
    <t>10.1016/j.gca.2014.05.041</t>
  </si>
  <si>
    <t>WOS:000341925300029</t>
  </si>
  <si>
    <t>Jordan, TA; Neale, RF; Leat, PT; Vaughan, APM; Flowerdew, MJ; Riley, TR; Whitehouse, MJ; Ferraccioli, F</t>
  </si>
  <si>
    <t>Jordan, T. A.; Neale, R. F.; Leat, P. T.; Vaughan, A. P. M.; Flowerdew, M. J.; Riley, T. R.; Whitehouse, M. J.; Ferraccioli, F.</t>
  </si>
  <si>
    <t>Structure and evolution of Cenozoic arc magmatism on the Antarctic Peninsula: a high resolution aeromagnetic perspective</t>
  </si>
  <si>
    <t>GEOPHYSICAL JOURNAL INTERNATIONAL</t>
  </si>
  <si>
    <t>Magnetic anomalies: modelling and interpretation; Mantle processes; Volcanic arc processes; Continental margins: convergent; Crustal structure; Antarctica</t>
  </si>
  <si>
    <t>PALMER LAND; GONDWANA MARGIN; ADELAIDE ISLAND; PACIFIC MARGIN; MANTLE FLOW; VOLCANISM; GRAVITY; RIFT; ACCRETION; EXAMPLE</t>
  </si>
  <si>
    <t>The Antarctic Peninsula (AP) consists of a long lived and uniquely well preserved magmatic arc system. The broad tectonic structure of the AP arc is well understood. However, magmatic processes occurring along the arc are only constrained by regional geophysical and relatively sparse geological data. Key questions remain about the timing, volume, and structural controls on magma emplacement. We present new high resolution aeromagnetic data across Adelaide Island, on the western margin of the AP revealing the complex structure of the AP arc/forearc boundary. Using digital enhancement, 2-D modelling and 3-D inversion we constrain the form of the magnetic sources at the arc/forearc boundary. Our interpretation of these magnetic data, guided by geological evidence and new zircon U-Pb dating, suggests significant Palaeogene to Neogene magmatism formed similar to 25 per cent of the upper crust in this region (similar to 7500 km(3)). Significant structural control on Neogene magma emplacement along the arc/forearc boundary is also revealed. We hypothesize that this Neogene magmatism reflects mantle return flow through a slab window generated by Late Palaeogene cessation of subduction south of Adelaide Island. This mantle process may have affected the final stages of arc magmatism along the AP margin.</t>
  </si>
  <si>
    <t>[Jordan, T. A.; Leat, P. T.; Vaughan, A. P. M.; Flowerdew, M. J.; Riley, T. R.; Ferraccioli, F.] British Antarctic Survey, Cambridge CB3 0ET, England; [Neale, R. F.] Univ Leeds, Sch Earth &amp; Environm, Leeds LS2 9JT, W Yorkshire, England; [Whitehouse, M. J.] Swedish Museum Nat Hist, S-10405 Stockholm, Sweden</t>
  </si>
  <si>
    <t>UK Research &amp; Innovation (UKRI); Natural Environment Research Council (NERC); NERC British Antarctic Survey; University of Leeds; Swedish Museum of Natural History</t>
  </si>
  <si>
    <t>Jordan, TA (corresponding author), British Antarctic Survey, Madingley Rd, Cambridge CB3 0ET, England.</t>
  </si>
  <si>
    <t>tomj@bas.ac.uk</t>
  </si>
  <si>
    <t>Vaughan, Alan PM/B-7829-2010; Whitehouse, Martin/E-1425-2013</t>
  </si>
  <si>
    <t>Flowerdew, Michael/0000-0002-9710-2593; Ferraccioli, Fausto/0000-0002-9347-4736; Whitehouse, Martin/0000-0003-2227-577X; Riley, Teal/0000-0002-3333-5021</t>
  </si>
  <si>
    <t>NERC British Antarctic Survey core funds as part of the Polar Science for Planet Earth programme; NERC [bas0100026] Funding Source: UKRI; Natural Environment Research Council [bas0100026] Funding Source: researchfish</t>
  </si>
  <si>
    <t>NERC British Antarctic Survey core funds as part of the Polar Science for Planet Earth programme; NERC(UK Research &amp; Innovation (UKRI)Natural Environment Research Council (NERC)); Natural Environment Research Council(UK Research &amp; Innovation (UKRI)Natural Environment Research Council (NERC))</t>
  </si>
  <si>
    <t>This work was funded by NERC British Antarctic Survey core funds as part of the Polar Science for Planet Earth programme. We wish to thank the staff at Rothera Research Station for logistical support, and Carl Robinson our survey engineer for technical assistance. We also wish to thank P. East, K. Gardner, Prof Fairhead and Dr Green from GETECH Group plc and Leeds University for assistance with processing the Northern Adelaide Island airborne magnetic data. Kerstin Linden and Lev Ilyinsky are thanked for their assistance at the NORDSIM facility. This is NORDSIM publication number 372.</t>
  </si>
  <si>
    <t>0956-540X</t>
  </si>
  <si>
    <t>1365-246X</t>
  </si>
  <si>
    <t>GEOPHYS J INT</t>
  </si>
  <si>
    <t>Geophys. J. Int.</t>
  </si>
  <si>
    <t>10.1093/gji/ggu233</t>
  </si>
  <si>
    <t>AM6EN</t>
  </si>
  <si>
    <t>WOS:000339955900036</t>
  </si>
  <si>
    <t>Uenzelmann-Neben, G; Gohl, K</t>
  </si>
  <si>
    <t>Uenzelmann-Neben, Gabriele; Gohl, Karsten</t>
  </si>
  <si>
    <t>Early glaciation already during the Early Miocene in the Amundsen Sea, Southern Pacific: Indications from the distribution of sedimentary sequences</t>
  </si>
  <si>
    <t>GLOBAL AND PLANETARY CHANGE</t>
  </si>
  <si>
    <t>West Antarctic Ice Sheet; sedimentary sequences; sediment drifts; bottom water circulation; variations in material input; glacial development</t>
  </si>
  <si>
    <t>ANTARCTIC ICE-SHEET; PINE ISLAND BAY; ROSS SEA; CONTINENTAL-SHELF; EMBAYMENT SHELF; BELLINGSHAUSEN SEA; OCEAN CIRCULATION; MIDDLE MIOCENE; WEST; HISTORY</t>
  </si>
  <si>
    <t>The distribution and internal architecture of seismostratigraphic sequences observed on the Antarctic continental slope and rise are results of sediment transport and deposition by bottom currents and ice sheets. Analysis of seismic reflection data allows to reconstruct sediment input and sediment transport patterns and to infer past changes in climate and oceanography. We observe four seismostratigraphic units which show distinct differences in location and shape of their depocentres and which accumulated at variable sedimentation rates. We used an age-depth model based on DSDP Leg 35 Site 324 for the Plio/Pleistocene and a correlation with seismic reflection characteristics from the Ross and Bellingshausen Seas, which unfortunately has large uncertainties. For the period before 21 Ma, we interpret low energy input of detritus via a palaeo-delta originating in an area of the Amundsen Sea shelf, where a palaeo-ice stream trough (Pine Island Trough East, PITE) is located today, and deposition of this material on the continental rise under sea ice coverage. For the period 21-14.1 Ma we postulate glacial erosion for the hinterland of this part of West Antarctica, which resulted in a larger depocentre and an increase in mass transport deposits. Warming during the Mid Miocene Climatic Optimum resulted in a polythermal ice sheet and led to a higher sediment supply along a broad front but with a focus via two palaeo-ice stream troughs, PITE and Abbot Trough (AT). Most of the glaciogenic debris was transported onto the eastern Amundsen Sea rise where it was shaped into levee-drifts by a re-circulating bottom current. A reduced sediment accumulation in the deep-sea subsequent to the onset of climatic cooling after 14 Ma indicates a reduced sediment supply probably in response to a colder and drier ice sheet. A dynamic ice sheet since 4 Ma delivered material offshore mainly via AT and Pine Island Trough West (PITW). Interaction of this glaciogenic detritus with a west-setting bottom current resulted in the continued formation of levee-drifts in the eastern and central Amundsen Sea. (C) 2014 Elsevier B.V. All rights reserved.</t>
  </si>
  <si>
    <t>[Uenzelmann-Neben, Gabriele; Gohl, Karsten] Alfred Wegener Inst, Helmholtz Zentrum Polar &amp; Meeresforsch, D-27568 Bremerhaven, Germany</t>
  </si>
  <si>
    <t>Uenzelmann-Neben, G (corresponding author), Alfred Wegener Inst, Helmholtz Zentrum Polar &amp; Meeresforsch, Alten Hafen 26, D-27568 Bremerhaven, Germany.</t>
  </si>
  <si>
    <t>Gabriele.Uenzelmann-Neben@awi.de</t>
  </si>
  <si>
    <t>Uenzelmann-Neben, Gabriele/AAI-8618-2020</t>
  </si>
  <si>
    <t>Uenzelmann-Neben, Gabriele/0000-0002-0115-5923; Gohl, Karsten/0000-0002-9558-2116</t>
  </si>
  <si>
    <t>0921-8181</t>
  </si>
  <si>
    <t>1872-6364</t>
  </si>
  <si>
    <t>GLOBAL PLANET CHANGE</t>
  </si>
  <si>
    <t>Glob. Planet. Change</t>
  </si>
  <si>
    <t>10.1016/j.gloplacha.2014.06.004</t>
  </si>
  <si>
    <t>AM9SS</t>
  </si>
  <si>
    <t>Green Published, Green Submitted</t>
  </si>
  <si>
    <t>WOS:000340221900009</t>
  </si>
  <si>
    <t>Clarke, A; O'Connor, MI</t>
  </si>
  <si>
    <t>Clarke, Andrew; O'Connor, Mary I.</t>
  </si>
  <si>
    <t>Diet and body temperature in mammals and birds</t>
  </si>
  <si>
    <t>Bird; endothermy; energetics; fish; macroecology; macrophysiology; mammal; metabolism; reptile</t>
  </si>
  <si>
    <t>BASAL METABOLIC-RATE; MARINE HERBIVOROUS FISHES; INSECT HERBIVORY; EVOLUTION; CLIMATE; PATTERNS; ECOLOGY; LIZARDS; MAXIMUM; RATES</t>
  </si>
  <si>
    <t>Aim We test the hypothesis that endotherm body temperature varies with diet. Location Global terrestrial ecosystems. Methods We compile data from the literature on diet and body temperature in mammals and birds. We analyse these and demonstrate global macrophysiological patterns. Results In mammals, carnivores overall have a lower mean body temperature (T-b) than either herbivores or omnivores. However, within carnivores, those taking vertebrate prey have a higher mean Tb than predators of invertebrates. Among herbivores, species eating grass, leaves or seeds have the highest mean Tb, those taking fruit an intermediate mean Tb and those taking flowers or nectar the lowest mean Tb. These patterns are robust to the influence of body mass and phylogenetic non-independence. In birds the relationship between Tb and diet is complicated by a significant inverse relationship between body mass and Tb and strong dietary niche conservation within lineages. After allowing for body mass, herbivores show an identical qualitative pattern to mammals, whereas carnivores show the opposite trend to mammals: those taking invertebrate prey have a higher mean Tb than those taking vertebrates. Main conclusions There is a significant relationship between diet and Tb in mammals. Birds show a qualitatively similar but non-significant pattern. Published studies show that in reptiles and fish herbivory is largely confined to species that can maintain a relatively high Tb either by living in warm environments or through behavioural thermoregulation. We therefore propose a general relationship for all vertebrates: herbivory requires a warmer body than carnivory. The basal metabolic rate (BMR) will then be higher in herbivores because of the universal relationship between BMR and Tb, together with the higher maintenance costs of their longer guts. We suggest that the evolution of endothermy was a key factor in the widespread incidence of herbivory in mammals.</t>
  </si>
  <si>
    <t>[Clarke, Andrew] British Antarctic Survey, Cambridge CB3 0ET, England; [Clarke, Andrew] Univ E Anglia, Sch Environm Sci, Norwich NR4 7TJ, Norfolk, England; [O'Connor, Mary I.] Univ British Columbia, Dept Zool, Vancouver, BC V6T 1Z4, Canada</t>
  </si>
  <si>
    <t>UK Research &amp; Innovation (UKRI); Natural Environment Research Council (NERC); NERC British Antarctic Survey; University of East Anglia; University of British Columbia</t>
  </si>
  <si>
    <t>Clarke, A (corresponding author), British Antarctic Survey, Madingley Rd, Cambridge CB3 0ET, England.</t>
  </si>
  <si>
    <t>accl@bas.ac.uk</t>
  </si>
  <si>
    <t>O'Connor, Mary I/F-2275-2010; O'Connor, Mary/R-2933-2019</t>
  </si>
  <si>
    <t>O'Connor, Mary I/0000-0001-9583-1592;</t>
  </si>
  <si>
    <t>Emeritus Fellowship from the British Antarctic Survey; Natural Environment Research Council [bas0100025] Funding Source: researchfish; NERC [bas0100025] Funding Source: UKRI</t>
  </si>
  <si>
    <t>Emeritus Fellowship from the British Antarctic Survey; Natural Environment Research Council(UK Research &amp; Innovation (UKRI)Natural Environment Research Council (NERC)); NERC(UK Research &amp; Innovation (UKRI)Natural Environment Research Council (NERC))</t>
  </si>
  <si>
    <t>We thank Ray Huey for much useful advice on reptilian herbivores and stimulating discussion on the problem of herbivory in general. We also thank E. M. Wolkovich, T.J. Davies and A. Moore for advice on PGLS and phylogenies and two anonymous referees for valuable comments that sharpened our thinking in a number of places. This work was undertaken whilst A. C. was in receipt of an Emeritus Fellowship from the British Antarctic Survey and an honorary position at the University of East Anglia.</t>
  </si>
  <si>
    <t>10.1111/geb.12185</t>
  </si>
  <si>
    <t>AN2OU</t>
  </si>
  <si>
    <t>WOS:000340426000005</t>
  </si>
  <si>
    <t>Zhou, Y; Zhou, CX; E, DC; Wang, ZM</t>
  </si>
  <si>
    <t>Zhou, Yu; Zhou, Chunxia; E, Dongchen; Wang, Zemin</t>
  </si>
  <si>
    <t>A Baseline-Combination Method for Precise Estimation of Ice Motion in Antarctica</t>
  </si>
  <si>
    <t>Antarctic ice motion; baseline-combination method; baseline-combination parameter (bcp); differential synthetic aperture radar interferometry (D-InSAR); short baseline</t>
  </si>
  <si>
    <t>DIGITAL ELEVATION MODEL; SATELLITE RADAR; SUBSIDENCE RATE; SHEET MOTION; DEFORMATION; FLOW; FAULT; VELOCITY; VOLCANO; MELT</t>
  </si>
  <si>
    <t>Differential synthetic aperture radar interferometry (D-InSAR) is a powerful method for measuring surface deformation, such as in studies of the earthquake cycle, volcano deformation monitoring, land subsidence monitoring, and glaciological studies. However, its application to glaciological studies is limited by the lack of accurate digital elevation models (DEMs), particularly over the Antarctic ice sheet. Previous studies on ice motion using D-InSAR are mostly based on short-baseline interferograms because these data sets are insensitive to DEM errors. Unfortunately, short-baseline interferograms are often unavailable. In this paper, we refine the InSAR technique by using a combination of two interferograms to make accurate ice-flow velocity measurements. The refined technique is tested in the Grove Mountains area, East Antarctica. Ice-flow velocities from the baseline-combination method are in good agreement with those measured by short-baseline interferograms. This method is also capable of reducing phase errors by combining the appropriate data sets. The reliability of the data sets is assessed by defining a baseline-combination parameter and ensuring that it is less than or equal to 1.0. With this method, we are able to extend the usefulness of D-InSAR for glaciological studies.</t>
  </si>
  <si>
    <t>[Zhou, Yu; Zhou, Chunxia; E, Dongchen; Wang, Zemin] Wuhan Univ, Chinese Antarctic Ctr Surveying &amp; Mapping, Wuhan 430079, Peoples R China</t>
  </si>
  <si>
    <t>Wuhan University</t>
  </si>
  <si>
    <t>Zhou, Y (corresponding author), Univ Oxford, Dept Earth Sci, Ctr Observat &amp; Modelling Earthquakes Volcanoes &amp;, Oxford OX1 3AN, England.</t>
  </si>
  <si>
    <t>zhoucx@whu.edu.cn</t>
  </si>
  <si>
    <t>Zhou, Yu/GLU-4966-2022; ZeMin, Wang/AAU-3422-2020</t>
  </si>
  <si>
    <t>Zhou, Yu/0000-0002-9782-9311;</t>
  </si>
  <si>
    <t>National Nature Science Foundation of China [41076126, 41376187]; Chinese 863 program [2009AA12Z133]; Natural Environment Research Council [come30001] Funding Source: researchfish; NERC [come30001] Funding Source: UKRI</t>
  </si>
  <si>
    <t>National Nature Science Foundation of China(National Natural Science Foundation of China (NSFC)); Chinese 863 program(National High Technology Research and Development Program of China); Natural Environment Research Council(UK Research &amp; Innovation (UKRI)Natural Environment Research Council (NERC)); NERC(UK Research &amp; Innovation (UKRI)Natural Environment Research Council (NERC))</t>
  </si>
  <si>
    <t>This work was supported in part by the National Nature Science Foundation of China under Grant 41076126 and Grant 41376187 and in part by the Chinese 863 program under Grant 2009AA12Z133.</t>
  </si>
  <si>
    <t>10.1109/TGRS.2013.2292815</t>
  </si>
  <si>
    <t>AI8MU</t>
  </si>
  <si>
    <t>WOS:000337171900046</t>
  </si>
  <si>
    <t>Suckling, CC; Clark, MS; Beveridge, C; Brunner, L; Hughes, AD; Harper, EM; Cook, EJ; Davies, AJ; Peck, LS</t>
  </si>
  <si>
    <t>Suckling, Coleen C.; Clark, Melody S.; Beveridge, Christine; Brunner, Lars; Hughes, Adam D.; Harper, Elizabeth M.; Cook, Elizabeth J.; Davies, Andrew J.; Peck, Lloyd S.</t>
  </si>
  <si>
    <t>Experimental influence of pH on the early life-stages of sea urchins II: increasing parental exposure times gives rise to different responses</t>
  </si>
  <si>
    <t>INVERTEBRATE REPRODUCTION &amp; DEVELOPMENT</t>
  </si>
  <si>
    <t>CO2; echinoderm; larvae; ocean acidification; Psammechinus miliaris; settlement</t>
  </si>
  <si>
    <t>CO2-DRIVEN OCEAN ACIDIFICATION; INCREASED ATMOSPHERIC CO2; SEAWATER ACIDIFICATION; LARVAL DEVELOPMENT; FERTILIZATION SUCCESS; MARINE CALCIFIERS; CARBONIC-ACID; GROWTH; ECHINODERMATA; ECHINOIDEA</t>
  </si>
  <si>
    <t>Many studies into the responses of early life-stages to ocean acidification utilise offspring obtained from parents reared under present-day conditions. Their offspring are directly introduced to altered-pH conditions. This study determined whether this approach is suitable by pre-exposing parent sea urchins (Psammechinus miliaris) to altered seawater pH (1000 mu atm) for several durations, spawning them and rearing their offspring to settlement. Parents acclimated when exposed to low seawater pH for extended periods (&gt;42 d). Longer adult pre-exposures reduced larval survival and less competent offspring were removed from populations earlier than in controls. Control offspring were larger during earlier development stages (2-7 d), but smaller during later development stages (14 + d) than offspring reared under low pH conditions. Juvenile settlement levels were similar across all treatments. After 17 d, offspring sourced from parents pre-exposed to low pH for 42 and 70 d were larger than those pre-exposed for 28 d and ambient sourced offspring directly transferred to low pH. These different responses show that the use of ambient derived offspring utilised in many studies is likely not an ideal approach when assessing larval development responses via morphometric measurements and survivorship prior to settlement. This study also suggests that calcifying organisms have capacities to acclimate and possibly adapt towards conditions beyond natural rates of ocean acidification.</t>
  </si>
  <si>
    <t>[Suckling, Coleen C.; Clark, Melody S.; Peck, Lloyd S.] British Antarctic Survey, Nat Environm Res Council, Cambridge CB3 0ET, England; [Suckling, Coleen C.; Beveridge, Christine; Brunner, Lars; Hughes, Adam D.; Cook, Elizabeth J.] Scottish Assoc Marine Sci, Scottish Marine Inst, Oban PA37 1QA, Argyll, Scotland; [Suckling, Coleen C.; Harper, Elizabeth M.] Univ Cambridge, Dept Earth Sci, Cambridge CB2 3EQ, England; [Suckling, Coleen C.; Davies, Andrew J.] Bangor Univ, Sch Ocean Sci, Menai Bridge LL59 5AB, Anglesey, Wales</t>
  </si>
  <si>
    <t>UK Research &amp; Innovation (UKRI); Natural Environment Research Council (NERC); NERC British Antarctic Survey; UHI Millennium Institute; University of Cambridge; Bangor University</t>
  </si>
  <si>
    <t>Suckling, CC (corresponding author), Bangor Univ, Sch Biol Sci, Deiniol Rd, Bangor LL57 2UW, Gwynedd, Wales.</t>
  </si>
  <si>
    <t>coleen.suckling@bangor.ac.uk</t>
  </si>
  <si>
    <t>Harper, Elizabeth M/B-3890-2008; Hughes, Adam D/L-1088-2016; Hughes, Adam D/J-7867-2013; Davies, Andrew/A-4222-2008; Clark, Melody/D-7371-2014</t>
  </si>
  <si>
    <t>Davies, Andrew/0000-0002-2087-0885; Cottier-Cook, Elizabeth/0000-0002-1466-6802; Clark, Melody/0000-0002-3442-3824; Suckling, Coleen/0000-0002-8572-0909</t>
  </si>
  <si>
    <t>2-4 PARK SQUARE, MILTON PARK, ABINGDON OR14 4RN, OXON, ENGLAND</t>
  </si>
  <si>
    <t>0792-4259</t>
  </si>
  <si>
    <t>2157-0272</t>
  </si>
  <si>
    <t>INVERTEBR REPROD DEV</t>
  </si>
  <si>
    <t>Invertebr. Reprod. Dev.</t>
  </si>
  <si>
    <t>10.1080/07924259.2013.875951</t>
  </si>
  <si>
    <t>Reproductive Biology; Zoology</t>
  </si>
  <si>
    <t>AK0LY</t>
  </si>
  <si>
    <t>WOS:000338105700001</t>
  </si>
  <si>
    <t>Horswill, C; Matthiopoulos, J; Green, JA; Meredith, MP; Forcada, J; Peat, H; Preston, M; Trathan, PN; Ratcliffe, N</t>
  </si>
  <si>
    <t>Horswill, Catharine; Matthiopoulos, Jason; Green, Jonathan A.; Meredith, Michael P.; Forcada, Jaume; Peat, Helen; Preston, Mark; Trathan, Phil N.; Ratcliffe, Norman</t>
  </si>
  <si>
    <t>Survival in macaroni penguins and the relative importance of different drivers: individual traits, predation pressure and environmental variability</t>
  </si>
  <si>
    <t>bottom-up; demography; El Nino/Southern Oscillation; fledging mass; giant petrel; intrinsic factors; predation; sea surface temperature; southern annular mode; top-down</t>
  </si>
  <si>
    <t>GIANT PETRELS MACRONECTES; KRILL EUPHAUSIA-SUPERBA; SOUTH GEORGIA; EUDYPTES-CHRYSOLOPHUS; ANTARCTIC KRILL; POPULATION-DYNAMICS; CLIMATE-CHANGE; BIRD ISLAND; POSTFLEDGING SURVIVAL; MEGADYPTES-ANTIPODES</t>
  </si>
  <si>
    <t>1. Understanding the demographic response of free-living animal populations to different drivers is the first step towards reliable prediction of population trends. 2. Penguins have exhibited dramatic declines in population size, and many studies have linked this to bottom-up processes altering the abundance of prey species. The effects of individual traits have been considered to a lesser extent, and top-down regulation through predation has been largely overlooked due to the difficulties in empirically measuring this at sea where it usually occurs. 3. For 10 years (2003-2012), macaroni penguins (Eudyptes chrysolophus) were marked with subcutaneous electronic transponder tags and re-encountered using an automated gateway system fitted at the entrance to the colony. We used multistate mark-recapture modelling to identify the different drivers influencing survival rates and a sensitivity analysis to assess their relative importance across different life stages. 4. Survival rates were low and variable during the fledging year (mean = 0.33), increasing to much higher levels from age 1 onwards (mean = 0.89). We show that survival of macaroni penguins is driven by a combination of individual quality, top-down predation pressure and bottom-up environmental forces. The relative importance of these covariates was age specific. During the fledging year, survival rates were most sensitive to top-down predation pressure, followed by individual fledging mass, and finally bottom-up environmental effects. In contrast, birds older than 1 year showed a similar response to bottom-up environmental effects and top-down predation pressure. 5. We infer from our results that macaroni penguins will most likely be negatively impacted by an increase in the local population size of giant petrels. Furthermore, this population is, at least in the short term, likely to be positively influenced by local warming. More broadly, our results highlight the importance of considering multiple causal effects across different life stages when examining the survival rates of seabirds.</t>
  </si>
  <si>
    <t>[Horswill, Catharine; Meredith, Michael P.; Forcada, Jaume; Peat, Helen; Preston, Mark; Trathan, Phil N.; Ratcliffe, Norman] British Antarctic Survey, Cambridge CB3 0ET, England; [Horswill, Catharine; Matthiopoulos, Jason] Univ Glasgow, Inst Biodivers Anim Hlth &amp; Comparat Med, Glasgow G12 8QQ, Lanark, Scotland; [Green, Jonathan A.] Univ Liverpool, Sch Environm Sci, Liverpool L69 3GP, Merseyside, England</t>
  </si>
  <si>
    <t>UK Research &amp; Innovation (UKRI); Natural Environment Research Council (NERC); NERC British Antarctic Survey; University of Glasgow; University of Liverpool</t>
  </si>
  <si>
    <t>Horswill, C (corresponding author), British Antarctic Survey, Cambridge CB3 0ET, England.</t>
  </si>
  <si>
    <t>catrsw@bas.ac.uk</t>
  </si>
  <si>
    <t>Peat, Helen J/E-9666-2015; Forcada, Jaume/GYU-0677-2022; Green, Jonathan A/B-8799-2011; Matthiopoulos, Jason/N-9808-2013</t>
  </si>
  <si>
    <t>Green, Jonathan A/0000-0001-8692-0163; Matthiopoulos, Jason/0000-0003-3639-8172; Meredith, Michael/0000-0002-7342-7756; Horswill, Cat/0000-0002-1795-0753; Peat, Helen/0000-0003-2017-8597</t>
  </si>
  <si>
    <t>NERC [NE/I52797/X]; NERC [bas0100025] Funding Source: UKRI; Natural Environment Research Council [bas0100025]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</si>
  <si>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</si>
  <si>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all members of the Bird Island science team, from 2002 to 2012, to Vsevolod Afanasyev for recent developments to the gateway reader system, to Andy Wood for data management, to Morten Frederiksen and two anonymous reviewers for helpful comments on an earlier version of this manuscript and to Richard A. Phillips and Sophie Fielding for valuable discussions during model development. This analysis was funded by a NERC PhD studentship grant number NE/I52797/X.</t>
  </si>
  <si>
    <t>10.1111/1365-2656.12229</t>
  </si>
  <si>
    <t>WOS:000340877700007</t>
  </si>
  <si>
    <t>Singh, Y; Khattar, JIS; Singh, DP; Rahi, P; Gulati, A</t>
  </si>
  <si>
    <t>Singh, Y.; Khattar, J. I. S.; Singh, D. P.; Rahi, P.; Gulati, A.</t>
  </si>
  <si>
    <t>Limnology and cyanobacterial diversity of high altitude lakes of Lahaul-Spiti in Himachal Pradesh, India</t>
  </si>
  <si>
    <t>JOURNAL OF BIOSCIENCES</t>
  </si>
  <si>
    <t>Canonical correspondence analysis; cold desert; cyanobacterial diversity; high altitude lakes; limnology</t>
  </si>
  <si>
    <t>MCMURDO ICE SHELF; MICROBIAL MATS; ANTARCTIC LAKES; PONDS; ECOSYSTEMS; BIODIVERSITY; COMMUNITIES; STREAMS; ENVIRONMENTS; SALINITY</t>
  </si>
  <si>
    <t>Limnological data of four high altitude lakes from the cold desert region of Himachal Pradesh, India, has been correlated with cyanobacterial diversity. Physico-chemical characteristics and nutrient contents of the studied lakes revealed that Sissu Lake is mesotrophic while Chandra Tal, Suraj Tal and Deepak Tal are ultra-oligotrophic. Based on morphology and 16S rRNA gene sequence, a total of 20 cyanobacterial species belonging to 11 genera were identified. Canonical correspondence analysis distinguished three groups of species with respect to their occurrence and nutrient/physical environment demand. The first group, which included Nostoc linckia, N. punctiforme, Nodularia sphaerocarpa, Geitlerinema acutissimum, Limnothrix redekii, Planktothrix agardhii and Plank. clathrata, was characteristic of water with high nutrient content and high temperature. The second group, including Gloeocapsopsis pleurocapsoides, Leptolyngbya antarctica, L. frigida, Pseudanabaena frigida and N. spongiaeforme, occurred in oligotrophic water with high pH and low temperature. The distribution of third group of Cyanobium parvum, Synechocystis pevalekii, L. benthonica, L. foveolarum, L. lurida, L. valderiana, Phormidium autumnale and P. chalybeum could not be associated with a particular environmental condition because of their presence in all sampling sites.</t>
  </si>
  <si>
    <t>[Singh, Y.; Khattar, J. I. S.; Singh, D. P.] Punjabi Univ, Dept Bot, Patiala 147002, Punjab, India; [Rahi, P.; Gulati, A.] CSIR, Inst Himalayan Bioresource Technol, Plant Pathol &amp; Microbiol Lab, Palampur 176061, Himachal Prades, India</t>
  </si>
  <si>
    <t>Punjabi University; Council of Scientific &amp; Industrial Research (CSIR) - India; CSIR - Institute of Himalayan Bioresource Technology (IHBT)</t>
  </si>
  <si>
    <t>Khattar, JIS (corresponding author), Punjabi Univ, Dept Bot, Patiala 147002, Punjab, India.</t>
  </si>
  <si>
    <t>jisk_pbi@rediffmail.com</t>
  </si>
  <si>
    <t>Rahi, Praveen/C-8726-2011; KHATTAR, JIS/D-9797-2011</t>
  </si>
  <si>
    <t>Rahi, Praveen/0000-0002-3154-9616; Singh, Yadvinder/0000-0002-5835-718X; KHATTAR, JIS/0000-0003-4946-3746</t>
  </si>
  <si>
    <t>Council of Scientific and Industrial Research, New Delhi</t>
  </si>
  <si>
    <t>Council of Scientific and Industrial Research, New Delhi(Council of Scientific &amp; Industrial Research (CSIR) - India)</t>
  </si>
  <si>
    <t>The authors are thankful to Head, Department of Botany, Punjabi University, Patiala, and Coordinator, SAP-II of University Grant Commission, New Delhi, for laboratory facilities. Laboratory facilities provided by the Director, CSIR Institute of Himalayan Bioresource Technology, Palampur, are also acknowledged. YS thanks the Council of Scientific and Industrial Research, New Delhi, for providing financial assistance in the form of Senior Research Fellowship.</t>
  </si>
  <si>
    <t>0250-5991</t>
  </si>
  <si>
    <t>0973-7138</t>
  </si>
  <si>
    <t>J BIOSCIENCES</t>
  </si>
  <si>
    <t>J. Biosci.</t>
  </si>
  <si>
    <t>10.1007/s12038-014-9458-4</t>
  </si>
  <si>
    <t>AN6FK</t>
  </si>
  <si>
    <t>WOS:000340690100013</t>
  </si>
  <si>
    <t>Martinez, JA; Dominguez, F</t>
  </si>
  <si>
    <t>Martinez, J. Alejandro; Dominguez, Francina</t>
  </si>
  <si>
    <t>Sources of Atmospheric Moisture for the La Plata River Basin</t>
  </si>
  <si>
    <t>LEVEL JET EAST; SOUTH-AMERICA; EL-NINO; PRECIPITATION ANOMALIES; HYDROLOGIC-CYCLE; AMAZON BASIN; VARIABILITY; OSCILLATION; RAINFALL; CLIMATOLOGY</t>
  </si>
  <si>
    <t>The La Plata River basin (LPRB) is the second largest basin of South America and extends over a highly populated and socioeconomically active region. In this study, the spatiotemporal variability of sources of moisture for the LPRB are quantified using an extended version of the Dynamic Recycling Model. Approximately 63% of mean annual precipitation over the LPRB comes from South America, including 23% from local LPRB sources and 20% from the southern Amazon. The remaining 37% comes mostly from the southern Pacific and tropical Atlantic Oceans. The LPRB depends largely on external sources during the dry winter season, when local evaporation reaches a minimum and moisture outflow increases. Variations in the transport of moisture from the Amazon to the LPRB depend more on variations of the atmospheric circulation than on evaporation, at both the monthly and daily time scale. In particular, weak atmospheric flow allows the accumulation of moisture over the Amazon basin, followed by an above-normal release of moisture downwind when the atmospheric flow strengthens again. Water vapor transport with these characteristics was observed for 20% of the days of the summer season during the 1980-2012 period, leading to higher-than-average convergence of moisture of terrestrial origin over the LPRB. During the positive (negative) phase of the El Nino Southern Oscillation (ENSO), more (less) moisture from Amazonian evaporation reaches the LPRB. The Amazonian contribution to the LPRB is reduced (increased) during the positive (negative) phase of the Antarctic Oscillation (AAO), when surface pressure over southern South America is above (below) normal.</t>
  </si>
  <si>
    <t>[Martinez, J. Alejandro; Dominguez, Francina] Univ Arizona, Dept Atmospher Sci, Tucson, AZ 85721 USA; [Dominguez, Francina] Univ Arizona, Dept Hydrol &amp; Water Resources, Tucson, AZ 85721 USA</t>
  </si>
  <si>
    <t>University of Arizona; University of Arizona</t>
  </si>
  <si>
    <t>Dominguez, F (corresponding author), Univ Arizona, Dept Atmospher Sci, 1118 E 4th St,Room 542, Tucson, AZ 85721 USA.</t>
  </si>
  <si>
    <t>francina@atmo.arizona.edu</t>
  </si>
  <si>
    <t>Dominguez, Francina/D-4412-2012; Nesbitt, Stephen/I-3965-2013; Dominguez, Francina/AAH-6741-2020</t>
  </si>
  <si>
    <t>Nesbitt, Stephen/0000-0003-0348-0452; Dominguez, Francina/0000-0003-2674-3382; Martinez, John/0000-0002-9178-2495</t>
  </si>
  <si>
    <t>NSF [1045260]; Div Atmospheric &amp; Geospace Sciences; Directorate For Geosciences [1045260] Funding Source: National Science Foundation</t>
  </si>
  <si>
    <t>NSF(National Science Foundation (NSF)); Div Atmospheric &amp; Geospace Sciences; Directorate For Geosciences(National Science Foundation (NSF)NSF - Directorate for Geosciences (GEO))</t>
  </si>
  <si>
    <t>We acknowledge the ECMWF for providing the ERA-Interim data and the CPC for providing the ONI and AAO index data. We also acknowledge James Shuttleworth, Hoshin Gupta, Carolina Vera, Ruud van der Ent, Gustavo Goncalves, and the reviewers for their insightful comments. This research was supported by NSF Grant 1045260.</t>
  </si>
  <si>
    <t>10.1175/JCLI-D-14-00022.1</t>
  </si>
  <si>
    <t>AO4BS</t>
  </si>
  <si>
    <t>WOS:000341281800023</t>
  </si>
  <si>
    <t>Enzor, LA; Place, SP</t>
  </si>
  <si>
    <t>Enzor, Laura A.; Place, Sean P.</t>
  </si>
  <si>
    <t>Is warmer better? Decreased oxidative damage in notothenioid fish after long-term acclimation to multiple stressors</t>
  </si>
  <si>
    <t>JOURNAL OF EXPERIMENTAL BIOLOGY</t>
  </si>
  <si>
    <t>Ocean acidification; Oxidative damage; Superoxide dismutase; Thermal stress; Notothenioid; Global climate change</t>
  </si>
  <si>
    <t>EARLY-LIFE HISTORY; OCEAN ACIDIFICATION; ANTARCTIC FISH; PAGOTHENIA-BORCHGREVINKI; ELEVATED-TEMPERATURE; LIPID-PEROXIDATION; CLIMATE-CHANGE; AEROBIC SCOPE; SEA-BASS; CO2</t>
  </si>
  <si>
    <t>Antarctic fish of the suborder Notothenioidei have evolved several unique adaptations to deal with subzero temperatures. However, these adaptations may come with physiological trade-offs, such as an increased susceptibility to oxidative damage. As such, the expected environmental perturbations brought on by global climate change have the potential to significantly increase the level of oxidative stress and cellular damage in these endemic fish. Previous single stressor studies of the notothenioids have shown they possess the capacity to acclimate to increased temperatures, but the cellular-level effects remain largely unknown. Additionally, there is little information on the ability of Antarctic fish to respond to ecologically relevant environmental changes where multiple variables change concomitantly. We have examined the potential synergistic effects that increased temperature and P-CO2 have on the level of protein damage in Trematomus bernacchii, Pagothenia borchgrevinki and Trematomus newnesi, and combined these measurements with changes in total enzymatic activity of catalase (CAT) and superoxide dismutase (SOD) in order to gauge tissue-specific changes in antioxidant capacity. Our findings indicate that total SOD and CAT activity levels displayed only small changes across treatments and tissues. Short-term acclimation to decreased seawater pH and increased temperature resulted in significant increases in oxidative damage. Surprisingly, despite no significant change in antioxidant capacity, cellular damage returned to near-basal levels, and significantly decreased in T. bernacchii, after long-term acclimation. Overall, these data suggest that notothenioid fish currently maintain the antioxidant capacity necessary to offset predicted future ocean conditions, but it remains unclear whether this capacity comes with physiological trade-offs.</t>
  </si>
  <si>
    <t>[Enzor, Laura A.; Place, Sean P.] Univ S Carolina, Dept Biol Sci, Columbia, SC 29208 USA</t>
  </si>
  <si>
    <t>University of South Carolina System; University of South Carolina Columbia</t>
  </si>
  <si>
    <t>Place, SP (corresponding author), Sonoma State Univ, Dept Biol, Rohnert Pk, CA 94928 USA.</t>
  </si>
  <si>
    <t>places@sonoma.edu</t>
  </si>
  <si>
    <t>National Science Foundation [PLR 1040945, PLR 1447291]; Directorate For Geosciences; Office of Polar Programs (OPP) [1447291] Funding Source: National Science Foundation</t>
  </si>
  <si>
    <t>National Science Foundation(National Science Foundation (NSF)); Directorate For Geosciences; Office of Polar Programs (OPP)(National Science Foundation (NSF)NSF - Directorate for Geosciences (GEO))</t>
  </si>
  <si>
    <t>This research was supported by a National Science Foundation grant [PLR 1040945 and PLR 1447291 to S.P.P.].</t>
  </si>
  <si>
    <t>0022-0949</t>
  </si>
  <si>
    <t>1477-9145</t>
  </si>
  <si>
    <t>J EXP BIOL</t>
  </si>
  <si>
    <t>J. Exp. Biol.</t>
  </si>
  <si>
    <t>10.1242/jeb.108431</t>
  </si>
  <si>
    <t>AQ0XN</t>
  </si>
  <si>
    <t>WOS:000342506100021</t>
  </si>
  <si>
    <t>McDowell, RE; Amsler, CD; McClintock, JB; Baker, BJ</t>
  </si>
  <si>
    <t>McDowell, Ruth E.; Amsler, Charles D.; McClintock, James B.; Baker, Bill J.</t>
  </si>
  <si>
    <t>Reactive oxygen species as a marine grazing defense: H2O2 and wounded Ascoseira mirabilis both inhibit feeding by an amphipod grazer</t>
  </si>
  <si>
    <t>Activated defense; Feeding deterrent; Grazing; Hydrogen peroxide; Reactive oxygen species; Wounding</t>
  </si>
  <si>
    <t>OXIDATIVE BURST; HYDROGEN-PEROXIDE; CHEMICAL DEFENSES; RED ALGA; NICOTIANA-ATTENUATA; SUBTIDAL MACROALGAE; PHOSPHOLIPASE A(2); ACTIVATED DEFENSE; STRESS; HERBIVORY</t>
  </si>
  <si>
    <t>Marine macroalgae can release reactive oxygen species (ROS) upon wounding and grazing. Here we address the potential role of ROS in herbivore defense. We performed feeding assays in the presence of varying concentrations of hydrogen peroxide (H2O2), a common type of ROS. H2O2 inhibited feeding by a marine amphipod grazer, Gondogeneia antarctica, over broad levels of concentration, and its potency was strongly dependent on its rate of decay in natural seawater. Because it is possible that the inhibitory levels of H2O2 are encountered in the vicinity of a sympatric macroalgal wound, we suggest that H2O2 has the potential to act as a direct anti-grazing defense in marine ecosystems. Since some sympatric macroalgae release a burst of non-H2O2 ROS, we also performed experiments to evaluate the role of these naturally-produced ROS on sympatric grazers. The presence of wounded Ascoseira mirabilis (which releases a burst of non-H2O2 ROS after wounding) during a feeding assay inhibited feeding of G. antarctica compared to the presence of intact A. mirabilis. These data are consistent with a role for ROS as a direct anti-herbivore defense in nature. However, the data are also consistent with hypotheses that involve other putative activated anti-grazing defenses. (C) 2014 Elsevier B.V. All rights reserved.</t>
  </si>
  <si>
    <t>[McDowell, Ruth E.; Amsler, Charles D.; McClintock, James B.] Univ Alabama Birmingham, Dept Biol, Birmingham, AL 35294 USA; [Baker, Bill J.] Univ S Florida, Dept Chem, Tampa, FL 33620 USA</t>
  </si>
  <si>
    <t>University of Alabama System; University of Alabama Birmingham; State University System of Florida; University of South Florida</t>
  </si>
  <si>
    <t>McDowell, RE (corresponding author), Univ Alabama Birmingham, Dept Biol, Birmingham, AL 35294 USA.</t>
  </si>
  <si>
    <t>mcdowellruth@gmail.com; amsler@uab.edu; mcclinto@uab.edu; bjbaker@usf.edu</t>
  </si>
  <si>
    <t>McDowell, Ruth/KHX-0075-2024; Baker, Bill/N-4312-2019</t>
  </si>
  <si>
    <t>Amsler, Charles/0000-0002-4843-3759</t>
  </si>
  <si>
    <t>National Science Foundation from the Antarctic Organisms and Ecosystems Program [ANT-0838773, ANT-0838776]</t>
  </si>
  <si>
    <t>National Science Foundation from the Antarctic Organisms and Ecosystems Program(National Science Foundation (NSF)NSF - Directorate for Geosciences (GEO))</t>
  </si>
  <si>
    <t>We are grateful to employees and subcontractors of Raytheon Polar Services Company for providing science support at Palmer Station. We thank Maggie Amsler for assistance with amphipod sorting and maintenance. This work was supported by the National Science Foundation grant ANT-0838773 (CDA, JBM) and ANT-0838776 (BJB) from the Antarctic Organisms and Ecosystems Program.</t>
  </si>
  <si>
    <t>10.1016/j.jembe.2014.04.012</t>
  </si>
  <si>
    <t>AK4NS</t>
  </si>
  <si>
    <t>WOS:000338402000006</t>
  </si>
  <si>
    <t>Yang, YD; Hwang, C; E, DC</t>
  </si>
  <si>
    <t>Yang, Yuande; Hwang, Cheinway; E, Dongchen</t>
  </si>
  <si>
    <t>A fixed full-matrix method for determining ice sheet height change from satellite altimeter: an ENVISAT case study in East Antarctica with backscatter analysis</t>
  </si>
  <si>
    <t>Altimeter; Backscatter; East Antarctica; ENVISAT; Fixed full-matrix method</t>
  </si>
  <si>
    <t>SURFACE MASS-BALANCE; CHANGE TIME-SERIES; ELEVATION-CHANGE; ZHONGSHAN STATION; RADAR ALTIMETRY; VARIABILITY; ALGORITHM; GREENLAND; DOME; SEA</t>
  </si>
  <si>
    <t>A new method, called the fixed full-matrix method (FFM), is used to compute height changes at crossovers of satellite altimeter ground tracks. Using the ENVISAT data in East Antarctica, FFM results in crossovers of altimeter heights that are 1.9 and 79 times more than those from the fixed half method (FHM) and the one-row method (ORM). The mean standard error of height changes is about 14 cm from ORM, which is reduced to 7 cm by FHM and to 3 cm by FFM. Unlike FHM, FFM leads to uniform errors in the first-half and second-half height-change time series. FFM has the advantage in improving the accuracy of the change of height and backscattered power over ORM and FHM. Assisted by the ICESat-derived height changes, we determine the optimal threshold correlation coefficient (TCC) for a best correction for the backscatter effect on ENVISAT height changes. The TCC value of 0.92 yields an optimal result for FFM. With this value, FFM yields ENVISAT-derived height change rates in East Antarctica mostly falling between and 3 cm/year, and matching the ICESat result to 0.94 cm/year. The ENVISAT result will provide a constraint on the current mass balance result along the Chinese expedition route CHINARE.</t>
  </si>
  <si>
    <t>[Yang, Yuande; E, Dongchen] Wuhan Univ, Chinese Antarctic Ctr Surveying &amp; Mapping, Wuhan 430079, Peoples R China; [Hwang, Cheinway] Natl Chiao Tung Univ, Dept Civil Engn, Hsinchu, Taiwan; [Hwang, Cheinway] Wuhan Univ, Sch Geodesy &amp; Geomat, Wuhan 430079, Peoples R China</t>
  </si>
  <si>
    <t>Wuhan University; National Yang Ming Chiao Tung University; Wuhan University</t>
  </si>
  <si>
    <t>Hwang, C (corresponding author), Natl Chiao Tung Univ, Dept Civil Engn, 1001 Ta Hsueh Rd, Hsinchu, Taiwan.</t>
  </si>
  <si>
    <t>Cheinway@mail.nctu.edu.tw</t>
  </si>
  <si>
    <t>MOST [2013CBA01804]; National Natural Science Foundation of China [41106163, 41128003, 41076126]; SOA [CHINARE 2013, 2014]</t>
  </si>
  <si>
    <t>MOST; National Natural Science Foundation of China(National Natural Science Foundation of China (NSFC)); SOA</t>
  </si>
  <si>
    <t>We thank the European Space Agency for providing the ENVISAT SGDR data through the AVISO CNES Data Center. This study is supported by the MOST (Grant No. 2013CBA01804), National Natural Science Foundation of China (Grant No. 41106163, No. 41128003 and No. 41076126), and SOA (Grant No. CHINARE 2013, 2014). We thank the three reviewers, who provide very constructive comments that greatly improve the quality of this paper.</t>
  </si>
  <si>
    <t>10.1007/s00190-014-0730-z</t>
  </si>
  <si>
    <t>WOS:000340588500006</t>
  </si>
  <si>
    <t>Goes, M; Wainer, I; Signorelli, N</t>
  </si>
  <si>
    <t>Goes, Marlos; Wainer, Ilana; Signorelli, Natalia</t>
  </si>
  <si>
    <t>Investigation of the causes of historical changes in the subsurface salinity minimum of the South Atlantic</t>
  </si>
  <si>
    <t>South Atlantic; Southern Annular Mode; Antarctic Intermediate Water; Agulhas leakage</t>
  </si>
  <si>
    <t>ANTARCTIC INTERMEDIATE WATER; OVERTURNING CIRCULATION; DECADAL VARIABILITY; CIRCUMPOLAR CURRENT; INDIAN-OCEAN; MODEL; REANALYSIS; TRENDS; THERMOCLINE; ATMOSPHERE</t>
  </si>
  <si>
    <t>In this study, we investigate the subsurface salinity changes on decadal timescales across the subtropical South Atlantic Ocean using two ocean reanalysis products, the latest version of the Simple Ocean Data Assimilation and the Estimating the Circulation and Climate of the Ocean, Phase II, as well as using additional climate model experiments. Results show that there is a recent significant salinity increase at the core of the salinity minimum at intermediate levels. The main underlying mechanism for this subsurface salinity increase is the lateral advective (gyre) changes due to the Southern Annular Mode variability, which conditions an increased contribution from the Indian Ocean high salinity waters into the Atlantic. The global warming signal has a secondary but complementary contribution. Latitudinal differences at intermediate depth in response to large-scale forcing are in part caused by local variation of westward propagation features, and by compensating contributions of salinity and temperature to density changes.</t>
  </si>
  <si>
    <t>[Goes, Marlos] Univ Miami, NOAA, AOML, CIMAS, Miami, FL USA; [Wainer, Ilana; Signorelli, Natalia] Univ Sao Paulo, Inst Oceanog, Sao Paulo, Brazil</t>
  </si>
  <si>
    <t>University of Miami; National Oceanic Atmospheric Admin (NOAA) - USA; Atlantic Oceanographic &amp; Meteorological Laboratory (AOML); Universidade de Sao Paulo</t>
  </si>
  <si>
    <t>Goes, M (corresponding author), Univ Miami, NOAA, AOML, CIMAS, Miami, FL USA.</t>
  </si>
  <si>
    <t>marlos.goes@noaa.gov</t>
  </si>
  <si>
    <t>Goes, Marlos/B-4273-2011; WAINER, ILANA/B-4540-2011</t>
  </si>
  <si>
    <t>Goes, Marlos/0000-0001-5874-8079; WAINER, ILANA/0000-0003-3784-623X</t>
  </si>
  <si>
    <t>NOAA/AOML; NOAA's Climate Program Office; CAPES-ciencias-do-mar; Sao Paulo Research Foundation (FAPESP) [2013/02111-4]; CNPq-MCT-INCT-Criosfera [573720/2008-8]; [CNPq-300223/93-5]; Fundacao de Amparo a Pesquisa do Estado de Sao Paulo (FAPESP) [13/02111-4] Funding Source: FAPESP</t>
  </si>
  <si>
    <t>NOAA/AOML(National Oceanic Atmospheric Admin (NOAA) - USA); NOAA's Climate Program Office(National Oceanic Atmospheric Admin (NOAA) - USA); CAPES-ciencias-do-mar; Sao Paulo Research Foundation (FAPESP)(Fundacao de Amparo a Pesquisa do Estado de Sao Paulo (FAPESP)); CNPq-MCT-INCT-Criosfera; ; Fundacao de Amparo a Pesquisa do Estado de Sao Paulo (FAPESP)(Fundacao de Amparo a Pesquisa do Estado de Sao Paulo (FAPESP))</t>
  </si>
  <si>
    <t>The data used in this study are a climatology from the global Argo project (http://sio-argo.ucsd.edu/RG_Climatology.html), and model reanalyses SODA 2.2.6 (courtesy of Dr. Ben Giese, b-giese@tamu.edu) and ECCO2 (http://ecco2.jpl.nasa.gov/). This work is supported in part by NOAA/AOML and NOAA's Climate Program Office, and by grants from CAPES-ciencias-do-mar, 2013/02111-4 of the Sao Paulo Research Foundation (FAPESP), CNPq-300223/93-5, and CNPq-MCT-INCT-Criosfera 573720/2008-8.</t>
  </si>
  <si>
    <t>10.1002/2014JC009812</t>
  </si>
  <si>
    <t>WOS:000343879200005</t>
  </si>
  <si>
    <t>Darelius, E; Makinson, K; Daae, K; Fer, I; Holland, PR; Nicholls, KW</t>
  </si>
  <si>
    <t>Darelius, E.; Makinson, K.; Daae, K.; Fer, I.; Holland, P. R.; Nicholls, K. W.</t>
  </si>
  <si>
    <t>Hydrography and circulation in the Filchner Depression, Weddell Sea, Antarctica</t>
  </si>
  <si>
    <t>ice shelf water; Weddell Sea; Filchner overflow; Filchner Depression; Antarctica</t>
  </si>
  <si>
    <t>BOTTOM WATER FORMATION; RONNE ICE SHELF; COASTAL CURRENT; OCEAN; MODEL; ADJACENT; ICEBERGS; IMPACT</t>
  </si>
  <si>
    <t>Cold and dense ice shelf water (ISW) emerging from the Filchner-Ronne Ice Shelf cavity in the southwestern Weddell Sea flows northward through the Filchner Depression to eventually descend the continental slope and contribute to the formation of bottom water. New ship-born observations of hydrography and currents from Filchner Depression in January 2013 suggest that the northward flow of ISW takes place in a middepth jet along the eastern flank of the depression, thus questioning the traditional view with outflow along the western flank. This interpretation of the data is supported by results from a regional numerical model, which shows that ISW flowing northward along the eastern coast of Berkner Island turns eastward and crosses the depression to its eastern side upon reaching the Filchner ice front. The ice front represents a sudden change in the thickness of the water column and thus a potential vorticity barrier. Transport estimates of northward ISW flux based on observations ranges from 0.2 to 1.0 Sv.</t>
  </si>
  <si>
    <t>[Darelius, E.; Daae, K.; Fer, I.] Univ Bergen, Inst Geophys, Bergen, Norway; [Darelius, E.; Daae, K.; Fer, I.] Bjerknes Ctr Climate Res, Bergen, Norway; [Makinson, K.; Holland, P. R.; Nicholls, K. W.] British Antarctic Survey, Nat Environm Res Council, Cambridge CB3 0ET, England</t>
  </si>
  <si>
    <t>University of Bergen; Bjerknes Centre for Climate Research; UK Research &amp; Innovation (UKRI); Natural Environment Research Council (NERC); NERC British Antarctic Survey</t>
  </si>
  <si>
    <t>Darelius, E (corresponding author), Univ Bergen, Inst Geophys, Bergen, Norway.</t>
  </si>
  <si>
    <t>darelius@gfi.uib.no</t>
  </si>
  <si>
    <t>Darelius, Elin/O-4096-2015; Makinson, Keith/A-2495-2013; Holland, Paul R/G-2796-2012; Fer, Ilker/C-7820-2012</t>
  </si>
  <si>
    <t>Makinson, Keith/0000-0002-5791-1767; Fer, Ilker/0000-0002-2427-2532</t>
  </si>
  <si>
    <t>Norwegian Research Council; Natural Environment Research Council; NERC [bas0100028, NE/G014086/1] Funding Source: UKRI; Natural Environment Research Council [NE/G014086/1, bas0100028] Funding Source: researchfish</t>
  </si>
  <si>
    <t>Norwegian Research Council(Research Council of Norway);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</si>
  <si>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authors are grateful to A. Wahlin and Goteborg University, Sweden for kindly providing CTD, Rosette and sensors, to T. Aspen, M. Reigstad and J. T. Eiliertsen at University of Tromso, Norway for kindly providing the CTD-winch during cruise ES060 in 2013 and to C. Chavanne for sharing his Matlab routines for tidal calculations. Assistance during cruise ES060 from the crew of RRS Ernest Shackleton, H. Bryhni, K. Vaage and M. Jensen was much appreciated. This work was carried out under the project WEDDELL with funding from the Norwegian Research Council, and the study is also part of the British Antarctic Survey Polar Science for Planet Earth Programme funded by The Natural Environment Research Council. Data availability: Model results, data from cruise ES060 and older data from Norwegian cruises are available from the authors upon request while data from cruise ES033, JR97 and JR244 are available at www.bodc.ac.uk and observations from 1973 at www.nodc.noaa.gov/OC5/WOD13.</t>
  </si>
  <si>
    <t>10.1002/2014JC010225</t>
  </si>
  <si>
    <t>WOS:000343879200013</t>
  </si>
  <si>
    <t>Glauert, SA; Horne, RB; Meredith, NP</t>
  </si>
  <si>
    <t>Glauert, Sarah A.; Horne, Richard B.; Meredith, Nigel P.</t>
  </si>
  <si>
    <t>Simulating the Earth's radiation belts: Internal acceleration and continuous losses to the magnetopause</t>
  </si>
  <si>
    <t>WHISTLER-MODE CHORUS; ELECTRON-SCATTERING LOSS; QUASI-LINEAR DIFFUSION; GEOMAGNETIC STORMS; MAGNETIC STORM; GEOSYNCHRONOUS ORBIT; INNER MAGNETOSPHERE; RELATIVISTIC ELECTRONS; OUTER MAGNETOSPHERE; RESONANT DIFFUSION</t>
  </si>
  <si>
    <t>In the Earth's radiation belts the flux of relativistic electrons is highly variable, sometimes changing by orders of magnitude within a few hours. Since energetic electrons can damage satellites it is important to understand the processes driving these changes and, ultimately, to develop forecasts of the energetic electron population. One approach is to use three-dimensional diffusion models, based on a Fokker-Planck equation. Here we describe a model where the phase-space density is set to zero at the outer L* boundary, simulating losses to the magnetopause, using recently published chorus diffusion coefficients for 1.5 &lt;= L* &lt;= 10. The value of the phase-space density on the minimum-energy boundary is determined from a recently published, solar wind-dependent, statistical model. Our simulations show that an outer radiation belt can be created by local acceleration of electrons from a very soft energy spectrum without the need for a source of electrons from inward radial transport. The location in L* of the peaks in flux for these steady state simulations is energy dependent and moves earthward with increasing energy. Comparisons between the model and data from the CRRES spacecraft are shown; flux dropouts are reproduced in the model by the increased outward radial diffusion that occurs during storms. Including the inward movement of the magnetopause in the model has little additional effect on the results. Finally, the location of the low-energy boundary is shown to be important for accurate modeling of observations.</t>
  </si>
  <si>
    <t>[Glauert, Sarah A.; Horne, Richard B.; Meredith, Nigel P.] British Antarctic Survey, Nat Environm Res Council, Cambridge CB3 0ET, England</t>
  </si>
  <si>
    <t>Glauert, SA (corresponding author), British Antarctic Survey, Nat Environm Res Council, Cambridge CB3 0ET, England.</t>
  </si>
  <si>
    <t>sagl@bas.ac.uk</t>
  </si>
  <si>
    <t>Meredith, Nigel P/C-5806-2018; Horne, Richard B/U-3764-2019</t>
  </si>
  <si>
    <t>Horne, Richard B/0000-0002-0412-6407; Meredith, Nigel/0000-0001-5032-3463</t>
  </si>
  <si>
    <t>Natural Environment Research Council; European Union [262468]; NERC [bas0100023] Funding Source: UKRI; Natural Environment Research Council [bas0100023] Funding Source: researchfish</t>
  </si>
  <si>
    <t>Natural Environment Research Council(UK Research &amp; Innovation (UKRI)Natural Environment Research Council (NERC)); European Union(European Union (EU));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</si>
  <si>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and the European Union Seventh Framework Programme (FP7/2007-2013) under grant agreement 262468. The data used to generate the plots in this paper are stored at the BAS Polar Data Centre and are available on request.</t>
  </si>
  <si>
    <t>10.1002/2014JA020092</t>
  </si>
  <si>
    <t>AT3BN</t>
  </si>
  <si>
    <t>WOS:000344810200030</t>
  </si>
  <si>
    <t>Isono, Y; Mizuno, A; Nagahama, T; Miyoshi, Y; Nakamura, T; Kataoka, R; Tsutsumi, M; Ejiri, MK; Fujiwara, H; Maezawa, H; Uemura, M</t>
  </si>
  <si>
    <t>Isono, Yasuko; Mizuno, Akira; Nagahama, Tomoo; Miyoshi, Yoshizumi; Nakamura, Takuji; Kataoka, Ryuho; Tsutsumi, Masaki; Ejiri, Mitsumu K.; Fujiwara, Hitoshi; Maezawa, Hiroyuki; Uemura, Miku</t>
  </si>
  <si>
    <t>Ground-based observations of nitric oxide in the mesosphere and lower thermosphere over Antarctica in 2012-2013</t>
  </si>
  <si>
    <t>SOLAR PROTON EVENTS; SOUTHERN-HEMISPHERE; MILLIMETER; RADIOMETER; RECEIVER; MIDDLE</t>
  </si>
  <si>
    <t>We report temporal variations of the partial column density of nitric oxide (NO) in an altitude range 75-105 km at Syowa Station, Antarctica, from January 2012 to September 2013. We found two patterns of NO temporal variation: (1) a seasonal cycle with a maximum in winter and a minimum in summer, and (2) short-term enhancements on a time frame of 5-10 days associated with solar activities. In the seasonal cycle, the variation pattern of NO showed good agreement with scotoperiod of solar radiation rather than the downwelling atmospheric transport, suggesting that photodissociation is the main driver of the seasonal variation. To study the short-term enhancements, we compared the NO column density with the proton and electron fluxes obtained by the POES/METOP (Polar Orbiting Environmental Satellite/Meteorological Operational) satellites. There is a weak but significant correlation between the NO and the electron flux, but no correlation between the NO and the proton flux. We also made a detailed comparison of the time series of NO and proton/electron fluxes for 12 selected 25-day time frames, and found that at least two remarkable NO enhancements occurred without any solar proton events (SPEs). During electron precipitation, the NO column density peaked 1-5 days after the commencement of geomagnetic storms, whereas the relationship between NO and the solar proton is not clear because the electron flux also increased at the same time. These results suggest that energetic electron precipitation may be a major cause of NO enhancements above Syowa Station in the auroral region, even during SPEs.</t>
  </si>
  <si>
    <t>[Isono, Yasuko; Mizuno, Akira; Nagahama, Tomoo; Miyoshi, Yoshizumi; Uemura, Miku] Nagoya Univ, Solar Terr Environm Lab, Nagoya, Aichi 4648601, Japan; [Isono, Yasuko; Nakamura, Takuji; Kataoka, Ryuho; Tsutsumi, Masaki; Ejiri, Mitsumu K.] Natl Inst Polar Res, Tachikawa, Tokyo, Japan; [Fujiwara, Hitoshi] Seikei Univ, Fac Sci &amp; Technol, Musashino, Tokyo, Japan; [Maezawa, Hiroyuki] Osaka Prefecture Univ, Grad Sch Sci, Sakai, Osaka 591, Japan</t>
  </si>
  <si>
    <t>Nagoya University; Research Organization of Information &amp; Systems (ROIS); National Institute of Polar Research (NIPR) - Japan; Seikei University; Osaka Metropolitan University</t>
  </si>
  <si>
    <t>Isono, Y (corresponding author), Nagoya Univ, Solar Terr Environm Lab, Nagoya, Aichi 4648601, Japan.</t>
  </si>
  <si>
    <t>isono.yasuko@nipr.ac.jp</t>
  </si>
  <si>
    <t>Matsumoto, Akira/HIR-9389-2022; Miyoshi, Yoshizumi/T-5748-2019; KATAOKA, RYUHO/AAJ-4570-2020</t>
  </si>
  <si>
    <t>Miyoshi, Yoshizumi/0000-0001-7998-1240; Nakamura, Takuji/0000-0002-3876-2946</t>
  </si>
  <si>
    <t>KAKENHI from MEXT (Ministry of Education, Culture, Sports, Science and Technology of Japan) [23340145, 23340146, 23224011]; JST/JICA (Japan Science and Technology Agency/Japan International Cooperation Agency); SATREPS (Science and Technology Research Partnership for Sustainable Development); Grants-in-Aid for Scientific Research [23224011, 23340145, 23340146] Funding Source: KAKEN</t>
  </si>
  <si>
    <t>KAKENHI from MEXT (Ministry of Education, Culture, Sports, Science and Technology of Japan); JST/JICA (Japan Science and Technology Agency/Japan International Cooperation Agency); SATREPS (Science and Technology Research Partnership for Sustainable Development); Grants-in-Aid for Scientific Research(Ministry of Education, Culture, Sports, Science and Technology, Japan (MEXT)Japan Society for the Promotion of ScienceGrants-in-Aid for Scientific Research (KAKENHI))</t>
  </si>
  <si>
    <t>We gratefully acknowledge the Japanese Antarctic Research Expedition for operating the observation system. Aura/MLS data were provided by the Goddard Earth Sciences Data and Information Services Center. GOES and POES data were provided by NOAA/National Geophysical Data Center. Ap and Dst indices were provided by Kyoto University via OMNIWeb. This work is financially supported by Grants-in-Aid for Scientific Research (KAKENHI, 23340145, 23340146, and 23224011) from MEXT (Ministry of Education, Culture, Sports, Science and Technology of Japan). This work was also supported by JST/JICA (Japan Science and Technology Agency/Japan International Cooperation Agency) and SATREPS (Science and Technology Research Partnership for Sustainable Development).</t>
  </si>
  <si>
    <t>10.1002/2014JA019881</t>
  </si>
  <si>
    <t>WOS:000344810200050</t>
  </si>
  <si>
    <t>Simms, LE; Pilipenko, V; Engebretson, MJ; Reeves, GD; Smith, AJ; Clilverd, M</t>
  </si>
  <si>
    <t>Simms, Laura E.; Pilipenko, Viacheslav; Engebretson, Mark J.; Reeves, Geoffrey D.; Smith, A. J.; Clilverd, Mark</t>
  </si>
  <si>
    <t>Prediction of relativistic electron flux at geostationary orbit following storms: Multiple regression analysis</t>
  </si>
  <si>
    <t>OUTER RADIATION BELT; SOLAR-WIND; GEOSYNCHRONOUS ORBIT; MAGNETIC STORMS; ULF WAVES; ENERGETIC ELECTRONS; CHORUS WAVES; ACCELERATION; SPEED; TIME</t>
  </si>
  <si>
    <t>Many solar wind and magnetosphere parameters correlate with relativistic electron flux following storms. These include relativistic electron flux before the storm; seed electron flux; solar wind velocity and number density (and their variation); interplanetary magnetic field B-z, AE and Kp indices; and ultra low frequency (ULF) and very low frequency (VLF) wave power. However, as all these variables are intercorrelated, we use multiple regression analyses to determine which are the most predictive of flux when other variables are controlled. Using 219 storms (1992-2002), we obtained hourly averaged electron fluxes for outer radiation belt relativistic electrons (&gt;1.5 MeV) and seed electrons (100 keV) from Los Alamos National Laboratory spacecraft (geosynchronous orbit). For each storm, we found the log(10) maximum relativistic electron flux 48-120 h after the end of the main phase of each storm. Each predictor variable was averaged over the 12 h before the storm, the main phase, and the 48 h following minimum Dst. High levels of flux following storms are best modeled by a set of variables. In decreasing influence, ULF, seed electron flux, Vsw and its variation, and after-storm B-z were the most significant explanatory variables. Kp can be added to the model, but it adds no further explanatory power. Although we included ground-based VLF power from Halley, Antarctica, it shows little predictive ability. We produced predictive models using the coefficients from the regression models and assessed their effectiveness in predicting novel observations. The correlation between observed values and those predicted by these empirical models ranged from 0.645 to 0.795.</t>
  </si>
  <si>
    <t>[Simms, Laura E.; Engebretson, Mark J.] Augsburg Coll, Dept Phys, Minneapolis, MN 55454 USA; [Pilipenko, Viacheslav] Russian Acad Sci, Inst Phys Earth, Moscow, Russia; [Reeves, Geoffrey D.] Los Alamos Natl Lab, Los Alamos, NM USA; [Smith, A. J.] VLF ELF Radio Res Inst, Bradwell, England; [Clilverd, Mark] British Antarctic Survey, Cambridge CB3 0ET, England</t>
  </si>
  <si>
    <t>Augsburg University; Russian Academy of Sciences; Schmidt Institute of Physics of the Earth of the Russian Academy of Sciences; United States Department of Energy (DOE); Los Alamos National Laboratory; UK Research &amp; Innovation (UKRI); Natural Environment Research Council (NERC); NERC British Antarctic Survey</t>
  </si>
  <si>
    <t>Simms, LE (corresponding author), Augsburg Coll, Dept Phys, Minneapolis, MN 55454 USA.</t>
  </si>
  <si>
    <t>simmsl@augsburg.edu</t>
  </si>
  <si>
    <t>Reeves, Geoffrey/E-8101-2011</t>
  </si>
  <si>
    <t>Reeves, Geoffrey/0000-0002-7985-8098</t>
  </si>
  <si>
    <t>National Science Foundation [ATM-0827903]; NERC [bas0100023] Funding Source: UKRI; Natural Environment Research Council [bas0100023] Funding Source: researchfish; Div Atmospheric &amp; Geospace Sciences; Directorate For Geosciences [1264146] Funding Source: National Science Foundation</t>
  </si>
  <si>
    <t>National Science Foundation(National Science Foundation (NSF));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</si>
  <si>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Relativistic electron and seed electron flux data were obtained from Los Alamos National Laboratory (LANL) geosynchronous energetic particle instruments (contact G.D. Reeves). Satellite and ground-based ULF indices are available at http://virbo.org/Augsburg/ULF and Halley VLF VELOX data at http://bsauasc.nerc-bas.ac.uk:8080/similar to pdata/velox_summary/. Bz, V, N, P, sigma V, sigma N, and Kp, Dst, and AE indices are available from Goddard Space Flight Center Space Physics Data Facility at the OMNIWeb data website (httpi/omniweb.gsfc.nasa.gov/html/ow_data.html). We thank the referees for their helpful comments. This work was supported by National Science Foundation grant ATM-0827903 to Augsburg College.</t>
  </si>
  <si>
    <t>10.1002/2014JA019955</t>
  </si>
  <si>
    <t>WOS:000344810200021</t>
  </si>
  <si>
    <t>Zheng, LH; Chan, AA; Albert, JM; Elkington, SR; Koller, J; Horne, RB; Glauert, SA; Meredith, NP</t>
  </si>
  <si>
    <t>Zheng, Liheng; Chan, Anthony A.; Albert, Jay M.; Elkington, Scot R.; Koller, Josef; Horne, Richard B.; Glauert, Sarah A.; Meredith, Nigel P.</t>
  </si>
  <si>
    <t>Three-dimensional stochastic modeling of radiation belts in adiabatic invariant coordinates</t>
  </si>
  <si>
    <t>PART I IMPLICIT; NUMERICAL-SIMULATION; RELATIVISTIC ELECTRONS; SEMIIMPLICIT SCHEMES; DIFFUSION TENSOR; PITCH-ANGLE; RESONANT INTERACTION; GEOMAGNETIC STORMS; DYNAMICS; MAGNETOSPHERE</t>
  </si>
  <si>
    <t>A 3-D model for solving the radiation belt diffusion equation in adiabatic invariant coordinates has been developed and tested. The model, named Radbelt Electron Model, obtains a probabilistic solution by solving a set of Ito stochastic differential equations that are mathematically equivalent to the diffusion equation. This method is capable of solving diffusion equations with a full 3-D diffusion tensor, including the radial-local cross diffusion components. The correct form of the boundary condition at equatorial pitch angle alpha(0) = 90 degrees is also derived. The model is applied to a simulation of the October 2002 storm event. At alpha(0) near 90 degrees, our results are quantitatively consistent with GPS observations of phase space density (PSD) increases, suggesting dominance of radial diffusion; at smaller alpha(0), the observed PSD increases are overestimated by the model, possibly due to the alpha(0)-independent radial diffusion coefficients, or to insufficient electron loss in the model, or both. Statistical analysis of the stochastic processes provides further insights into the diffusion processes, showing distinctive electron source distributions with and without local acceleration.</t>
  </si>
  <si>
    <t>[Zheng, Liheng; Chan, Anthony A.] Rice Univ, Dept Phys &amp; Astron, Houston, TX 77005 USA; [Albert, Jay M.] Air Force Res Lab, Space Vehicles Directorate, Albuquerque, NM USA; [Elkington, Scot R.] Univ Colorado, Atmospher &amp; Space Phys Lab, Boulder, CO 80309 USA; [Koller, Josef] Los Alamos Natl Lab, Los Alamos, NM USA; [Horne, Richard B.; Glauert, Sarah A.; Meredith, Nigel P.] British Antarctic Survey, Nat Environm Res Council, Cambridge CB3 0ET, England</t>
  </si>
  <si>
    <t>Rice University; United States Department of Defense; United States Air Force; US Air Force Research Laboratory; University of Colorado System; University of Colorado Boulder; United States Department of Energy (DOE); Los Alamos National Laboratory; UK Research &amp; Innovation (UKRI); Natural Environment Research Council (NERC); NERC British Antarctic Survey</t>
  </si>
  <si>
    <t>Zheng, LH (corresponding author), Rice Univ, Dept Phys &amp; Astron, Houston, TX 77005 USA.</t>
  </si>
  <si>
    <t>zhengliheng@rice.edu</t>
  </si>
  <si>
    <t>Albert, Jay/AAV-6860-2020; Horne, Richard B/U-3764-2019; Meredith, Nigel P/C-5806-2018</t>
  </si>
  <si>
    <t>Albert, Jay/0000-0001-9494-7630; Horne, Richard B/0000-0002-0412-6407; Meredith, Nigel/0000-0001-5032-3463</t>
  </si>
  <si>
    <t>National Aeronautics and Space Administration through the Science Mission Directorate [NNX11AJ38G, NNX10AL02G]; NERC [bas0100023] Funding Source: UKRI; Natural Environment Research Council [bas0100023] Funding Source: researchfish</t>
  </si>
  <si>
    <t>National Aeronautics and Space Administration through the Science Mission Directorate; NERC(UK Research &amp; Innovation (UKRI)Natural Environment Research Council (NERC)); Natural Environment Research Council(UK Research &amp; Innovation (UKRI)Natural Environment Research Council (NERC))</t>
  </si>
  <si>
    <t>This material is based upon work supported by the National Aeronautics and Space Administration under grants NNX11AJ38G and NNX10AL02G issued through the Science Mission Directorate. We gratefully acknowledge Los Alamos National Lab for providing phase space density data and Air Force Research Lab and British Antarctic Survey for supplying chorus wave diffusion coefficients. Liheng Zheng wishes to thank Xin Tao for valuable discussions about the SDE method.</t>
  </si>
  <si>
    <t>10.1002/2014JA020127</t>
  </si>
  <si>
    <t>WOS:000344810200041</t>
  </si>
  <si>
    <t>Danelian, T; Allen, CS</t>
  </si>
  <si>
    <t>Danelian, Taniel; Allen, Claire S.</t>
  </si>
  <si>
    <t>Editorial: Siliceous plankton biomineralization, biodiversity and evolution</t>
  </si>
  <si>
    <t>JOURNAL OF MICROPALAEONTOLOGY</t>
  </si>
  <si>
    <t>[Danelian, Taniel] Univ Lille 1, CNRS, Dept Earth Sci, UMR Geosyst 8217, F-59655 Villeneuve Dascq, France; [Allen, Claire S.] British Antarctic Survey, Cambridge CB3 0ET, England</t>
  </si>
  <si>
    <t>Universite de Lille; Centre National de la Recherche Scientifique (CNRS); UK Research &amp; Innovation (UKRI); Natural Environment Research Council (NERC); NERC British Antarctic Survey</t>
  </si>
  <si>
    <t>Danelian, T (corresponding author), Univ Lille 1, CNRS, Dept Earth Sci, UMR Geosyst 8217, Cite Sci,SN5, F-59655 Villeneuve Dascq, France.</t>
  </si>
  <si>
    <t>Danelian, Taniel/A-7067-2018</t>
  </si>
  <si>
    <t>Danelian, Taniel/0000-0001-9496-2363</t>
  </si>
  <si>
    <t>Natural Environment Research Council [bas0100024] Funding Source: researchfish; NERC [bas0100024] Funding Source: UKRI</t>
  </si>
  <si>
    <t>Natural Environment Research Council(UK Research &amp; Innovation (UKRI)Natural Environment Research Council (NERC)); NERC(UK Research &amp; Innovation (UKRI)Natural Environment Research Council (NERC))</t>
  </si>
  <si>
    <t>GEOLOGICAL SOC PUBL HOUSE</t>
  </si>
  <si>
    <t>BATH</t>
  </si>
  <si>
    <t>UNIT 7, BRASSMILL ENTERPRISE CENTRE, BRASSMILL LANE, BATH BA1 3JN, AVON, ENGLAND</t>
  </si>
  <si>
    <t>0262-821X</t>
  </si>
  <si>
    <t>J MICROPALAEONTOL</t>
  </si>
  <si>
    <t>J. Micropalaentol.</t>
  </si>
  <si>
    <t>10.1144/jmpaleo2014-018</t>
  </si>
  <si>
    <t>AQ8ZR</t>
  </si>
  <si>
    <t>WOS:000343130100001</t>
  </si>
  <si>
    <t>Allen, CS</t>
  </si>
  <si>
    <t>Allen, Claire S.</t>
  </si>
  <si>
    <t>Proxy development: a new facet of morphological diversity in the marine diatom Eucampia antarctica (Castracane) Mangin</t>
  </si>
  <si>
    <t>morphology; marine diatom; Antarctic; Eucampia antarctica; palaeoceanographic proxy</t>
  </si>
  <si>
    <t>SEA-ICE; THALASSIOSIRA-ANTARCTICA; SURFACE SEDIMENTS; WEDDELL SEA; BACILLARIOPHYCEAE; TEMPERATURE; WATERS; POLAR; DEEP</t>
  </si>
  <si>
    <t>The varied aspect ratios observed in the Antarctic marine diatom Eucampia antarctica are described and quantified. Data are compiled from detailed measurements of the gross morphology of winter stage specimens found in samples of modern marine sediments. Surface sediment samples come from a range of oceanographic settings spanning almost 20 degrees of latitude from north of the Polar Front in the SW Atlantic to close to continental Antarctica in the southern Amundsen Sea. Results are compared with previously recorded morphological data ascribed to the polar and sub-polar varieties of E. antarctica (E. antarctica var recta and E. antarctica var antarctica) and reveal that the aspect ratio of both varieties responds independently of symmetry and colony structure. The discussion considers the likely basis of the observed aspect ratio distribution and whether the morphological diversity offers any potential for use as proxy evidence in Antarctic palaeoceanographic reconstructions. Although it requires further study, valve symmetry offers promising potential as a quantitative proxy for austral summer sea surface temperatures.</t>
  </si>
  <si>
    <t>British Antarctic Survey, Cambridge CB3 0ET, England</t>
  </si>
  <si>
    <t>Allen, CS (corresponding author), British Antarctic Survey, High Cross,Madingley Rd, Cambridge CB3 0ET, England.</t>
  </si>
  <si>
    <t>csall@bas.ac.uk</t>
  </si>
  <si>
    <t>Natural Environment Research Council; Natural Environment Research Council [bas0100024] Funding Source: researchfish; NERC [bas0100024] Funding Source: UKRI</t>
  </si>
  <si>
    <t>This study is part of the British Antarctic Survey (BAS) Chemistry and Past Climate Programme, which is a component of the BAS strategic science framework Polar Science for Planet Earth and was funded by The Natural Environment Research Council. I am grateful to the Officers, crew and science parties of the RRS Discovery and the RRS James Clark Ross on the science cruises D 172, JR 04, JR 48, JR 149 and JR 179 for their support in collecting the core material used in this study. Thanks to H. Blagbrough, T. Galton and C. Cook for some of the slide preparation and morphological counts included in this study and to P. Fretwell and A. Fleming of the BAS mapping department for their kind assistance with Figure 2. Thanks also to A. Leventer and an anonymous reviewer for their supportive and constructive comments on the submitted manuscript and to J. Pike, R. Jordan and other diatom colleagues for insightful and varied discussions on diatom morphology.</t>
  </si>
  <si>
    <t>COPERNICUS GESELLSCHAFT MBH</t>
  </si>
  <si>
    <t>GOTTINGEN</t>
  </si>
  <si>
    <t>BAHNHOFSALLEE 1E, GOTTINGEN, 37081, GERMANY</t>
  </si>
  <si>
    <t>2041-4978</t>
  </si>
  <si>
    <t>10.1144/jmpaleo2013-025</t>
  </si>
  <si>
    <t>WOS:000343130100004</t>
  </si>
  <si>
    <t>Zhang, L; Ito, TY; Feng, QL; Caridroit, M; Danelian, T</t>
  </si>
  <si>
    <t>Zhang, Lei; Ito, Tsuyoshi; Feng, Qinglai; Caridroit, Martial; Danelian, Taniel</t>
  </si>
  <si>
    <t>Phylogenetic model of Follicucullus lineages (Albaillellaria, Radiolaria) based on high-resolution biostratigraphy of the Permian Bancheng Formation, Guangxi, South China</t>
  </si>
  <si>
    <t>Permian; Radiolaria; Follicucullus; taxonomy; phylogenetic model; interval biozones</t>
  </si>
  <si>
    <t>GUFENG FORMATION; FAUNAS; PROVINCE; CLASSIFICATION; BOUNDARY; CHERT; AREA; AGE</t>
  </si>
  <si>
    <t>High-resolution sampling was performed on four Permian sections in Guangxi Province, South China (Gujingling, Sanpaoling, Guoyuan and Yutouling sections). We report abundant and well-preserved Guadalupian- Lopingian radiolarian assemblages, with 25 species belonging to three genera of the order Albaillellaria. Among them, the most abundant genus is Follicucullus with 17 species: F. bipartitus, F. charveti, F. sp. cf. F. charveti, F. dilatatus, F. falx, F. sp. cf. F. falx, F. guangxiensis, F. hamatus, F. monacanthus, F. sp. cf. F. monacanthus, F. orthogonus, F. sp. cf. F. orthogonus, F. porrectus, F. scholasticus, F. sp. cf. F. scholasticus, F. ventricosus and F. sp. cf. F. ventricosus. On the basis of composite stratigraphic ranges, this study suggests four Interval Zones in ascending order, namely F. monacanthus, F. porrectus, F. scholasticus and F. charveti Interval Zones. We provide a phylogenetic model for Follicucullus based on their morphological affinities and stratigraphic distribution. The genus Follicucullus originated from Pseudoalbaillella fusiformis, with F. monacanthus as the forerunner species from which two contemporary species then radiated: F. dilatatus and F. porrectus. Follicucullus porrectus is a long-lasting species, it is abundant in our material and several Follicucullus lineages originated from it. In terms of evolution it is considered to be the ancestor of a number of Follicucullus species.</t>
  </si>
  <si>
    <t>[Zhang, Lei; Ito, Tsuyoshi; Feng, Qinglai] China Univ Geosci, State Key Lab Geol Proc &amp; Mineral Resources, Wuhan 430074, Peoples R China; [Zhang, Lei; Caridroit, Martial; Danelian, Taniel] Univ Lille 1, Geosyst UMR CNRS Lille 8217 1, Dept Earth Sci, F-59655 Villeneuve Dascq, France</t>
  </si>
  <si>
    <t>China University of Geosciences; Universite de Lille</t>
  </si>
  <si>
    <t>Feng, QL (corresponding author), China Univ Geosci, State Key Lab Geol Proc &amp; Mineral Resources, Wuhan 430074, Peoples R China.</t>
  </si>
  <si>
    <t>qinglaifeng@cug.edu.cn</t>
  </si>
  <si>
    <t>Ito, Tsuyoshi/L-4373-2018; Danelian, Taniel/A-7067-2018</t>
  </si>
  <si>
    <t>Ito, Tsuyoshi/0000-0001-7972-3508; Danelian, Taniel/0000-0001-9496-2363</t>
  </si>
  <si>
    <t>NSFC [40839903]; Ministry of Education of China [20110145130001]; 111 Project [B08030]; European ERASMUS MUNDUS External Windows programme</t>
  </si>
  <si>
    <t>NSFC(National Natural Science Foundation of China (NSFC)); Ministry of Education of China(Ministry of Education, China); 111 Project(Ministry of Education, China - 111 Project); European ERASMUS MUNDUS External Windows programme</t>
  </si>
  <si>
    <t>This work was supported by NSFC (40839903), Ministry of Education of China (20110145130001), and 111 Project (Grant No. B08030). Lei Zhang was funded by the European ERASMUS MUNDUS External Windows programme for a year at the University Lille 1. The authors thank Wang Weijie and Zhao Duanchang for sample preparation, Wu Jun, Liu Guichun, Lei Yong, Yang Wenqiang and Marie-Beatrice Forel for their constructive suggestions during writing. The authors are deeply grateful to Suzuki Noritoshi (Tohoku University) and Paulian Dumitrica for critical comments and valuable suggestions which improved the paper considerably. This paper benefited from editing by Claire Allen of the British Antarctic Survey.</t>
  </si>
  <si>
    <t>10.1144/jmpaleo2014-012</t>
  </si>
  <si>
    <t>WOS:000343130100008</t>
  </si>
  <si>
    <t>Berge, J; Cottier, F; Varpe, O; Renaud, PE; Falk-Petersen, S; Kwasniewski, S; Griffiths, C; Soreide, JE; Johnsen, G; Aubert, A; Bjærke, O; Hovinen, J; Jung-Madsen, S; Tveit, M; Majaneva, S</t>
  </si>
  <si>
    <t>Berge, Jorgen; Cottier, Finlo; Varpe, Oystein; Renaud, Paul E.; Falk-Petersen, Stig; Kwasniewski, Sawomir; Griffiths, Colin; Soreide, Janne E.; Johnsen, Geir; Aubert, Anais; Bjaerke, Oda; Hovinen, Johanna; Jung-Madsen, Signe; Tveit, Martha; Majaneva, Sanna</t>
  </si>
  <si>
    <t>Arctic complexity: a case study on diel vertical migration of zooplankton</t>
  </si>
  <si>
    <t>diel vertical migration; Arctic; ADCP; acoustics; zooplankton; physical forcing; predator-prey interactions; light regime; water masses; complexity</t>
  </si>
  <si>
    <t>SEA-ICE; CALANUS-FINMARCHICUS; ADAPTIVE SIGNIFICANCE; ANTARCTIC PENINSULA; PLANKTONIC COPEPOD; SOUND-SCATTERING; MARINE COPEPOD; MIDNIGHT SUN; POLAR NIGHT; FJORD</t>
  </si>
  <si>
    <t>Diel vertical migration (DVM) of zooplankton is a global phenomenon, characteristic of both marine and limnic environments. At high latitudes, patterns of DVM have been documented, but rather little knowledge exists regarding which species perform this ecologically important behaviour. Also, in the Arctic, the vertically migrating components of the zooplankton community are usually regarded as a single sound scattering layer (SSL) performing synchronized patterns of migration directly controlled by ambient light. Here, we present evidence for hitherto unknown complexity of Arctic marine systems, where zooplankton form multiple aggregations through the water column seen via acoustics as distinct SSLs. We show that while the initiation of DVM during the autumnal equinox is light mediated, the vertical positioning of the migrants during day is linked more to the thermal characteristics of water masses than to irradiance. During night, phytoplankton biomass is shown to be the most important factor determining the vertical positioning of all migrating taxa. Further, we develop a novel way of representing acoustic data in the form of a Sound Image (SI) that enables a direct comparison of the relative importance of each potential scatterer based upon the theoretical contribution of their backscatter. Based on our comparison of locations with contrasting hydrography, we conclude that a continued warming of the Arctic is likely to result in more complex ecotones across the Arctic marine system.</t>
  </si>
  <si>
    <t>[Berge, Jorgen; Falk-Petersen, Stig; Aubert, Anais] Univ Tromso, Fac Biosci Fisheries &amp; Econ, N-9037 Tromso, Norway; [Berge, Jorgen; Varpe, Oystein; Renaud, Paul E.; Soreide, Janne E.; Johnsen, Geir; Aubert, Anais; Bjaerke, Oda; Hovinen, Johanna; Jung-Madsen, Signe; Tveit, Martha; Majaneva, Sanna] Univ Ctr Svalbard, N-9171 Longyearbyen, Norway; [Cottier, Finlo; Griffiths, Colin] Scottish Assoc Marine Sci, Scottish Marine Inst, Oban PA37 1QA, Argyll, Scotland; [Varpe, Oystein; Renaud, Paul E.; Falk-Petersen, Stig] Akvaplan Niva, Fram Ctr Climate &amp; Environm, N-9296 Tromso, Norway; [Kwasniewski, Sawomir] Polish Acad Sci, Inst Oceanol, PL-81712 Sopot, Poland; [Johnsen, Geir] Norwegian Univ Sci &amp; Technol NTNU, Appl Underwater Robot Lab, Dept Biol, Trondhjem Biol Stn, N-7491 Trondheim, Norway; [Hovinen, Johanna] Norwegian Polar Res Inst, Fram Ctr Climate &amp; Environm, N-9296 Tromso, Norway; [Majaneva, Sanna] Univ Helsinki, Fac Biol &amp; Environm Sci, FI-00014 Helsinki, Finland</t>
  </si>
  <si>
    <t>UiT The Arctic University of Tromso; University Centre Svalbard (UNIS); UHI Millennium Institute; Akvaplan-niva; Polish Academy of Sciences; Institute of Oceanology of the Polish Academy of Sciences; Norwegian University of Science &amp; Technology (NTNU); Norwegian Polar Institute; University of Helsinki</t>
  </si>
  <si>
    <t>Berge, J (corresponding author), Univ Tromso, Fac Biosci Fisheries &amp; Econ, N-9037 Tromso, Norway.</t>
  </si>
  <si>
    <t>jorgen.berge@uit.no</t>
  </si>
  <si>
    <t>Soreide, Janne/HNI-3758-2023; Varpe, Øystein/B-9693-2008; Cottier, Finlo/K-6277-2012; Renaud, Paul E/C-7191-2008; Berge, Jorgen/E-7544-2015</t>
  </si>
  <si>
    <t>Varpe, Øystein/0000-0002-5895-6983; Aubert, Anais/0000-0002-3192-2011; Kwasniewski, Slawomir/0000-0003-3104-0761; Majaneva, Sanna/0000-0002-0183-2314; Berge, Jorgen/0000-0003-0900-5679; Cottier, Finlo/0000-0002-3068-1754</t>
  </si>
  <si>
    <t>NFR [214271/F20]; CircA project; NERC [NE/H012524/1] Funding Source: UKRI</t>
  </si>
  <si>
    <t>NFR(Research Council of Norway); CircA project; NERC(UK Research &amp; Innovation (UKRI)Natural Environment Research Council (NERC))</t>
  </si>
  <si>
    <t>This work is a contribution to the NFR funded project CircA; Circadian rhythms of Arctic zooplankton from polar twilight to polar night-patterns, processes and ecosystem implications (project number 214271/F20). It is also a contribution to the Natural Environment Research Council program Oceans 2025. Funding to pay the Open Access publication charges for this article was provided by the CircA project.</t>
  </si>
  <si>
    <t>10.1093/plankt/fbu059</t>
  </si>
  <si>
    <t>hybrid, Green Published, Green Submitted</t>
  </si>
  <si>
    <t>WOS:000342235000010</t>
  </si>
  <si>
    <t>Delord, K; Barbraud, C; Bost, CA; Deceuninck, B; Lefebvre, T; Lutz, R; Micol, T; Phillips, RA; Trathan, PN; Weimerskirch, H</t>
  </si>
  <si>
    <t>Delord, Karine; Barbraud, Christophe; Bost, Charles-Andre; Deceuninck, Bernard; Lefebvre, Thierry; Lutz, Rose; Micol, Thierry; Phillips, Richard A.; Trathan, Phil N.; Weimerskirch, Henri</t>
  </si>
  <si>
    <t>Areas of importance for seabirds tracked from French southern territories, and recommendations for conservation</t>
  </si>
  <si>
    <t>MARINE POLICY</t>
  </si>
  <si>
    <t>High Sea; Key areas; Marine Important Bird Area; Seabirds; Southern Ocean; Tracking</t>
  </si>
  <si>
    <t>WHITE-CHINNED PETRELS; MARINE PROTECTED AREAS; AMSTERDAM ALBATROSS; PROCELLARIA-AEQUINOCTIALIS; PELAGIC SEABIRDS; GENTOO PENGUIN; KING PENGUINS; INDIAN-OCEAN; HABITAT USE; POPULATION</t>
  </si>
  <si>
    <t>Seabirds are increasingly threatened worldwide, with population declines for many species that are faster than in any other group of birds. Here the Important Bird Area (IBA) criteria recommended by BirdLife International were applied to a large tracking dataset collected from a range of seabirds, to identify areas of importance at an ocean basin scale. Key areas were identified using tracks obtained from both the breeding and non-breeding periods of 10 species that have different habitat requirements. These species range in their IUCN threat status from Least Concern to Critically Endangered. An evaluation of spatial overlap between the key areas for these species and the jurisdiction of Regional Fisheries Management Organisations (RFMOs), national Exclusive Economic Zones (EEZs) and other stakeholder bodies highlighted the major importance of the French EEZs (around Crozet, Kerguelen and Amsterdam Islands) for seabird conservation. The majority of the candidate marine IBAs that were identified were located in the High Seas, where Marine Protected Areas cannot easily be designated under existing international agreements; except in the Commission for the Conservation of Antarctic Marine Living Resources Convention Area. In the short term, it seems that only fisheries regulations (through international agreements) can bring about efficient protection for seabirds in the High Seas. The BirdLife IBA approach, although sensitive to heterogeneity in the data (species selected, inclusion of different life stages, years etc.), proved valuable for selecting important areas corresponding to large-scale oceanographic structures that are considered to be key foraging habitats for many species. (C) 2014 Elsevier Ltd. All rights reserved.</t>
  </si>
  <si>
    <t>[Delord, Karine; Barbraud, Christophe; Bost, Charles-Andre; Weimerskirch, Henri] Ctr Natl Rech Sci, Ctr Etudes Biol Chize, UMR 7372, F-79360 Villiers En Bois, France; [Deceuninck, Bernard; Micol, Thierry] BirdLife Int Partner France, Ligue Protect Oiseaux, Fonderies Royales, F-17305 Rochefort, France; [Lefebvre, Thierry; Lutz, Rose] Com Francais UICN, F-75005 Paris, France; [Phillips, Richard A.; Trathan, Phil N.] British Antarctic Survey, Nat Environm Res Council, Cambridge CB3 0ET, England</t>
  </si>
  <si>
    <t>Centre National de la Recherche Scientifique (CNRS); CNRS - Institute of Ecology &amp; Environment (INEE); BirdLife International; UK Research &amp; Innovation (UKRI); Natural Environment Research Council (NERC); NERC British Antarctic Survey</t>
  </si>
  <si>
    <t>Delord, K (corresponding author), CEBC CNRS, F-79360 Villiers En Bois, France.</t>
  </si>
  <si>
    <t>karine.delord@cebc.cnrs.fr; christophe.barbraud@cebc.cnrs.fr; bost@cebc.cnrs.fr; bernard.deceuninck@lpo.fr; thierry.lefebvre@uicn.fr; rose.lutz.85@gmail.com; thierry.micol@lpo.fr; raphil@bas.ac.uk; pnt@bas.ac.uk; henriw@cebc.cnrs.fr</t>
  </si>
  <si>
    <t>Weimerskirch, Henri/F-5562-2013; Weimerskirch, Henri/K-7306-2019; Barbraud, Christophe/A-5870-2012</t>
  </si>
  <si>
    <t>Weimerskirch, Henri/0000-0002-0457-586X; Barbraud, Christophe/0000-0003-0146-212X</t>
  </si>
  <si>
    <t>Natural Environment Research Council [bas0100025] Funding Source: researchfish; NERC [bas0100025] Funding Source: UKRI</t>
  </si>
  <si>
    <t>0308-597X</t>
  </si>
  <si>
    <t>1872-9460</t>
  </si>
  <si>
    <t>MAR POLICY</t>
  </si>
  <si>
    <t>Mar. Pol.</t>
  </si>
  <si>
    <t>10.1016/j.marpol.2014.02.019</t>
  </si>
  <si>
    <t>Environmental Studies; International Relations</t>
  </si>
  <si>
    <t>Environmental Sciences &amp; Ecology; International Relations</t>
  </si>
  <si>
    <t>AI2OE</t>
  </si>
  <si>
    <t>Green Submitted, Green Accepted</t>
  </si>
  <si>
    <t>WOS:000336697000001</t>
  </si>
  <si>
    <t>Winslow, LA; Dugan, HA; Buelow, HN; Cronin, KD; Priscu, JC; Takacs-Vesbach, C; Doran, PT</t>
  </si>
  <si>
    <t>Winslow, Luke A.; Dugan, Hilark A.; Buelow, Heather N.; Cronin, Kyle D.; Priscu, John C.; Takacs-Vesbach, Cristina; Doran, Peter T.</t>
  </si>
  <si>
    <t>Autonomous Year-Round Sampling and Sensing to Explore the Physical and Biological Habitability of Permanently Ice-Covered Antarctic Lakes</t>
  </si>
  <si>
    <t>lakes; sensors; extreme environments</t>
  </si>
  <si>
    <t>MCMURDO DRY VALLEYS; NITROUS-OXIDE; WATER COLUMN; PHYTOPLANKTON; PRODUCTIVITY; BONNEY; DYNAMICS; BIOMASS</t>
  </si>
  <si>
    <t>The lakes of the McMurdo Dry Valleys, Antarctica, are some of the only systems on our planet that are perennially ice-covered and support year-round metabolism. As such, these ecosystems can provide important information on conditions and life in polar regions on Earth and on other icy worlds in our solar system. Working in these extreme environments of the Dry Valleys poses many challenges, particularly with respect to data collection during dark winter months when logistical constraints make fieldwork difficult. In this paper, we describe the motivation, design, and challenges for this recently deployed instrumentation in Lake Bonney, a lake that has been the subject of summer research efforts for more than 40 years. The instrumentation deployed includes autonomous water, phytoplankton, and sediment samplers as well as cable-mounted profiling platforms with dissolved gas and fluorometry sensors. Data obtained from these instruments will allow us, for the first time, to define the habitability of this environment during the polar night. We include lessons learned during deployment and recommendations for effective instrument operation in these extreme conditions.</t>
  </si>
  <si>
    <t>[Winslow, Luke A.] Univ Wisconsin, Ctr Limnol, Madison, WI 53706 USA; [Dugan, Hilark A.; Cronin, Kyle D.; Doran, Peter T.] Univ Illinois, Chicago, IL 60680 USA; [Buelow, Heather N.; Takacs-Vesbach, Cristina] Univ New Mexico, Dept Biol, Albuquerque, NM 87131 USA; [Priscu, John C.] Montana State Univ, Dept Land Resources &amp; Environm Sci, Bozeman, MT USA</t>
  </si>
  <si>
    <t>University of Wisconsin System; University of Wisconsin Madison; University of Illinois System; University of Illinois Chicago; University of Illinois Chicago Hospital; University of New Mexico; Montana State University System; Montana State University Bozeman</t>
  </si>
  <si>
    <t>Winslow, LA (corresponding author), Univ Wisconsin, Ctr Limnol, 680 North Pk St, Madison, WI 53706 USA.</t>
  </si>
  <si>
    <t>lawinslow@gmail.com</t>
  </si>
  <si>
    <t>Buelow, Heather/0000-0003-3535-4151</t>
  </si>
  <si>
    <t>NASA [NNX13AJ52G]; National Science Foundation [PLR-1340905, PLR-1041742, PLR-1340292, PLR-1340606, PLR-1142102, PLR-1115245, DEB-0941510]; NASA [NNX13AJ52G, 471967] Funding Source: Federal RePORTER; Division Of Environmental Biology; Direct For Biological Sciences [0941510] Funding Source: National Science Foundation; Office of Polar Programs (OPP); Directorate For Geosciences [1340606, 1546780, 1115245] Funding Source: National Science Foundation</t>
  </si>
  <si>
    <t>NASA(National Aeronautics &amp; Space Administration (NASA)); National Science Foundation(National Science Foundation (NSF)); NASA(National Aeronautics &amp; Space Administration (NASA)); Division Of Environmental Biology; Direct For Biological Sciences(National Science Foundation (NSF)NSF - Directorate for Biological Sciences (BIO)); Office of Polar Programs (OPP); Directorate For Geosciences(National Science Foundation (NSF)NSF - Directorate for Geosciences (GEO))</t>
  </si>
  <si>
    <t>We would like to thank the United States Antarctic Program and PHI helicopters for logistics and support. Special thanks go to McLane Laboratories and Sea-Bird Electronics, Inc., for their help, patience, and quick action throughout the design, testing, and deployment phases. The instrumentation was supported by NASA Grant NNX13AJ52G. Personnel, travel, and logistics were supported by the National Science Foundation Grants PLR-1340905, PLR-1041742, PLR-1340292, PLR-1340606, PLR-1142102, PLR-1115245, and DEB-0941510.</t>
  </si>
  <si>
    <t>10.4031/MTSJ.48.5.6</t>
  </si>
  <si>
    <t>WOS:000345057300002</t>
  </si>
  <si>
    <t>Prior, S</t>
  </si>
  <si>
    <t>Prior, Sian</t>
  </si>
  <si>
    <t>A New Mandatory Code for Shipping in Polar Waters</t>
  </si>
  <si>
    <t>Antarctic &amp; Southern Ocean Coalit, Washington, DC 20036 USA</t>
  </si>
  <si>
    <t>Prior, S (corresponding author), Antarctic &amp; Southern Ocean Coalit, Washington, DC 20036 USA.</t>
  </si>
  <si>
    <t>sianprior9@hotmail.com</t>
  </si>
  <si>
    <t>10.4031/MTSJ.48.5.9</t>
  </si>
  <si>
    <t>WOS:000345057300012</t>
  </si>
  <si>
    <t>Westphal, AJ; Bechtel, HA; Brenker, FE; Butterworth, AL; Flynn, G; Frank, DR; Gainsforth, Z; Hillier, JK; Postberg, F; Simionovici, AS; Sterken, VJ; Stroud, RM; Allen, C; Anderson, D; Ansari, A; Bajt, S; Bastien, RK; Bassim, N; Borg, J; Bridges, J; Brownlee, DE; Burchell, M; Burghammer, M; Changela, H; Cloetens, P; Davis, AM; Doll, R; Floss, C; Grün, E; Heck, PR; Hoppe, P; Hudson, B; Huth, J; Hvide, B; Kearsley, A; King, AJ; Lai, B; Leitner, J; Lemelle, L; Leroux, H; Leonard, A; Lettieri, R; Marchant, W; Nittler, LR; Ogliore, R; Ong, WJ; Price, MC; Sandford, SA; Tresseras, JAS; Schmitz, S; Schoonjans, T; Silversmit, G; Solé, VA; Srama, R; Stadermann, F; Stephan, T; Stodolna, J; Sutton, S; Trieloff, M; Tsou, P; Tsuchiyama, A; Tyliszczak, T; Vekemans, B; Vincze, L; Von Korff, J; Wordsworth, N; Zevin, D; Zolensky, ME</t>
  </si>
  <si>
    <t>Westphal, Andrew J.; Bechtel, Hans A.; Brenker, Frank E.; Butterworth, Anna L.; Flynn, George; Frank, David R.; Gainsforth, Zack; Hillier, Jon K.; Postberg, Frank; Simionovici, Alexandre S.; Sterken, Veerle J.; Stroud, Rhonda M.; Allen, Carlton; Anderson, David; Ansari, Asna; Bajt, Sasa; Bastien, Ron K.; Bassim, Nabil; Borg, Janet; Bridges, John; Brownlee, Donald E.; Burchell, Mark; Burghammer, Manfred; Changela, Hitesh; Cloetens, Peter; Davis, Andrew M.; Doll, Ryan; Floss, Christine; Gruen, Eberhard; Heck, Philipp R.; Hoppe, Peter; Hudson, Bruce; Huth, Joachim; Hvide, Brit; Kearsley, Anton; King, Ashley J.; Lai, Barry; Leitner, Jan; Lemelle, Laurence; Leroux, Hugues; Leonard, Ariel; Lettieri, Robert; Marchant, William; Nittler, Larry R.; Ogliore, Ryan; Ong, Wei Ja; Price, Mark C.; Sandford, Scott A.; Tresseras, Juan-Angel Sans; Schmitz, Sylvia; Schoonjans, Tom; Silversmit, Geert; Sole, Vicente A.; Srama, Ralf; Stadermann, Frank; Stephan, Thomas; Stodolna, Julien; Sutton, Steven; Trieloff, Mario; Tsou, Peter; Tsuchiyama, Akira; Tyliszczak, Tolek; Vekemans, Bart; Vincze, Laszlo; Von Korff, Joshua; Wordsworth, Naomi; Zevin, Daniel; Zolensky, Michael E.</t>
  </si>
  <si>
    <t>Final reports of the Stardust Interstellar Preliminary Examination</t>
  </si>
  <si>
    <t>ULYSSES DUST DATA</t>
  </si>
  <si>
    <t>With the discovery of bona fide extraterrestrial materials in the Stardust Interstellar Dust Collector, NASA now has a fundamentally new returned sample collection, after the Apollo, Antarctic meteorite, Cosmic Dust, Genesis, Stardust Cometary, Hayabusa, and Exposed Space Hardware samples. Here, and in companion papers in this volume, we present the results from the Preliminary Examination of this collection, the Stardust Interstellar Preliminary Examination (ISPE). We found extraterrestrial materials in two tracks in aerogel whose trajectories and morphology are consistent with an origin in the interstellar dust stream, and in residues in four impacts in the aluminum foil collectors. While the preponderance of evidence, described in detail in companion papers in this volume, points toward an interstellar origin for some of these particles, alternative origins have not yet been eliminated, and definitive tests through isotopic analyses were not allowed under the terms of the ISPE. In this summary, we answer the central questions of the ISPE: How many tracks in the collector are consistent in their morphology and trajectory with interstellar particles? How many of these potential tracks are consistent with real interstellar particles, based on chemical analysis? Conversely, what fraction of candidates are consistent with either a secondary or interplanetary origin? What is the mass distribution of these particles, and what is their state? Are they particulate or diffuse? Is there any crystalline material? How many detectable impact craters (&gt; 100 nm) are there in the foils, and what is their size distribution? How many of these craters have analyzable residue that is consistent with extraterrestrial material? And finally, can craters from secondaries be recognized through crater morphology (e.g., ellipticity)?</t>
  </si>
  <si>
    <t>[Westphal, Andrew J.; Butterworth, Anna L.; Gainsforth, Zack; Anderson, David; Lettieri, Robert; Marchant, William; Stodolna, Julien; Von Korff, Joshua; Zevin, Daniel] Univ Calif Berkeley, Space Sci Lab, Berkeley, CA 94720 USA; [Bechtel, Hans A.; Tyliszczak, Tolek] Lawrence Berkeley Lab, Adv Light Source, Berkeley, CA USA; [Brenker, Frank E.; Schmitz, Sylvia] Goethe Univ Frankfurt, Inst Geosci, Frankfurt, Germany; [Flynn, George] SUNY Coll Plattsburgh, Plattsburgh, NY 12901 USA; [Frank, David R.; Bastien, Ron K.] NASA JSC, ESCG, Houston, TX USA; [Hillier, Jon K.; Postberg, Frank; Trieloff, Mario] Heidelberg Univ, Inst Geowissensch, Heidelberg, Germany; [Simionovici, Alexandre S.] Univ Grenoble, Observ Sci, Inst Sci Terre, Grenoble, France; [Sterken, Veerle J.] Univ Stuttgart, IRS, D-70174 Stuttgart, Germany; [Sterken, Veerle J.] Tech Univ Carolo Wilhelmina Braunschweig, IGEP, D-38106 Braunschweig, Germany; [Sterken, Veerle J.; Zolensky, Michael E.] MPIK, Heidelberg, Germany; [Stroud, Rhonda M.] Naval Res Lab, Mat Sci &amp; Technol Div, Washington, DC USA; [Allen, Carlton] NASA JSC, ARES, Houston, TX USA; [Ansari, Asna; Hvide, Brit] Field Museum Nat Hist, Robert A Pritzker Ctr Meteorit &amp; Polar Studies, Chicago, IL 60605 USA; [Bajt, Sasa] DESY, Hamburg, Germany; [Bassim, Nabil] Naval Res Lab, Nanoscale Mat Sect, Washington, DC USA; [Borg, Janet] IAS Orsay, Orsay, France; [Bridges, John] Univ Leicester, Space Res Ctr, Leicester, Leics, England; [Brownlee, Donald E.] Univ Washington, Dept Astron, Seattle, WA 98195 USA; [Burchell, Mark; Price, Mark C.] Univ Kent, Canterbury, Kent, England; [Burghammer, Manfred; Cloetens, Peter; Tresseras, Juan-Angel Sans; Sole, Vicente A.] European Synchrotron Radiat Facil, F-38043 Grenoble, France; [Changela, Hitesh] George Washington Univ, Washington, DC USA; [Davis, Andrew M.; Stephan, Thomas] Univ Chicago, Chicago, IL 60637 USA; [Doll, Ryan; Floss, Christine; Leonard, Ariel; Ong, Wei Ja; Stadermann, Frank] Washington Univ, St Louis, MO USA; [Gruen, Eberhard] Max Planck Inst Kernphys, D-69117 Heidelberg, Germany; [Heck, Philipp R.] Field Museum Nat Hist, Chicago, IL 60605 USA; [Hoppe, Peter; Huth, Joachim; Leitner, Jan] Max Planck Inst Chem, D-55128 Mainz, Germany; [Kearsley, Anton] Nat Hist Museum, London SW7 5BD, England; [King, Ashley J.] Univ Chicago, Chicago, IL 60637 USA; [King, Ashley J.] Field Museum Nat Hist, Robert A Pritzker Ctr Meteorit &amp; Polar Studies, Chicago, IL 60605 USA; [Lai, Barry; Sutton, Steven] Argonne Natl Lab, Adv Photon Source, Chicago, IL USA; [Lemelle, Laurence] Ecole Normale Super Lyon, F-69364 Lyon, France; [Leroux, Hugues] Univ Lille 1, Lille, France; [Nittler, Larry R.] Carnegie Inst Sci, Washington, DC USA; [Ogliore, Ryan] Univ Hawaii Manoa, Honolulu, HI 96822 USA; [Sandford, Scott A.] NASA, Ames Res Ctr, Moffett Field, CA 94035 USA; [Schoonjans, Tom; Silversmit, Geert; Vekemans, Bart; Vincze, Laszlo] Univ Ghent, B-9000 Ghent, Belgium; [Srama, Ralf] Univ Stuttgart, IRS, D-70174 Stuttgart, Germany; [Tsou, Peter] CALTECH, Jet Prop Lab, Pasadena, CA USA; [Tsuchiyama, Akira] Osaka Univ, Osaka, Japan</t>
  </si>
  <si>
    <t>University of California System; University of California Berkeley; United States Department of Energy (DOE); Lawrence Berkeley National Laboratory; Goethe University Frankfurt; State University of New York (SUNY) System; SUNY Plattsburgh; National Aeronautics &amp; Space Administration (NASA); NASA Johnson Space Center; Ruprecht Karls University Heidelberg; Communaute Universite Grenoble Alpes; Universite Grenoble Alpes (UGA); Centre National de la Recherche Scientifique (CNRS); Institut de Recherche pour le Developpement (IRD); Universite Gustave-Eiffel; Universite Savoie Mont Blanc; University of Stuttgart; Braunschweig University of Technology; United States Department of Defense; United States Navy; Naval Research Laboratory; National Aeronautics &amp; Space Administration (NASA); NASA Johnson Space Center; Field Museum of Natural History (Chicago); Helmholtz Association; Deutsches Elektronen-Synchrotron (DESY); United States Department of Defense; United States Navy; Naval Research Laboratory; Universite Paris Saclay; University of Leicester; University of Washington; University of Washington Seattle; University of Kent; European Synchrotron Radiation Facility (ESRF); George Washington University; University of Chicago; Washington University (WUSTL); Max Planck Society; Field Museum of Natural History (Chicago); Max Planck Society; Natural History Museum London; University of Chicago; Field Museum of Natural History (Chicago); United States Department of Energy (DOE); Argonne National Laboratory; Ecole Normale Superieure de Lyon (ENS de LYON); Universite de Lille; Carnegie Institution for Science; University of Hawaii System; University of Hawaii Manoa; National Aeronautics &amp; Space Administration (NASA); NASA Ames Research Center; Ghent University; University of Stuttgart; California Institute of Technology; National Aeronautics &amp; Space Administration (NASA); NASA Jet Propulsion Laboratory (JPL); Osaka University</t>
  </si>
  <si>
    <t>Westphal, AJ (corresponding author), Univ Calif Berkeley, Space Sci Lab, Berkeley, CA 94720 USA.</t>
  </si>
  <si>
    <t>westphal@ssl.berkeley.edu</t>
  </si>
  <si>
    <t>Simionovici, Alexandre S/E-5867-2018; Cloetens, Peter/AAJ-6131-2020; Stroud, Rhonda/GQZ-0151-2022; Bajt, Sasa/G-2228-2010; Stroud, Rhonda M/S-4584-2018; Stroud, Rhonda M./C-5503-2008; Anderson, David/ABC-6011-2021; Vincze, Laszlo/AAP-3914-2020; Stephan, Thomas/C-1023-2008; Heck, Philipp R/AAU-1433-2021; Bechtel, Hans A/I-1883-2014; Postberg, Frank/AAE-6295-2019; Schoonjans, Tom/F-5789-2011; Heck, Philipp R/JHU-4921-2023; Hoppe, Peter/B-3032-2015; Tresserras, Juan Angel Sans/T-8693-2019; Leroux, Hugues/S-4570-2017; Leitner, Jan/A-7391-2015; Sterken, Veerle/F-3371-2013; Sans Tresserras, Juan Angel/J-9362-2014</t>
  </si>
  <si>
    <t>Cloetens, Peter/0000-0002-4129-9091; Stroud, Rhonda/0000-0001-5242-8015; Bajt, Sasa/0000-0002-7163-7602; Stroud, Rhonda M/0000-0001-5242-8015; Stephan, Thomas/0000-0001-6377-8731; Heck, Philipp R/0000-0002-6319-2594; Postberg, Frank/0000-0002-5862-4276; Heck, Philipp R/0000-0002-6319-2594; Hoppe, Peter/0000-0003-3681-050X; Sole, Vicente Armando/0000-0003-1107-9730; Brenker, Frank Erich/0000-0002-9735-8206; Leroux, Hugues/0000-0002-8806-8434; Leitner, Jan/0000-0003-3655-6273; Sterken, Veerle/0000-0003-0843-7912; Silversmit, Geert/0000-0003-1104-1839; Zolensky, Michael/0000-0002-3181-1303; Schoonjans, Tom/0000-0002-3919-3546; Burchell, Mark/0000-0002-2680-8943; Butterworth, Anna/0000-0002-6439-1472; Leonard, Ariel/0000-0001-9343-530X; Sans Tresserras, Juan Angel/0000-0001-9047-3992; Frank, David/0000-0002-3246-4841</t>
  </si>
  <si>
    <t>Science and Technology Facilities Council [ST/K001000/1, ST/K000888/1] Funding Source: researchfish; Grants-in-Aid for Scientific Research [25108003] Funding Source: KAKEN; STFC [ST/K001000/1, ST/K000888/1] Funding Source: UKRI</t>
  </si>
  <si>
    <t>Science and Technology Facilities Council(UK Research &amp; Innovation (UKRI)Science &amp; Technology Facilities Council (STFC)); Grants-in-Aid for Scientific Research(Ministry of Education, Culture, Sports, Science and Technology, Japan (MEXT)Japan Society for the Promotion of ScienceGrants-in-Aid for Scientific Research (KAKENHI)); STFC(UK Research &amp; Innovation (UKRI)Science &amp; Technology Facilities Council (STFC))</t>
  </si>
  <si>
    <t>10.1111/maps.12221</t>
  </si>
  <si>
    <t>AQ6HT</t>
  </si>
  <si>
    <t>WOS:000342912100012</t>
  </si>
  <si>
    <t>Polanowski, AM; Robbins, J; Chandler, D; Jarman, SN</t>
  </si>
  <si>
    <t>Polanowski, Andrea M.; Robbins, Jooke; Chandler, David; Jarman, Simon N.</t>
  </si>
  <si>
    <t>Epigenetic estimation of age in humpback whales</t>
  </si>
  <si>
    <t>MOLECULAR ECOLOGY RESOURCES</t>
  </si>
  <si>
    <t>age; cetacean; DNA methylation; epigenetics; population</t>
  </si>
  <si>
    <t>DNA METHYLATION; QUALITY-CONTROL; HUMAN TISSUES; PROFILES; VALIDATION; GROWTH; GENE</t>
  </si>
  <si>
    <t>Age is a fundamental aspect of animal ecology, but is difficult to determine in many species. Humpback whales exemplify this as they have a lifespan comparable to humans, mature sexually as early as 4 years and have no reliable visual age indicators after their first year. Current methods for estimating humpback age cannot be applied to all individuals and populations. Assays for human age have recently been developed based on age-induced changes in DNA methylation of specific genes. We used information on age-associated DNA methylation in human and mouse genes to identify homologous gene regions in humpbacks. Humpback skin samples were obtained from individuals with a known year of birth and employed to calibrate relationships between cytosine methylation and age. Seven of 37 cytosines assayed for methylation level in humpback skin had significant age-related profiles. The three most age-informative cytosine markers were selected for a humpback epigenetic age assay. The assay has an R-2 of 0.787 (P = 3.04e-16) and predicts age from skin samples with a standard deviation of 2.991 years. The epigenetic method correctly determined which of parent-offspring pairs is the parent in more than 93% of cases. To demonstrate the potential of this technique, we constructed the first modern age profile of humpback whales off eastern Australia and compared the results to population structure 5 decades earlier. This is the first epigenetic age estimation method for a wild animal species and the approach we took for developing it can be applied to many other non-model organisms.</t>
  </si>
  <si>
    <t>[Polanowski, Andrea M.; Jarman, Simon N.] Australian Antarctic Div, Kingston, Tas 7050, Australia; [Robbins, Jooke] Ctr Coastal Studies, Provincetown, MA 02657 USA; [Chandler, David] Australian Genome Res Facil, Perth, WA 6000, Australia</t>
  </si>
  <si>
    <t>Australian Antarctic Division</t>
  </si>
  <si>
    <t>Jarman, SN (corresponding author), Australian Antarctic Div, 203 Channel Highway, Kingston, Tas 7050, Australia.</t>
  </si>
  <si>
    <t>simon.jarman@aad.gov.au</t>
  </si>
  <si>
    <t>; Jarman, Simon/H-9265-2016</t>
  </si>
  <si>
    <t>Robbins, Jooke/0000-0002-6382-722X; Polanowski, Andrea/0000-0002-9612-220X; Jarman, Simon/0000-0002-0792-9686</t>
  </si>
  <si>
    <t>Australian Antarctic Science grant [4014]; Princess Melikoff Trust Marine Mammal Conservation Program of the Tasmanian DPIPWE</t>
  </si>
  <si>
    <t>Australian Antarctic Science grant; Princess Melikoff Trust Marine Mammal Conservation Program of the Tasmanian DPIPWE</t>
  </si>
  <si>
    <t>This work was funded by Australian Antarctic Science grant 4014. We thank Bruce Deagle, Mark Bravington, Bill De La Mare, Nick Gales, Peter Jarman, Phillip Zeigler and two anonymous referees for comments that improved the manuscript. David Mattila, Scott Landry, Christine McMillan, Amy Kennedy and Jennifer Tackaberry assisted with sample collection in the Gulf of Maine. Dave Paton, Sarah Laverick and Simon Childerhouse helped collect samples from near Evans Head. Curt Jenner provided samples from Exmouth. Sperm whale samples and age estimates were provided by Rachael Alderman and Kris Carlyon and this work was supported by the Princess Melikoff Trust Marine Mammal Conservation Program of the Tasmanian DPIPWE.</t>
  </si>
  <si>
    <t>1755-098X</t>
  </si>
  <si>
    <t>1755-0998</t>
  </si>
  <si>
    <t>MOL ECOL RESOUR</t>
  </si>
  <si>
    <t>Mol. Ecol. Resour.</t>
  </si>
  <si>
    <t>10.1111/1755-0998.12247</t>
  </si>
  <si>
    <t>Biochemistry &amp; Molecular Biology; Ecology; Evolutionary Biology</t>
  </si>
  <si>
    <t>Biochemistry &amp; Molecular Biology; Environmental Sciences &amp; Ecology; Evolutionary Biology</t>
  </si>
  <si>
    <t>AN2OL</t>
  </si>
  <si>
    <t>WOS:000340425100009</t>
  </si>
  <si>
    <t>Golledge, NR; Menviel, L; Carter, L; Fogwill, CJ; England, MH; Cortese, G; Levy, RH</t>
  </si>
  <si>
    <t>Golledge, N. R.; Menviel, L.; Carter, L.; Fogwill, C. J.; England, M. H.; Cortese, G.; Levy, R. H.</t>
  </si>
  <si>
    <t>Antarctic contribution to meltwater pulse 1A from reduced Southern Ocean overturning</t>
  </si>
  <si>
    <t>MARINE-ICE-SHEET; SEA-LEVEL RISE; EAST ANTARCTICA; MODEL; COLLAPSE; DOME; DEGLACIATION; THICKNESS; EARTH; FLOW</t>
  </si>
  <si>
    <t>During the last glacial termination, the upwelling strength of the southern polar limb of the Atlantic Meridional Overturning Circulation varied, changing the ventilation and stratification of the high-latitude Southern Ocean. During the same period, at least two phases of abrupt global sea-level rise-meltwater pulses-took place. Although the timing and magnitude of these events have become better constrained, a causal link between ocean stratification, the meltwater pulses and accelerated ice loss from Antarctica has not been proven. Here we simulate Antarctic ice sheet evolution over the last 25 kyr using a data-constrained ice-sheet model forced by changes in Southern Ocean temperature from an Earth system model. Results reveal several episodes of accelerated ice-sheet recession, the largest being coincident with meltwater pulse 1A. This resulted from reduced Southern Ocean overturning following Heinrich Event 1, when warmer subsurface water thermally eroded grounded marine-based ice and instigated a positive feedback that further accelerated ice-sheet retreat.</t>
  </si>
  <si>
    <t>[Golledge, N. R.; Carter, L.] Victoria Univ Wellington, Antarctic Res Ctr, Wellington 6140, New Zealand; [Golledge, N. R.; Cortese, G.; Levy, R. H.] GNS Sci, Avalon, Lower Hutt 5011, New Zealand; [Menviel, L.; Fogwill, C. J.; England, M. H.] Univ New S Wales, Climate Change Res Ctr, Sydney, NSW 2052, Australia; [Menviel, L.; England, M. H.] ARC Ctr Excellence Climate Syst Sci, Sydney, NSW 2052, Australia</t>
  </si>
  <si>
    <t>Victoria University Wellington; GNS Science - New Zealand; University of New South Wales Sydney; ARC Centre of Excellence for Climate System Science</t>
  </si>
  <si>
    <t>Golledge, NR (corresponding author), Victoria Univ Wellington, Antarctic Res Ctr, Wellington 6140, New Zealand.</t>
  </si>
  <si>
    <t>nick.golledge@vuw.ac.nz</t>
  </si>
  <si>
    <t>Menviel, Laurie/O-7833-2019; England, Matthew/A-7539-2011; Levy, Richard H/E-2477-2011; Fogwill, Chris/AAW-3502-2021; Fogwill, Christopher/HPF-1150-2023; Menviel, Laurie/D-6902-2013</t>
  </si>
  <si>
    <t>England, Matthew/0000-0001-9696-2930; Fogwill, Chris/0000-0002-6471-1106; Cortese, Giuseppe/0000-0003-1780-3371; Golledge, Nicholas/0000-0001-7676-8970; Menviel, Laurie/0000-0002-5068-1591; Levy, Richard/0000-0002-8783-0167</t>
  </si>
  <si>
    <t>Kevin Buckley; Victoria University high-performance compute cluster; PISM group at the University of Alaska, Fairbanks; Antarctic Research Centre; Victoria University of Wellington; ANDRILL; GNS Science; Australian Research Council (ARC) including the ARC Centre of Excellence in Climate System Science; Merit Allocation Scheme on the NCI National Facility at the Australian National University, Canberra</t>
  </si>
  <si>
    <t>Kevin Buckley; Victoria University high-performance compute cluster; PISM group at the University of Alaska, Fairbanks; Antarctic Research Centre; Victoria University of Wellington; ANDRILL; GNS Science; Australian Research Council (ARC) including the ARC Centre of Excellence in Climate System Science(Australian Research Council); Merit Allocation Scheme on the NCI National Facility at the Australian National University, Canberra</t>
  </si>
  <si>
    <t>N.R.G. gratefully acknowledges ongoing support from Kevin Buckley and the Victoria University high-performance compute cluster, and the PISM group at the University of Alaska, Fairbanks. George Denton is thanked for useful discussions. This work was supported by the Antarctic Research Centre, Victoria University of Wellington, ANDRILL, GNS Science, the Australian Research Council (ARC) including the ARC Centre of Excellence in Climate System Science, and an award under the Merit Allocation Scheme on the NCI National Facility at the Australian National University, Canberra.</t>
  </si>
  <si>
    <t>10.1038/ncomms6107</t>
  </si>
  <si>
    <t>AQ7WQ</t>
  </si>
  <si>
    <t>Bronze, Green Submitted, Green Published</t>
  </si>
  <si>
    <t>WOS:000343030300001</t>
  </si>
  <si>
    <t>Greenop, R; Foster, GL; Wilson, PA; Lear, CH</t>
  </si>
  <si>
    <t>Greenop, Rosanna; Foster, Gavin L.; Wilson, Paul A.; Lear, Caroline H.</t>
  </si>
  <si>
    <t>Middle Miocene climate instability associated with high-amplitude CO2 variability</t>
  </si>
  <si>
    <t>PALEOCEANOGRAPHY</t>
  </si>
  <si>
    <t>boron isotopes; middle Miocene; CO2; climate change</t>
  </si>
  <si>
    <t>ANTARCTIC ICE-SHEET; BORON ISOTOPIC COMPOSITION; CARBON-DIOXIDE; PLANKTONIC-FORAMINIFERA; SEAWATER PH; LONG-TERM; SEA-LEVEL; EVOLUTION; RECORD; TEMPERATURE</t>
  </si>
  <si>
    <t>The amplitude of climatic change, as recorded in the benthic oxygen isotope record, has varied throughout geological time. During the late Pleistocene, changes in the atmospheric concentration of carbon dioxide (CO2) are an important control on this amplitude of variability. The contribution of CO2 to climate variability during the pre-Quaternary however is unknown. Here we present a new boron isotope-based CO2 record for the transition into the middle Miocene Climatic Optimum (MCO) between 15.5 and 17Myr that shows pronounced variability between 300ppm and 500ppm on a roughly 100kyr time scale during the MCO. The CO2 changes reconstructed for the Miocene are similar to 2 times larger in absolute terms (300 to 500ppm compared to 180 to 280ppm) than those associated with the late Pleistocene and similar to 15% larger in terms of climate forcing. In contrast, however, variability in the contemporaneous benthic oxygen isotope record (at similar to 1) is approximately two thirds the amplitude of that seen during the late Pleistocene. These observations indicate a lower overall sensitivity to CO2 forcing for Miocene (Antarctic only) ice sheets than their late Pleistocene (Antarctic plus lower latitude northern hemisphere) counterparts. When our Miocene CO2 record is compared to the estimated changes in contemporaneous O-18(sw) (ice volume), they point to the existence of two reservoirs of ice on Antarctica. One of these reservoirs appears stable, while a second reservoir shows a level of dynamism that contradicts the results of coupled climate-ice sheet model experiments given the CO2 concentrations that we reconstruct.</t>
  </si>
  <si>
    <t>[Greenop, Rosanna; Foster, Gavin L.; Wilson, Paul A.] Univ Southampton, Natl Oceanog Ctr, Southampton, Hants, England; [Lear, Caroline H.] Cardiff Univ, Sch Earth &amp; Ocean Sci, Cardiff CF10 3AX, S Glam, Wales</t>
  </si>
  <si>
    <t>NERC National Oceanography Centre; University of Southampton; Cardiff University</t>
  </si>
  <si>
    <t>Greenop, R (corresponding author), Univ Southampton, Natl Oceanog Ctr, Southampton, Hants, England.</t>
  </si>
  <si>
    <t>r.greenop@noc.soton.ac.uk</t>
  </si>
  <si>
    <t>Foster, Gavin/CAF-4654-2022; Lear, Caroline H/D-2582-2009; Foster, Gavin/W-5968-2019</t>
  </si>
  <si>
    <t>Foster, Gavin/0000-0003-3688-9668; Lear, Caroline/0000-0002-7533-4430; Wilson, Paul/0000-0001-6425-8906</t>
  </si>
  <si>
    <t>U.S. National Science Foundation; NERC [NE/I006176/1, NE/I006427/1, NE/I006168/1]; NERC [NE/I006427/1, NE/I006168/1, NE/K014137/1, NE/I006176/1] Funding Source: UKRI; Natural Environment Research Council [NE/I006176/1, NE/K014137/1, NE/I006168/1, NE/I006427/1] Funding Source: researchfish</t>
  </si>
  <si>
    <t>U.S. National Science Foundation(National Science Foundation (NSF));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</si>
  <si>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used samples provided by (I) ODP, which is sponsored by the U.S. National Science Foundation and participating countries under the management of Joint Oceanographic Institutions, Inc. We thank W. Hale and A. Wuelbers of the Bremen Core Repository for their kind assistance. The work was supported by NERC grants NE/I006176/1 (G.L.F. and C.H.L.), NE/I006427/1 (C.H.L), and NE/I006168/1 (P. A. W) and a NERC studentship (R. G). Matthew Cooper, J. Andy Milton, and the B-team are acknowledged for their assistance in the laboratory, and Steve Bohaty, Heiko Palike, Diederik Liebrand, Wendy Kordesch, and Thomas Chalk are thanked for their helpful suggestions and comments. Reviews from Jimin Yu and two anonymous reviewers also greatly improved this manuscript. The data are available at Paleoceanography as a supplement.</t>
  </si>
  <si>
    <t>0883-8305</t>
  </si>
  <si>
    <t>1944-9186</t>
  </si>
  <si>
    <t>Paleoceanography</t>
  </si>
  <si>
    <t>10.1002/2014PA002653</t>
  </si>
  <si>
    <t>Geosciences, Multidisciplinary; Oceanography; Paleontology</t>
  </si>
  <si>
    <t>Geology; Oceanography; Paleontology</t>
  </si>
  <si>
    <t>AR9EP</t>
  </si>
  <si>
    <t>Green Accepted, hybrid</t>
  </si>
  <si>
    <t>WOS:000343875500002</t>
  </si>
  <si>
    <t>Guidetti, R; Rebecchi, L; Cesari, M; McInnes, SJ</t>
  </si>
  <si>
    <t>Guidetti, Roberto; Rebecchi, Lorena; Cesari, Michele; McInnes, Sandra J.</t>
  </si>
  <si>
    <t>Mopsechiniscus franciscae, a new species of a rare genus of Tardigrada from continental Antarctica</t>
  </si>
  <si>
    <t>Echiniscidae; Echiniscoidea; Gondwanan; Heterotardigrada; Phylogeny; Victoria Land</t>
  </si>
  <si>
    <t>ECHINISCUS TARDIGRADA; MOLECULAR PHYLOGENY; LAND; ANHYDROBIOSIS; EUTARDIGRADA; CONGRUENCE; DIPHASCON; TAXA</t>
  </si>
  <si>
    <t>Despite the importance and regular occurrence of tardigrades in the Antarctic terrestrial ecosystem, taxonomic studies of, in particular, continental Antarctica species have advanced very slowly. During a large survey to study tardigrade biodiversity along the Victoria Land coastal line, a new species was found belonging to the rare heterotardigrade genus Mopsechiniscus. The new species Mopsechiniscus franciscae is described using an integrative taxonomy approach, combining morphological description (with light and electron microscopy techniques) and molecular characterisation (analysing portions of the 18S and 28S genes). The new species differed from other congeners by clear morphological characters related to shape and sculpture of cuticular plates, presence of papillae on legs, and length and number of body filaments. The results of the combined (18S + 28S) phylogenetic analyses (Bayesian and maximum likelihood) on Echiniscoidea indicate two main lineages: one incorporating the genus Echiniscoides (Echiniscoididae) and the other the current data on Echiniscidae and Oreellidae genera. Although the resolution of relationships within the latter line is not clear, there is a well-defined evolutionary line for Mopsechiniscus. The addition of continental Antarctic M. franciscae sp. nov. to the genus broadened the distributional range of Mopsechiniscus southwards and supported the hypothesis that the genus represents a Gondwanan faunal element. Our report of a new Antarctic species, belonging to this rare heterotardigrade genus, increases our knowledge of the underreported terrestrial meiofaunal communities within continental Antarctica.</t>
  </si>
  <si>
    <t>[Guidetti, Roberto; Rebecchi, Lorena; Cesari, Michele] Univ Modena &amp; Reggio Emilia, Dept Life Sci, I-41125 Modena, Italy; [McInnes, Sandra J.] British Antarctic Survey, Nat Environm Res Council, Cambridge CB3 0ET, England</t>
  </si>
  <si>
    <t>Universita di Modena e Reggio Emilia; UK Research &amp; Innovation (UKRI); Natural Environment Research Council (NERC); NERC British Antarctic Survey</t>
  </si>
  <si>
    <t>Guidetti, R (corresponding author), Univ Modena &amp; Reggio Emilia, Dept Life Sci, Via Campi 213-D, I-41125 Modena, Italy.</t>
  </si>
  <si>
    <t>roberto.guidetti@unimore.it</t>
  </si>
  <si>
    <t>McInnes, Sandra/AAN-4773-2020; Cesari, Michele/AAS-4964-2020; Rebecchi, Lorena/E-1653-2015; Guidetti, Roberto/H-2855-2012</t>
  </si>
  <si>
    <t>McInnes, Sandra/0000-0003-3403-9379; Cesari, Michele/0000-0001-8857-3791; Rebecchi, Lorena/0000-0001-5610-806X; Guidetti, Roberto/0000-0001-6079-2538</t>
  </si>
  <si>
    <t>Programma Nazionale Ricerche in Antartide-Ministero dell'Istruzione dell'Universita e della Ricerca; NERC [bas0100025] Funding Source: UKRI; Natural Environment Research Council [bas0100025] Funding Source: researchfish</t>
  </si>
  <si>
    <t>Programma Nazionale Ricerche in Antartide-Ministero dell'Istruzione dell'Universita e della Ricerca; NERC(UK Research &amp; Innovation (UKRI)Natural Environment Research Council (NERC)); Natural Environment Research Council(UK Research &amp; Innovation (UKRI)Natural Environment Research Council (NERC))</t>
  </si>
  <si>
    <t>The authors thank the Laboratory of Sequencing (Labgen), Department of Life Sciences, University of Modena and Reggio Emilia (Italy), for the sequencing service and the anonymous reviewers for their suggestions. The research is part of the project Adaptive strategies to maintain biodiversity: cryptobiosis and thermotolerance in Antarctic tardigrades'', supported by Programma Nazionale Ricerche in Antartide-Ministero dell'Istruzione dell'Universita e della Ricerca.</t>
  </si>
  <si>
    <t>10.1007/s00300-014-1514-x</t>
  </si>
  <si>
    <t>AM5JK</t>
  </si>
  <si>
    <t>WOS:000339893400001</t>
  </si>
  <si>
    <t>Rey, AR; Rosciano, N; Liljesthröm, M; Samaniego, RS; Schiavini, A</t>
  </si>
  <si>
    <t>Raya Rey, Andrea; Rosciano, Natalia; Liljesthroem, Marcela; Saenz Samaniego, Ricardo; Schiavini, Adrian</t>
  </si>
  <si>
    <t>Species-specific population trends detected for penguins, gulls and cormorants over 20 years in sub-Antarctic Fuegian Archipelago</t>
  </si>
  <si>
    <t>Dolphin Gull; Kelp Gull; Imperial Cormorant; Rock Cormorant; Magellanic Penguin; Gentoo Penguin; Southern Rockhopper Penguin; Population trends; Sub-Antarctic; Climate; Tourism</t>
  </si>
  <si>
    <t>TIERRA-DEL-FUEGO; EUDYPTES-CHRYSOCOME-CHRYSOCOME; GOLFO SAN JORGE; PYGOSCELIS-PAPUA; SPHENISCUS-MAGELLANICUS; ROCKHOPPER PENGUIN; NORTHERN PATAGONIA; GENTOO PENGUIN; BEAGLE CHANNEL; STATEN-ISLAND</t>
  </si>
  <si>
    <t>Understanding the dynamics and causes of population trends are essential for seabird conservation. Long-term studies of seabirds at high-latitude (Antarctic, sub-Antarctic and Arctic) regions have shown contrasting species-specific trends in population size in response to climate change and anthropogenic pressures. We have studied for the last 20 years (1992-2012) the population trends of seven seabird species that breed in the Beagle Channel, south-eastern Tierra del Fuego and at Staten Island, a sub-Antarctic region in southern Argentina. The numbers of Magellanic and Gentoo Penguins increased significantly since 1992 (by &gt; 15 % year(-1)). In comparison, the populations of Imperial Cormorants, Dolphin Gulls and Kelp Gulls increased at slower rates (&lt; 5 % year(-1)), while the Rock Cormorant population even decreased by 1.3 % year(-1). At Staten Island, the numbers of Rockhopper Penguins decreased by 24 % between the censuses of 1998 and 2010, whereas the population of Magellanic Penguins increased by 227 % during the same period. Over the study period, air and sea-surface temperatures remained stable in our study area, suggesting that the detected population changes are not driven by the climate. This finding contrasts with the detected links between increasing temperature trends and seabird population changes reported from Antarctic and Arctic regions. The level of tourism and size of the permanent human population has increased in the Beagle Channel area during the last 20 years and could be responsible for the increase of gull populations. The seabird species that received the highest number of visitors (Imperial Cormorants and penguin species) seem to be adapted or at least indifferent to pressures exerted by tourism, as their populations increased during the study period. In addition, increasing numbers of seabirds in the area may generally be leading to higher abundances of scavenging species (e.g. gulls).</t>
  </si>
  <si>
    <t>[Raya Rey, Andrea; Rosciano, Natalia; Liljesthroem, Marcela; Saenz Samaniego, Ricardo; Schiavini, Adrian] Consejo Nacl Invest Cient &amp; Tecn, Ctr Austral Invest Cient, RA-9410 Ushuaia, Tierra Del Fueg, Argentina; [Schiavini, Adrian] Wildlife Conservat Soc, Bronx, NY 10460 USA</t>
  </si>
  <si>
    <t>Consejo Nacional de Investigaciones Cientificas y Tecnicas (CONICET); Wildlife Conservation Society</t>
  </si>
  <si>
    <t>Rey, AR (corresponding author), Consejo Nacl Invest Cient &amp; Tecn, Ctr Austral Invest Cient, Houssay 200, RA-9410 Ushuaia, Tierra Del Fueg, Argentina.</t>
  </si>
  <si>
    <t>arayarey@cadic-conicet.gob.ar</t>
  </si>
  <si>
    <t>Rosciano, Natalia/Z-5302-2019</t>
  </si>
  <si>
    <t>Rosciano, Natalia/0000-0002-6341-3086; Raya Rey, Andrea/0000-0003-0127-6650; Schiavini, Adrian Carlos Miguel/0000-0001-6621-4827</t>
  </si>
  <si>
    <t>Consejo Nacional de Investigaciones Cientificas y Tecnicas de la Republica Argentina; Wildlife Conservation Society</t>
  </si>
  <si>
    <t>Consejo Nacional de Investigaciones Cientificas y Tecnicas de la Republica Argentina(Consejo Nacional de Investigaciones Cientificas y Tecnicas (CONICET)); Wildlife Conservation Society</t>
  </si>
  <si>
    <t>Research was funded by the Consejo Nacional de Investigaciones Cientificas y Tecnicas de la Republica Argentina and the Wildlife Conservation Society. We would like to thank the Centro Austral de Investigaciones Cientificas (CADIC-CONICET) for institutional support. We also would like to thank G. Scioscia, M. Ghys, N. Dellabianca, S. Harris and several collaborators for their assistance during the surveys. M. Perez from CADIC, Andres, Jorge and Alejandro Greco from Piratour S. A, and Omar and Luis from Nautilus S. A. provided safe transportation to the islands and S Harris for language editing. We thank Arco Van Strien and Ana Millones for statistical support with TRIM. We are very grateful with two anonymous reviewers and in particular with D Piepenburg and H Otley for language edits and many suggestions that improved to a great extent the first version of the manuscript.</t>
  </si>
  <si>
    <t>10.1007/s00300-014-1526-6</t>
  </si>
  <si>
    <t>WOS:000339893400011</t>
  </si>
  <si>
    <t>Tsujimoto, M; McInnes, SJ; Convey, P; Imura, S</t>
  </si>
  <si>
    <t>Tsujimoto, Megumu; McInnes, Sandra J.; Convey, Peter; Imura, Satoshi</t>
  </si>
  <si>
    <t>Preliminary description of tardigrade species diversity and distribution pattern around coastal Syowa Station and inland Sor Rondane Mountains, Dronning Maud Land, East Antarctica</t>
  </si>
  <si>
    <t>Tardigrades; Antarctica; Species diversity; Distribution pattern; Freshwater lakes; Mosses</t>
  </si>
  <si>
    <t>MOSS PILLARS; NEMATODES; ROTIFERS; LAKE; MICROFAUNA; NUNATAKS; BIOLOGY; ISLANDS</t>
  </si>
  <si>
    <t>Tardigrades are important members of the simple terrestrial ecosystems in the extreme environments in Antarctica. This study provides a baseline description of tardigrade species diversity and distribution pattern within the terrestrial and lake environments of the coastal regions around Syowa Station and the neighbouring inland Sor Rondane Mountains, Dronning Maud Land. We combined data obtained from new and previously described collections and updated data available in the existing literature. We recorded five tardigrade species, three of which (Echiniscus pseudowendti Dastych 1984, Hebesuncus ryani Dastych and Harris 1994, Pseudechiniscus sp.) have not previously been reported from the area, increasing the total recorded tardigrade diversity for this region of continental Antarctica to ten species. The results of our study indicate that tardigrades have been and are major components of the lake environment community in continental Antarctica, with Acutuncus antarcticus (Richters 1904) the most common and dominant species. Our data confirm that the tardigrade species diversity in the vicinity of Syowa Station is very low and suggest potential relationships between individual tardigrade species and terrestrial moss species and depth in freshwater ecosystems.</t>
  </si>
  <si>
    <t>[Tsujimoto, Megumu; Imura, Satoshi] Natl Inst Polar Res, Tachikawa, Tokyo 1908518, Japan; [McInnes, Sandra J.; Convey, Peter] British Antarctic Survey, Nat Environm Res Council, Cambridge CB3 0ET, England; [Convey, Peter] Univ Canterbury, Gateway Antarctica, Christchurch 8140, New Zealand; [Imura, Satoshi] Grad Univ Adv Studies SOKENDAI, Tachikawa, Tokyo 1908518, Japan</t>
  </si>
  <si>
    <t>Research Organization of Information &amp; Systems (ROIS); National Institute of Polar Research (NIPR) - Japan; UK Research &amp; Innovation (UKRI); Natural Environment Research Council (NERC); NERC British Antarctic Survey; University of Canterbury; Graduate University for Advanced Studies - Japan</t>
  </si>
  <si>
    <t>Tsujimoto, M (corresponding author), Natl Inst Polar Res, 10-3 Midori Cho, Tachikawa, Tokyo 1908518, Japan.</t>
  </si>
  <si>
    <t>tsujimoto@nipr.ac.jp</t>
  </si>
  <si>
    <t>Tsujimoto, Megumu/JCE-5500-2023; Convey, Peter/AAV-5728-2020; McInnes, Sandra/AAN-4773-2020</t>
  </si>
  <si>
    <t>Tsujimoto, Megumu/0000-0001-5160-6086; Convey, Peter/0000-0001-8497-9903; McInnes, Sandra/0000-0003-3403-9379</t>
  </si>
  <si>
    <t>Graduate University for Advanced Studies (SOKENDAI); Japan Society for the Promotion of Science [23247012]; NERC; NERC [bas0100025] Funding Source: UKRI; Natural Environment Research Council [bas0100025] Funding Source: researchfish; Grants-in-Aid for Scientific Research [23247012] Funding Source: KAKEN</t>
  </si>
  <si>
    <t>Graduate University for Advanced Studies (SOKENDAI)(Graduate University for Advanced Studies - Japan); Japan Society for the Promotion of Science(Ministry of Education, Culture, Sports, Science and Technology, Japan (MEXT)Japan Society for the Promotion of Science); NERC(UK Research &amp; Innovation (UKRI)Natural Environment Research Council (NERC));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</si>
  <si>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the JARE 49 biology members and JARE 53 meteorite members for the assistance in sample collections. Dr. Wataru Abe kindly provided instruction to MT on fixation and mounting tardigrades. Two anonymous reviewers provided helpful comments and suggestions on the manuscript. This study was supported by The Graduate University for Advanced Studies (SOKENDAI) and grant-in-aid for Scientific Research No. 23247012 of SI from the Japan Society for the Promotion of Science. Part of this study was conducted under a Scientific Committee on Antarctic Research (SCAR) Fellowship 2012-13 to MT and held at the British Antarctic Survey (BAS). PC is supported by core funding from NERC to the BAS 'Ecosystems' programme. This paper also contributes to the SCAR AntEco research programme.</t>
  </si>
  <si>
    <t>10.1007/s00300-014-1516-8</t>
  </si>
  <si>
    <t>WOS:000339893400012</t>
  </si>
  <si>
    <t>Burton, AS; Grunsfeld, S; Elsila, JE; Glavin, DP; Dworkin, JP</t>
  </si>
  <si>
    <t>Burton, Aaron S.; Grunsfeld, Sarah; Elsila, Jamie E.; Glavin, Daniel P.; Dworkin, Jason P.</t>
  </si>
  <si>
    <t>The effects of parent-body hydrothermal heating on amino acid abundances in CI-like chondrites</t>
  </si>
  <si>
    <t>Meteorite; Amino acid; CI chondrite; Aqueous alteration; Thermal metamorphism</t>
  </si>
  <si>
    <t>CARBONACEOUS CHONDRITES; THERMAL METAMORPHISM; AQUEOUS ALTERATION; MURCHISON; METEORITE; STABILITY; CM; DECARBOXYLATION; NUCLEOBASES; MINERALOGY</t>
  </si>
  <si>
    <t>We determined the amino acid abundances and enantiomeric compositions of the Antarctic CI1 carbonaceous chondrites Yamato (Y)-86029 and Y-980115, as well as the Ivuna and Orgueil CI1 carbonaceous chondrites by liquid chromatography with fluorescence detection and time-of-flight mass spectrometry. Y-86029 and Y-980115 both show evidence of parent-body heating (500-600 degrees C) in addition to aqueous alteration, while Ivuna and Orgueil only show evidence for aqueous alteration. In contrast to Ivuna and Orgueil, which each contain similar to 70 nmol/g of amino acids in acid-hydrolyzed, water extracts, both heated Yamato CI meteorites contain only low levels of amino acids that were primarily L-enantiomers of proteinogenic amino acids, indicating that they are likely to be terrestrial in origin. Because indigenous amino acids have been found in meteorites that have experienced metamorphic temperatures of &gt;1000 degrees C with only minimal aqueous alteration, heating alone is not sufficient to explain the lack of amino acids in Y-86029 and Y-980115. Rather, our data suggest that the combination of heating and aqueous alteration has a profound destructive effect on amino acids in meteorites. This finding has implications for the origins of amino acids and other molecules in the early evolution of our solar system. Published by Elsevier B.V. and NIPR.</t>
  </si>
  <si>
    <t>[Burton, Aaron S.] NASA, Lyndon B Johnson Space Ctr, Houston, TX 77058 USA; [Burton, Aaron S.; Grunsfeld, Sarah; Elsila, Jamie E.; Glavin, Daniel P.; Dworkin, Jason P.] NASA, Goddard Space Flight Ctr, Solar Syst Explorat Div, Greenbelt, MD 20771 USA; [Grunsfeld, Sarah] River Hill High Sch, Clarksville, MD 21029 USA</t>
  </si>
  <si>
    <t>National Aeronautics &amp; Space Administration (NASA); NASA Johnson Space Center; National Aeronautics &amp; Space Administration (NASA); NASA Goddard Space Flight Center</t>
  </si>
  <si>
    <t>Burton, AS (corresponding author), NASA, Lyndon B Johnson Space Ctr, KR,2101 NASA Pkwy, Houston, TX 77058 USA.</t>
  </si>
  <si>
    <t>aaron.s.burton@nasa.gov</t>
  </si>
  <si>
    <t>Dworkin, Jason P./C-9417-2012; Glavin, Daniel P/D-6194-2012; Burton, Aaron/H-2212-2011; Elsila, Jamie/AAM-2654-2020; Elsila, Jamie E/C-9952-2012</t>
  </si>
  <si>
    <t>Dworkin, Jason P./0000-0002-3961-8997; Glavin, Daniel P/0000-0001-7779-7765; Burton, Aaron/0000-0002-1194-4336; Burton, Aaron/0000-0002-7137-1605; Elsila, Jamie/0000-0002-0008-2590</t>
  </si>
  <si>
    <t>National Aeronautics and Space Administration (NASA) Astrobiology Institute, Goddard Center for Astrobiology; NASA Cosmochemistry Program; Simons Foundation (SCOL) [302497]; NASA Postdoctoral Program at the Goddard Space Flight Center; NASA; Gifted and Talented Education Program of the Howard County Public School System</t>
  </si>
  <si>
    <t>National Aeronautics and Space Administration (NASA) Astrobiology Institute, Goddard Center for Astrobiology; NASA Cosmochemistry Program(National Aeronautics &amp; Space Administration (NASA)); Simons Foundation (SCOL); NASA Postdoctoral Program at the Goddard Space Flight Center; NASA(National Aeronautics &amp; Space Administration (NASA)); Gifted and Talented Education Program of the Howard County Public School System</t>
  </si>
  <si>
    <t>We thank the National Institute of Polar Research of Japan for the Yamato meteorite samples, the Natural History Museum of the United Kingdom for the Ivuna sample, and the Musee National of Paris for the sample of Orgueil. J.E.E., D.P.G. and J.P.D. acknowledge funding support from the National Aeronautics and Space Administration (NASA) Astrobiology Institute, the Goddard Center for Astrobiology and the NASA Cosmochemistry Program. This work was also supported in part by a grant from the Simons Foundation (SCOL award 302497 to J.P.D.). A.S.B. acknowledges support from the NASA Postdoctoral Program at the Goddard Space Flight Center, administered by Oak Ridge Associated Universities through a contract with NASA. S.G. acknowledges institutional support through the Gifted and Talented Education Program of the Howard County Public School System.</t>
  </si>
  <si>
    <t>10.1016/j.polar.2014.05.002</t>
  </si>
  <si>
    <t>WOS:000341793800005</t>
  </si>
  <si>
    <t>Hu, Y; Shang, ZH; Ashley, MCB; Bonner, CS; Hu, KL; Liu, Q; Li, YS; Ma, B; Wang, LF; Wen, HK</t>
  </si>
  <si>
    <t>Hu, Yi; Shang, Zhaohui; Ashley, Michael C. B.; Bonner, Colin S.; Hu, Keliang; Liu, Qiang; Li, Yuansheng; Ma, Bin; Wang, Lifan; Wen, Haikun</t>
  </si>
  <si>
    <t>Meteorological Data for the Astronomical Site at Dome A, Antarctica</t>
  </si>
  <si>
    <t>PUBLICATIONS OF THE ASTRONOMICAL SOCIETY OF THE PACIFIC</t>
  </si>
  <si>
    <t>ATMOSPHERIC BOUNDARY-LAYER; SOUTH-POLE; TURBULENCE; PLATEAU</t>
  </si>
  <si>
    <t>We present an analysis of the meteorological data collected at Dome A, Antarctica by the Kunlun Automated Weather Station, including temperatures and wind speeds at eight elevations above the snow surface between 0 m and 14.5 m. The average temperatures at 2 m and 14.5 m are -54 degrees C and -46 degrees C, respectively. We find that a strong temperature inversion existed at all heights for more than 70% of the time, and the temperature inversion typically lasts longer than 25 hr, indicating an extremely stable atmosphere. The temperature gradient is larger at lower elevations than at higher elevations. The average wind speed was 1.5 ms(-1) at 4 m elevation. We find that the temperature inversion is stronger when the wind speed is lower, and the temperature gradient decreases sharply at a specific wind speed for each elevation. The strong temperature inversion and low wind speed result in a shallow and stable boundary layer with weak atmospheric turbulence above it, suggesting that Dome A should be an excellent site for astronomical observations. All the data from the weather station are available for download.</t>
  </si>
  <si>
    <t>[Hu, Yi; Shang, Zhaohui; Hu, Keliang; Liu, Qiang; Ma, Bin] Chinese Acad Sci, Natl Astron Observ, Beijing 100012, Peoples R China; [Shang, Zhaohui] Tianjin Normal Univ, Tianjin Astrophys Ctr, Tianjin 300387, Peoples R China; [Ashley, Michael C. B.; Bonner, Colin S.] Univ New S Wales, Sch Phys, Sydney, NSW 2052, Australia; [Li, Yuansheng] Polar Res Inst China, Shanghai 200136, Peoples R China; [Wang, Lifan] Purple Mt Observ, Nanjing 210008, Jiangsu, Peoples R China; [Wang, Lifan] Texas A&amp;M Univ, Dept Phys, College Stn, TX 77843 USA; [Wen, Haikun] Nanjing Inst Astron Opt &amp; Technol, Nanjing 210042, Jiangsu, Peoples R China</t>
  </si>
  <si>
    <t>Chinese Academy of Sciences; National Astronomical Observatory, CAS; Tianjin Normal University; University of New South Wales Sydney; Polar Research Institute of China; Chinese Academy of Sciences; Nanjing Institute of Astronomical Optics &amp; Technology, NAOC, CAS; Purple Mountain Observatory, CAS; Texas A&amp;M University System; Texas A&amp;M University College Station; Chinese Academy of Sciences; Nanjing Institute of Astronomical Optics &amp; Technology, NAOC, CAS</t>
  </si>
  <si>
    <t>Hu, Y (corresponding author), Chinese Acad Sci, Natl Astron Observ, Beijing 100012, Peoples R China.</t>
  </si>
  <si>
    <t>zshang@gmail.com</t>
  </si>
  <si>
    <t>hu, yi/0000-0003-3317-4771; Ashley, Michael/0000-0003-1412-2028</t>
  </si>
  <si>
    <t>Chinese Polar Environment Comprehensive Investigation &amp; Assessment Programmes [CHINARE2012-02-03]; National Basic Research Program of China (973 Program) [2013CB834900]; National Natural Science Foundation of China [11273019, 11203039]; Commonwealth of Australia under the Australia-China Science and Research Fund; Australian Research Council; Australian Antarctic Division</t>
  </si>
  <si>
    <t>Chinese Polar Environment Comprehensive Investigation &amp; Assessment Programmes; National Basic Research Program of China (973 Program)(National Basic Research Program of China); National Natural Science Foundation of China(National Natural Science Foundation of China (NSFC)); Commonwealth of Australia under the Australia-China Science and Research Fund; Australian Research Council(Australian Research Council); Australian Antarctic Division</t>
  </si>
  <si>
    <t>The authors wish to thank all members of the 27th and 28th Chinese Antarctic Research Expedition teams for their effort in setting up the KL-AWS instruments and servicing the PLATO observatory. This research is supported by the Chinese Polar Environment Comprehensive Investigation &amp; Assessment Programmes under grant No. CHINARE2012-02-03, the National Basic Research Program of China (973 Program 2013CB834900), and the National Natural Science Foundation of China under grant Nos. 11273019 and 11203039. This project is also supported by the Commonwealth of Australia under the Australia-China Science and Research Fund, and by the Australian Research Council and the Australian Antarctic Division.</t>
  </si>
  <si>
    <t>0004-6280</t>
  </si>
  <si>
    <t>1538-3873</t>
  </si>
  <si>
    <t>PUBL ASTRON SOC PAC</t>
  </si>
  <si>
    <t>Publ. Astron. Soc. Pac.</t>
  </si>
  <si>
    <t>10.1086/678327</t>
  </si>
  <si>
    <t>AQ8KC</t>
  </si>
  <si>
    <t>WOS:000343073400007</t>
  </si>
  <si>
    <t>Nyvlt, D; Braucher, R; Engel, Z; Mlcoch, B</t>
  </si>
  <si>
    <t>Nyvlt, Daniel; Braucher, Regis; Engel, Zbynek; Mlcoch, Bedrich</t>
  </si>
  <si>
    <t>ASTER Team</t>
  </si>
  <si>
    <t>Timing of the Northern Prince Gustav Ice Stream retreat and the deglaciation of northern James Ross Island, Antarctic Peninsula during the last glacial-interglacial transition</t>
  </si>
  <si>
    <t>QUATERNARY RESEARCH</t>
  </si>
  <si>
    <t>Northern Prince Gustav Ice Stream; Antarctic Peninsula Ice Sheet; Be-10 exposure dating; Schmidt hammer testing; Pleistocene-Holocene transition; James Ross Island</t>
  </si>
  <si>
    <t>EXPOSURE AGES; PALMER-DEEP; HALF-LIFE; HISTORY; SHEET; SHELF; MAXIMUM; SEA; CONSTRAINTS; MOUNTAINS</t>
  </si>
  <si>
    <t>The Northern Prince Gustav Ice Stream located in Prince Gustav Channel, drained the northeastern portion of the Antarctic Peninsula Ice Sheet during the last glacial maximum. Here we present a chronology of its retreat based on in situ produced cosmogenic Be-10 from erratic boulders at Cape Lachman, northern James Ross Island. Schmidt hammer testing was adopted to assess the weathering state of erratic boulders in order to better interpret excess cosmogenic Be-10 from cumulative periods of pre-exposure or earlier release from the glacier. The weighted mean exposure age of five boulders based on Schmidt hammer data is 12.9 +/- 1.2 ka representing the beginning of the deglaciation of lower-lying areas (&lt;60 m a.s.l.) of the northern James Ross Island, when Northern Prince Gustav Ice Stream split from the remaining James Ross Island ice cover. This age represents the minimum age of the transition from grounded ice stream to floating ice shelf in the middle continental shelf areas of the northern Prince Gustav Channel. The remaining ice cover located at higher elevations of northern James Ross Island retreated during the early Holocene due to gradual decay of terrestrial ice and increase of equilibrium line altitude. Schmidt hammer R-values are inversely correlated with Be-10 exposure ages and could be used as a proxy for exposure history of individual granite boulders in this region and favour the hypothesis of earlier release of boulders with excessive Be-10 concentrations from glacier directly at this site. These data provide evidences for an earlier deglaciation of northern James Ross Island when compared with other recently presented cosmogenic nuclide based deglaciation chronologies, but this timing coincides with rapid increase of atmospheric temperature in this marginal part of Antarctica. (C) 2014 University of Washington. Published by Elsevier Inc. All rights reserved.</t>
  </si>
  <si>
    <t>[Nyvlt, Daniel] Masaryk Univ, Fac Sci, Dept Geog, CS-61137 Brno, Czech Republic; [Nyvlt, Daniel] Czech Geol Survey, Brno Branch, Brno 65869, Czech Republic; [Braucher, Regis; ASTER Team] Aix Marseille Univ, CNRS IRD Coll France, UM CEREGE 34, F-13545 Aix En Provence, France; [Engel, Zbynek] Charles Univ Prague, Fac Sci, Prague 12843, Czech Republic; [Engel, Zbynek; Mlcoch, Bedrich] Czech Geol Survey, Prague 11821, Czech Republic</t>
  </si>
  <si>
    <t>Masaryk University Brno; Czech Geological Survey; Universite PSL; College de France; Institut de Recherche pour le Developpement (IRD); Aix-Marseille Universite; Charles University Prague; Czech Geological Survey</t>
  </si>
  <si>
    <t>Nyvlt, D (corresponding author), Masaryk Univ, Fac Sci, Dept Geog, Kotlarska 2, CS-61137 Brno, Czech Republic.</t>
  </si>
  <si>
    <t>daniel.nyvlt@seznam.cz</t>
  </si>
  <si>
    <t>, B/HZK-8896-2023; Engel, Zbyněk/S-2954-2016; , Braucher/Q-5971-2017; Nyvlt, Daniel/J-6504-2019</t>
  </si>
  <si>
    <t>Engel, Zbyněk/0000-0002-5209-7823; , Braucher/0000-0002-4637-4302; Nyvlt, Daniel/0000-0002-6876-490X</t>
  </si>
  <si>
    <t>Ministry of the Environment of the Czech Republic [VaV SP II 1a9/23/07]; Czech Science Foundation [205/09/1876]; project Employment of Best Young Scientists for International Cooperation Empowerment [CZ.1.07/2.3.00/30.0037]; European Social Fund; state budget of the Czech Republic; INSU/CNRS; French Ministry of Research and Higher Education; IRD; CEA</t>
  </si>
  <si>
    <t>Ministry of the Environment of the Czech Republic; Czech Science Foundation(Grant Agency of the Czech Republic); project Employment of Best Young Scientists for International Cooperation Empowerment; European Social Fund(European Social Fund (ESF)); state budget of the Czech Republic; INSU/CNRS(Centre National de la Recherche Scientifique (CNRS)); French Ministry of Research and Higher Education; IRD; CEA(French Atomic Energy Commission)</t>
  </si>
  <si>
    <t>This study was financially supported by R &amp; D project VaV SP II 1a9/23/07 of the Ministry of the Environment of the Czech Republic and by the grant of the Czech Science Foundation 205/09/1876. The fieldwork at JRI was undertaken by DN, ZE and BM mostly during the austral summer seasons of 2005, 2007 and 2009, when we appreciate we could use the scientific infrastructure of the Czech Antarctic J.G. Mendel Station and the support of its crew. DN's final work on this paper has been supported by the project Employment of Best Young Scientists for International Cooperation Empowerment (CZ.1.07/2.3.00/30.0037) co-financed from European Social Fund and the state budget of the Czech Republic. We are grateful for the discussion of different topics to Neil Glasser and Joanne Johnson. We very much appreciate the reviews of Greg Balco and Lauren Simkins and especially the helpful suggestions of Associate Editor David Fink. The 10Be measurements were performed on ASTER AMS national facility (CEREGE, Aix-en-Provence), which is supported by the INSU/CNRS, the French Ministry of Research and Higher Education, IRD and CEA.</t>
  </si>
  <si>
    <t>0033-5894</t>
  </si>
  <si>
    <t>1096-0287</t>
  </si>
  <si>
    <t>QUATERNARY RES</t>
  </si>
  <si>
    <t>Quat. Res.</t>
  </si>
  <si>
    <t>10.1016/j.yqres.2014.05.003</t>
  </si>
  <si>
    <t>AQ8LJ</t>
  </si>
  <si>
    <t>WOS:000343076700014</t>
  </si>
  <si>
    <t>Martrat, B; Jimenez-Amat, P; Zahn, R; Grimalt, JO</t>
  </si>
  <si>
    <t>Martrat, Belen; Jimenez-Amat, Patricia; Zahn, Rainer; Grimalt, Joan O.</t>
  </si>
  <si>
    <t>Similarities and dissimilarities between the last two deglaciations and interglaciations in the North Atlantic region</t>
  </si>
  <si>
    <t>Rapid climate change; Interglaciations; Sea surface temperature</t>
  </si>
  <si>
    <t>HEINRICH EVENT 1; GLOBAL STRATOTYPE SECTION; GLACIAL LAKE AGASSIZ; ICE CORE PROJECT; SEA-LEVEL RISE; GREENLAND ICE; ANTARCTIC TEMPERATURE; PLANKTONIC-FORAMINIFERA; CHRONOLOGY AICC2012; CLIMATE RECORDS</t>
  </si>
  <si>
    <t>Sea surface temperatures (SSTs) recorded by alkenones and oxygen isotopes in the Alboran basin are used here to describe, at an unprecedented fine temporal resolution, the present interglaciation (PIG, initiated at 11.7 ka BP), the last interglaciation (LIG, onset approximately at 129 ka) and respective deglaciations. Similarities and dissimilarities in the progression of these periods are reviewed in comparison with ice cores and stalagmites. Cold spells coeval with the Heinrich events (H) described in the North Atlantic include multi-decadal scale oscillations not previously obvious (up to 4 degrees C in less than eight centuries within the stadials associated with H1 and H11, ca 133 ka and 17 ka respectively). These abrupt oscillations precede the accumulation of organic rich layers deposited when perihelion moves from alignment with NH spring equinox to the summer solstice, a reference for deglaciations. Events observed during the last deglaciation at 17 ka, 14.8 ka and 11.7 ka are reminiscent of events occurred during the penultimate deglaciation at ca 136 ka, 132 ka and 129 ka, respectively. The SST trend during the PIG is no more than 2 degrees C (from 20 degrees C to 18 degrees C; up to -0.2 degrees C/ka). The trend is steeper during the LIG, i.e. up to a 5 degrees C change from the early interglaciation to immediately before the glacial inception (from 23 degrees C to 18 degrees C; up to -0.4 degrees C/ka). Events are superimposed upon a long term trend towards colder SSTs, beginning with SST maxima followed by temperate periods until perihelion aligned with the NH autumn equinox (before ca 5.3 ka for the PIG and 121 ka for the LIG). A cold spell of around eight centuries at 2.8 ka during the PIG was possibly mimicked during the LIG at ca 118 ka by a SST fall of around 1 degrees C in a millennium. These events led interglacial SST to stabilise at around 18 degrees C. The glacial inception, barely evident at the beginning ca 115 ka (North Atlantic event C25, after perihelion passage in the NH winter solstice), culminated with a SST drop of at least 2 degrees C in two millennia (event C24, ca 111 ka). The Little Ice Age (0.7 ka) also occurred after the latest perihelion passage in the NH winter solstice and could be an example of how a glacial pre-inception event following an interglaciation might be. (C) 2014 Elsevier Ltd. All rights reserved.</t>
  </si>
  <si>
    <t>[Martrat, Belen; Grimalt, Joan O.] CSIC, Spanish Council Sci Res, Inst Environm Assessment &amp; Water Res IDAEA, Dept Environm Chem, ES-08034 Barcelona, Spain; [Martrat, Belen] Univ Cambridge, Dept Earth Sci, Cambridge CB2 3EQ, England; [Jimenez-Amat, Patricia; Zahn, Rainer] Univ Autonoma Barcelona, Inst Environm Sci &amp; Technol, Bellaterra 08193, Spain; [Jimenez-Amat, Patricia; Zahn, Rainer] Univ Autonoma Barcelona, Dept Geog, Bellaterra 08193, Spain; [Zahn, Rainer] Univ Autonoma Barcelona, Inst Catalana Recerca &amp; Estudis Avancats, Bellaterra 08193, Spain</t>
  </si>
  <si>
    <t>Consejo Superior de Investigaciones Cientificas (CSIC); CSIC - Centro de Investigacion y Desarrollo Pascual Vila (CID-CSIC); CSIC - Instituto de Diagnostico Ambiental y Estudios del Agua (IDAEA); University of Cambridge; Autonomous University of Barcelona; Autonomous University of Barcelona; Autonomous University of Barcelona; ICREA</t>
  </si>
  <si>
    <t>Martrat, B (corresponding author), CSIC, Spanish Council Sci Res, Inst Environm Assessment &amp; Water Res IDAEA, Dept Environm Chem, Jordi Girona 18, ES-08034 Barcelona, Spain.</t>
  </si>
  <si>
    <t>belen.martrat@idaea.csic.es</t>
  </si>
  <si>
    <t>Martrat, Belen/I-5952-2015; IPO, PAGES/JXY-7546-2024; Grimalt, Joan/E-2073-2011</t>
  </si>
  <si>
    <t>Martrat, Belen/0000-0001-9904-9178; Grimalt, Joan/0000-0002-7391-5768</t>
  </si>
  <si>
    <t>GRACCIE [CSD2007-00067]; Past4Future Project [FP7-ENV-2009-1-243908, 243908]; European Social Fund; Shackleton Fellowship (Clare Hall College); Directorate For Geosciences; Division Of Earth Sciences [1023724] Funding Source: National Science Foundation; Directorate For Geosciences; Division Of Earth Sciences [1440015] Funding Source: National Science Foundation; ICREA Funding Source: Custom</t>
  </si>
  <si>
    <t>GRACCIE; Past4Future Project; European Social Fund(European Social Fund (ESF)); Shackleton Fellowship (Clare Hall College); Directorate For Geosciences; Division Of Earth Sciences(National Science Foundation (NSF)NSF - Directorate for Geosciences (GEO)); Directorate For Geosciences; Division Of Earth Sciences(National Science Foundation (NSF)NSF - Directorate for Geosciences (GEO)); ICREA(ICREA)</t>
  </si>
  <si>
    <t>The work presented here has been co-funded by research projects GRACCIE (CSD2007-00067, Programa Consolider-Ingenio 2010) and Past4Future Project (FP7-ENV-2009-1-243908; the European Union's Seventh Framework programme, FP7/2007-2013 under grant agreement no 243908, Past4Future. Climate change Learning from the past climate). B. M. wishes to express her thanks to the CSIC-JAE-Doc contract (co-funded by the European Social Fund), the Shackleton Fellowship (Clare Hall College) and the Past Interglacials and Ocean2k working groups of the Past Global Changes (PAGES) project for discussions. The British ocean sediment core repository (BOSCOR; International Marine Global Change Studies program -IMAGES-) and the Bremen core repository (Ocean Drilling program -ODP-) are thanked for supplying sediment samples. We thank W. Hale, B. Hortelano, M. Casado, Y. Gonzalez-Quinteiro, I. Fernandez for laboratory assistance, S. Crowhurst, A. Milner, A. Svensson, M. F. Loutre, L. C. Skinner, D. A. Hodell and P. C. Tzedakis for stimulating discussion, and H. Bauch (editor) and three anonymous reviewers for helpful comments on this manuscript. This is Past4Future contribution no 76.</t>
  </si>
  <si>
    <t>10.1016/j.quascirev.2014.06.016</t>
  </si>
  <si>
    <t>WOS:000340980100010</t>
  </si>
  <si>
    <t>Bakker, P; Masson-Delmotte, V; Martrat, B; Charbit, S; Renssen, H; Gröger, M; Krebs-Kanzow, U; Lohmann, G; Lunt, DJ; Pfeiffer, M; Phipps, SJ; Prange, M; Ritz, SP; Schulz, M; Stenni, B; Stone, EJ; Varma, V</t>
  </si>
  <si>
    <t>Bakker, P.; Masson-Delmotte, V.; Martrat, B.; Charbit, S.; Renssen, H.; Groeger, M.; Krebs-Kanzow, U.; Lohmann, G.; Lunt, D. J.; Pfeiffer, M.; Phipps, S. J.; Prange, M.; Ritz, S. P.; Schulz, M.; Stenni, B.; Stone, E. J.; Varma, V.</t>
  </si>
  <si>
    <t>Temperature trends during the Present and Last Interglacial periods - a multi-model-data comparison</t>
  </si>
  <si>
    <t>Palaeoclimatology; Interglacial; Modelling; Reconstructions; Model-data comparison; Temperature</t>
  </si>
  <si>
    <t>EPICA DOME-C; SEA-SURFACE TEMPERATURE; CORE-TOP CALIBRATION; ANTARCTIC ICE CORES; HOLOCENE CLIMATE; SYSTEM MODEL; SOUTHERN-OCEAN; ABRUPT CHANGE; INTERMEDIATE COMPLEXITY; GLACIAL MAXIMUM</t>
  </si>
  <si>
    <t>Though primarily driven by insolation changes associated with well-known variations in Earth's astronomical parameters, the response of the climate system during interglacials includes a diversity of feedbacks involving the atmosphere, ocean, sea ice, vegetation and land ice. A thorough multi-model-data comparison is essential to assess the ability of climate models to resolve interglacial temperature trends and to help in understanding the recorded climatic signal and the underlying climate dynamics. We present the first multi-model-data comparison of transient millennial-scale temperature changes through two intervals of the Present Interglacial (PIG; 8-1.2 ka) and the Last Interglacial (LIG; 123-116.2 ka) periods. We include temperature trends simulated by 9 different climate models, alkenone-based temperature reconstructions from 117 globally distributed locations (about 45% of them within the LIG) and 12 ice-core-based temperature trends from Greenland and Antarctica (50% of them within the LIG). The definitions of these specific interglacial intervals enable a consistent inter-comparison of the two intervals because both are characterised by minor changes in atmospheric greenhouse gas concentrations and more importantly by insolation trends that show clear similarities. Our analysis shows that in general the reconstructed PIG and LIG Northern Hemisphere mid-to-high latitude cooling compares well with multi-model, mean-temperature trends for the warmest months and that these cooling trends reflect a linear response to the warmest-month insolation decrease over the interglacial intervals. The most notable exception is the strong LIG cooling trend reconstructed from Greenland ice cores that is not simulated by any of the models. A striking model-data mismatch is found for both the PIG and the LIG over large parts of the mid-to-high latitudes of the Southern Hemisphere where the data depicts negative temperature trends that are not in agreement with near zero trends in the simulations. In this area, the positive local summer insolation trend is counteracted in climate models by an enhancement of the Southern Ocean summer sea-ice cover and/or an increase in Southern Ocean upwelling. If the general picture emerging from reconstructions is realistic, then the model-data mismatch in mid and high Southern Hemisphere latitudes implies that none of the models is able to resolve the correct balance of these feedbacks, or, alternatively, that interglacial Southern Hemisphere temperature trends are driven by mechanisms which are not included in the transient simulations, such as changes in the Antarctic ice sheet or meltwater-induced changes in the overturning circulation. (C) 2014 Elsevier Ltd. All rights reserved.</t>
  </si>
  <si>
    <t>[Bakker, P.; Renssen, H.] Vrije Univ Amsterdam, Dept Earth Sci, Fac Earth &amp; Life Sci, Amsterdam, Netherlands; [Masson-Delmotte, V.; Charbit, S.] IPSL CEA CNRS UVSQ, Lab Sci Climat &amp; Environm, UMR 8212, Gif Sur Yvette, France; [Martrat, B.] Spanish Council Sci Res, Inst Environm Assessment &amp; Water Res, Dept Environm Chem, Barcelona, Spain; [Groeger, M.] Max Planck Inst Meteorol, D-20146 Hamburg, Germany; [Krebs-Kanzow, U.] Univ Kiel, Dept Geol, Kiel, Germany; [Lohmann, G.; Pfeiffer, M.] Alfred Wegener Inst Polar &amp; Marine Res, Potsdam, Germany; [Lunt, D. J.; Stone, E. J.] Univ Bristol, Sch Geog Sci, Bristol Res Initiat Dynam Global Environm, Bristol BS8 1SS, Avon, England; [Phipps, S. J.] Univ New S Wales, ARC Ctr Excellence Climate Syst Sci, Sydney, NSW, Australia; [Phipps, S. J.] Univ New S Wales, Climate Change Res Ctr, Sydney, NSW, Australia; [Prange, M.; Schulz, M.; Varma, V.] Univ Bremen, MARUM Ctr Marine Environm Sci, D-28334 Bremen, Germany; [Prange, M.; Schulz, M.; Varma, V.] Univ Bremen, Fac Geosci, D-28334 Bremen, Germany; [Ritz, S. P.] Univ Bern, Inst Phys, Bern, Switzerland; [Ritz, S. P.] Univ Bern, Oeschger Ctr Climate Change Res, Bern, Switzerland; [Stenni, B.] Univ Trieste, Dept Math &amp; Geosci, I-34128 Trieste, Italy</t>
  </si>
  <si>
    <t>Vrije Universiteit Amsterdam; Universite Paris Saclay; CEA; Centre National de la Recherche Scientifique (CNRS); CNRS - National Institute for Earth Sciences &amp; Astronomy (INSU); Consejo Superior de Investigaciones Cientificas (CSIC); CSIC - Centro de Investigacion y Desarrollo Pascual Vila (CID-CSIC); CSIC - Instituto de Diagnostico Ambiental y Estudios del Agua (IDAEA); Max Planck Society; University of Kiel; Helmholtz Association; Alfred Wegener Institute, Helmholtz Centre for Polar &amp; Marine Research; University of Bristol; ARC Centre of Excellence for Climate System Science; University of New South Wales Sydney; University of New South Wales Sydney; University of Bremen; University of Bremen; University of Bern; University of Bern; University of Trieste</t>
  </si>
  <si>
    <t>Bakker, P (corresponding author), Vrije Univ Amsterdam, Dept Earth Sci, Fac Earth &amp; Life Sci, Amsterdam, Netherlands.</t>
  </si>
  <si>
    <t>pbakker@coas.oregonstate.edu</t>
  </si>
  <si>
    <t>Stone, Emma J/H-9549-2012; Charbit, Sylvie/X-5466-2019; IPO, PAGES/JXY-7546-2024; Gröger, Matthias/G-6758-2015; Masson-Delmotte, Valerie L/G-1995-2011; Martrat, Belen/I-5952-2015; Phipps, Steven/B-3135-2008; Schulz, Michael/P-7276-2016; Lunt, Daniel/G-9451-2011</t>
  </si>
  <si>
    <t>Stone, Emma J/0000-0002-8633-8074; Gröger, Matthias/0000-0002-9927-5164; Masson-Delmotte, Valerie L/0000-0001-8296-381X; Martrat, Belen/0000-0001-9904-9178; Phipps, Steven/0000-0001-5657-8782; Varma, Vidya/0000-0003-0332-1339; Krebs-Kanzow, Uta/0000-0002-3244-6491; Prange, Matthias/0000-0001-5874-756X; Schulz, Michael/0000-0001-6500-2697; Stenni, Barbara/0000-0003-4950-3664; Lunt, Daniel/0000-0003-3585-6928</t>
  </si>
  <si>
    <t>European Union [243908]; Australian Government; NERC [NE/I010874/1] Funding Source: UKRI; Natural Environment Research Council [NE/I010874/1] Funding Source: researchfish; Division Of Earth Sciences; Directorate For Geosciences [1023724] Funding Source: National Science Foundation; Division Of Earth Sciences; Directorate For Geosciences [1440015] Funding Source: National Science Foundation</t>
  </si>
  <si>
    <t>European Union(European Union (EU)); Australian Government(Australian Government); NERC(UK Research &amp; Innovation (UKRI)Natural Environment Research Council (NERC)); Natural Environment Research Council(UK Research &amp; Innovation (UKRI)Natural Environment Research Council (NERC)); Division Of Earth Sciences; Directorate For Geosciences(National Science Foundation (NSF)NSF - Directorate for Geosciences (GEO)); Division Of Earth Sciences; Directorate For Geosciences(National Science Foundation (NSF)NSF - Directorate for Geosciences (GEO))</t>
  </si>
  <si>
    <t>We thank Dr. Henning Bauch and the anonymous referees for their constructive criticism of the manuscript. This is Past4Future contribution no. 53. The research leading to these results has received funding from the European Union's Seventh Framework programme (FP7/2007-2013) under grant agreement no. 243908, Past4Future. Climate change - Learning from the past climate. B.M. thanks the Past Interglacials and Ocean 2k working groups of the Past Global Changes (PAGES) project for discussions and the JAE-Doc contract from the European Social Fund. This research was undertaken with the assistance of resources provided at the Australian National University through the National Computational Merit Allocation Scheme supported by the Australian Government. This paper makes a contribution to the NERC iGlass consortium, NE/1010874/1.</t>
  </si>
  <si>
    <t>10.1016/j.quascirev.2014.06.031</t>
  </si>
  <si>
    <t>WOS:000340980100018</t>
  </si>
  <si>
    <t>Meier, WN; Hovelsrud, GK; van Oort, BEH; Key, JR; Kovacs, KM; Michel, C; Haas, C; Granskog, MA; Gerland, S; Perovich, DK; Makshtas, A; Reist, JD</t>
  </si>
  <si>
    <t>Meier, Walter N.; Hovelsrud, Greta K.; van Oort, Bob E. H.; Key, Jeffrey R.; Kovacs, Kit M.; Michel, Christine; Haas, Christian; Granskog, Mats A.; Gerland, Sebastian; Perovich, Donald K.; Makshtas, Alexander; Reist, James D.</t>
  </si>
  <si>
    <t>Arctic sea ice in transformation: A review of recent observed changes and impacts on biology and human activity</t>
  </si>
  <si>
    <t>REVIEWS OF GEOPHYSICS</t>
  </si>
  <si>
    <t>SUBSURFACE CHLOROPHYLL MAXIMA; CLIMATE-CHANGE; POLAR BEARS; MARINE MAMMALS; FRAM STRAIT; FOOD AVAILABILITY; BELUGA WHALES; HOODED SEALS; BEAUFORT SEA; HUDSON-BAY</t>
  </si>
  <si>
    <t>Sea ice in the Arctic is one of the most rapidly changing components of the global climate system. Over the past few decades, summer areal extent has declined over 30%, and all months show statistically significant declining trends. New satellite missions and techniques have greatly expanded information on sea ice thickness, but many uncertainties remain in the satellite data and long-term records are sparse. However, thickness observations and other satellite-derived data indicate a 40% decline in thickness, due in large part to the loss of thicker, older ice cover. The changes in sea ice are happening faster than models have projected. With continued increasing temperatures, summer ice-free conditions are likely sometime in the coming decades, though there are substantial uncertainties in the exact timing and high interannual variability will remain as sea ice decreases. The changes in Arctic sea ice are already having an impact on flora and fauna in the Arctic. Some species will face increasing challenges in the future, while new habitat will open up for other species. The changes are also affecting people living and working in the Arctic. Native communities are facing challenges to their traditional ways of life, while new opportunities open for shipping, fishing, and natural resource extraction. Significant progress has been made in recent years in understanding of Arctic sea ice and its role in climate, the ecosystem, and human activities. However, significant challenges remain in furthering the knowledge of the processes, impacts, and future evolution of the system.</t>
  </si>
  <si>
    <t>[Meier, Walter N.] NASA, Goddard Space Flight Ctr, Greenbelt, MD 20771 USA; [Hovelsrud, Greta K.; van Oort, Bob E. H.] Ctr Int Climate &amp; Environm Res Oslo, Oslo, Norway; [Hovelsrud, Greta K.] Nordland Res Inst, Bodo, Norway; [Key, Jeffrey R.] NOAA, Madison, WI USA; [Kovacs, Kit M.; Granskog, Mats A.; Gerland, Sebastian] Norwegian Polar Res Inst, Tromso, Norway; [Michel, Christine; Reist, James D.] Fisheries &amp; Oceans Canada, Winnipeg, MB, Canada; [Haas, Christian] Univ Alberta, Dept Earth &amp; Atmospher Sci &amp; Geophys, Edmonton, AB, Canada; [Perovich, Donald K.] US Army Cold Reg Res &amp; Engn Lab, Hanover, NH USA; [Makshtas, Alexander] Arctic &amp; Antarctic Res Inst, St Petersburg 199226, Russia</t>
  </si>
  <si>
    <t>National Aeronautics &amp; Space Administration (NASA); NASA Goddard Space Flight Center; National Oceanic Atmospheric Admin (NOAA) - USA; Norwegian Polar Institute; Fisheries &amp; Oceans Canada; University of Alberta; United States Department of Defense; United States Army; U.S. Army Corps of Engineers; U.S. Army Engineer Research &amp; Development Center (ERDC); Cold Regions Research &amp; Engineering Laboratory (CRREL); Arctic &amp; Antarctic Research Institute</t>
  </si>
  <si>
    <t>Meier, WN (corresponding author), NASA, Goddard Space Flight Ctr, Greenbelt, MD 20771 USA.</t>
  </si>
  <si>
    <t>walt.meier@nasa.gov</t>
  </si>
  <si>
    <t>Key, Jeffrey R./AAB-7248-2020; van Oort, Bob/J-8617-2016; Meier, Walter/AAI-9583-2021; Haas, Christian/L-5279-2016</t>
  </si>
  <si>
    <t>van Oort, Bob/0000-0001-9508-1162; Haas, Christian/0000-0002-7674-3500; Meier, Walter/0000-0003-2857-0550; Granskog, Mats/0000-0002-5035-4347</t>
  </si>
  <si>
    <t>Arctic Council; NASA; NOAA; U.S. Department of Defense; Norwegian Polar Institute; Fisheries and Oceans Canada</t>
  </si>
  <si>
    <t>Arctic Council; NASA(National Aeronautics &amp; Space Administration (NASA)); NOAA(National Oceanic Atmospheric Admin (NOAA) - USA); U.S. Department of Defense(United States Department of Defense); Norwegian Polar Institute; Fisheries and Oceans Canada</t>
  </si>
  <si>
    <t>This work was supported by the Arctic Council and the agencies employing and funding the authors including NASA, NOAA, U.S. Department of Defense, the Norwegian Polar Institute, and Fisheries and Oceans Canada. The views, opinions, and findings contained in this report are those of the author(s) and should not be construed as an official National Oceanic and Atmospheric Administration or U.S. Government position, policy, or decision.</t>
  </si>
  <si>
    <t>8755-1209</t>
  </si>
  <si>
    <t>1944-9208</t>
  </si>
  <si>
    <t>REV GEOPHYS</t>
  </si>
  <si>
    <t>Rev. Geophys.</t>
  </si>
  <si>
    <t>10.1002/2013RG000431</t>
  </si>
  <si>
    <t>AU5MI</t>
  </si>
  <si>
    <t>WOS:000345650700001</t>
  </si>
  <si>
    <t>Stammer, D; Ray, RD; Andersen, OB; Arbic, BK; Bosch, W; Carrère, L; Cheng, Y; Chinn, DS; Dushaw, BD; Egbert, GD; Erofeeva, SY; Fok, HS; Green, JAM; Griffiths, S; King, MA; Lapin, V; Lemoine, FG; Luthcke, SB; Lyard, F; Morison, J; Müller, M; Padman, L; Richman, JG; Shriver, JF; Shum, CK; Taguchi, E; Yi, Y</t>
  </si>
  <si>
    <t>Stammer, D.; Ray, R. D.; Andersen, O. B.; Arbic, B. K.; Bosch, W.; Carrere, L.; Cheng, Y.; Chinn, D. S.; Dushaw, B. D.; Egbert, G. D.; Erofeeva, S. Y.; Fok, H. S.; Green, J. A. M.; Griffiths, S.; King, M. A.; Lapin, V.; Lemoine, F. G.; Luthcke, S. B.; Lyard, F.; Morison, J.; Mueller, M.; Padman, L.; Richman, J. G.; Shriver, J. F.; Shum, C. K.; Taguchi, E.; Yi, Y.</t>
  </si>
  <si>
    <t>Accuracy assessment of global barotropic ocean tide models</t>
  </si>
  <si>
    <t>SHALLOW-WATER TIDES; NORTH PACIFIC-OCEAN; DEEP-OCEAN; SATELLITE ALTIMETRY; GENERAL-CIRCULATION; ENERGY-DISSIPATION; SEASONAL-VARIATION; INTERNAL TIDES; GRAVITY FIELDS; CURRENTS</t>
  </si>
  <si>
    <t>The accuracy of state-of-the-art global barotropic tide models is assessed using bottom pressure data, coastal tide gauges, satellite altimetry, various geodetic data on Antarctic ice shelves, and independent tracked satellite orbit perturbations. Tide models under review include empirical, purely hydrodynamic (forward), and assimilative dynamical, i.e., constrained by observations. Ten dominant tidal constituents in the diurnal, semidiurnal, and quarter-diurnal bands are considered. Since the last major model comparison project in 1997, models have improved markedly, especially in shallow-water regions and also in the deep ocean. The root-sum-square differences between tide observations and the best models for eight major constituents are approximately 0.9, 5.0, and 6.5 cm for pelagic, shelf, and coastal conditions, respectively. Large intermodel discrepancies occur in high latitudes, but testing in those regions is impeded by the paucity of high-quality in situ tide records. Long-wavelength components of models tested by analyzing satellite laser ranging measurements suggest that several models are comparably accurate for use in precise orbit determination, but analyses of GRACE intersatellite ranging data show that all models are still imperfect on basin and subbasin scales, especially near Antarctica. For the M-2 constituent, errors in purely hydrodynamic models are now almost comparable to the 1980-era Schwiderski empirical solution, indicating marked advancement in dynamical modeling. Assessing model accuracy using tidal currents remains problematic owing to uncertainties in in situ current meter estimates and the inability to isolate the barotropic mode. Velocity tests against both acoustic tomography and current meters do confirm that assimilative models perform better than purely hydrodynamic models.</t>
  </si>
  <si>
    <t>[Stammer, D.; Taguchi, E.] Univ Hamburg, Hamburg, Germany; [Ray, R. D.; Lemoine, F. G.; Luthcke, S. B.] NASA, Goddard Space Flight Ctr, Greenbelt, MD 20771 USA; [Andersen, O. B.] Tech Univ Denmark, DTU Space, Copenhagen, Denmark; [Arbic, B. K.; Dushaw, B. D.] Univ Michigan, Dept Earth &amp; Environm Sci, Ann Arbor, MI 48109 USA; [Bosch, W.] Deutsches Geodat Forschungsinst, Munich, Germany; [Carrere, L.; Lyard, F.] Observ Midi Pyrenees, UMR 5566, LEGOS, F-31400 Toulouse, France; [Cheng, Y.] Nanjing Univ Informat Sci &amp; Technol, Sch Marine Sci, Nanjing, Jiangsu, Peoples R China; [Chinn, D. S.] NASA GSFC, SGT Inc, Greenbelt, MD USA; [Egbert, G. D.; Erofeeva, S. Y.] Oregon State Univ, Coll Earth Ocean &amp; Atmospher Sci, Corvallis, OR 97331 USA; [Fok, H. S.] Wuhan Univ, Sch Geodesy &amp; Geomat, Wuhan 430072, Peoples R China; [Fok, H. S.; Shum, C. K.; Yi, Y.] Ohio State Univ, Div Geodet Sci, Sch Earth Sci, Columbus, OH 43210 USA; [Green, J. A. M.] Bangor Univ, Sch Ocean Sci, Menai Bridge, Gwynedd, Wales; [Griffiths, S.; Lapin, V.] Univ Leeds, Dept Appl Math, Leeds LS2 9JT, W Yorkshire, England; [King, M. A.] Univ Tasmania, Sch Land &amp; Food, Surveying &amp; Spatial Sci Grp, Hobart, Tas, Australia; [Morison, J.] Univ Washington, Appl Phys Lab, Polar Sci Ctr, Seattle, WA 98105 USA; [Mueller, M.] Norwegian Meteorol Inst, Oslo, Norway; [Padman, L.] Earth &amp; Space Res, Corvallis, OR USA; [Richman, J. G.; Shriver, J. F.] Naval Res Lab, Oceanog Div, Stennis Space Ctr, MS USA; [Shum, C. K.] Chinese Acad Sci, Inst Geodesy &amp; Geophys, Wuhan, Peoples R China</t>
  </si>
  <si>
    <t>University of Hamburg; National Aeronautics &amp; Space Administration (NASA); NASA Goddard Space Flight Center; Technical University of Denmark; University of Michigan System; University of Michigan;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Nanjing University of Information Science &amp; Technology; National Aeronautics &amp; Space Administration (NASA); NASA Goddard Space Flight Center; Stinger Ghaffarian Technologies, Inc. (SGT); Oregon State University; Wuhan University; University System of Ohio; Ohio State University; Bangor University; University of Leeds; University of Tasmania; University of Washington; University of Washington Seattle; Norwegian Meteorological Institute; United States Department of Defense; United States Navy; Naval Research Laboratory; Chinese Academy of Sciences; Innovation Academy for Precision Measurement Science &amp; Technology, CAS</t>
  </si>
  <si>
    <t>Stammer, D (corresponding author), Univ Hamburg, Martinistr 52, Hamburg, Germany.</t>
  </si>
  <si>
    <t>detlef.stammer@zmaw.de</t>
  </si>
  <si>
    <t>Ray, Richard D/D-1034-2012; King, Matt/B-4622-2008; Cheng, Yongcun/H-5036-2019; Padman, Laurence/AAH-3808-2021; Luthcke, Scott B/D-6283-2012; Lapin, Vladimir N/G-7483-2014; Lemoine, Frank G/D-1215-2013; Muller, Malte/AAD-7692-2022; Lyard, Florent/AAN-4065-2021; Lapin, Vladimir/AAB-6924-2019; Andersen, Ole Baltazar/H-7481-2016; Griffiths, Stephen/A-6440-2008</t>
  </si>
  <si>
    <t>King, Matt/0000-0001-5611-9498; Cheng, Yongcun/0000-0002-9980-8004; Lapin, Vladimir N/0000-0001-7302-8539; Muller, Malte/0000-0003-2871-8359; Egbert, Gary/0000-0003-1276-8538; Andersen, Ole Baltazar/0000-0002-6685-3415; Shriver, Jay/0000-0001-7154-4257; Padman, Laurence/0000-0003-2010-642X; Shum, C K/0000-0001-9378-4067; Lemoine, Frank G./0000-0002-3051-1456; Arbic, Brian K/0000-0002-7969-2294; Griffiths, Stephen/0000-0002-4654-2636</t>
  </si>
  <si>
    <t>NERC [NE/I013563/1, NE/F014821/1] Funding Source: UKRI; Natural Environment Research Council [NE/I013563/1, NE/F014821/1] Funding Source: researchfish</t>
  </si>
  <si>
    <t>10.1002/2014RG000450</t>
  </si>
  <si>
    <t>Green Published, Green Accepted</t>
  </si>
  <si>
    <t>WOS:000345650700003</t>
  </si>
  <si>
    <t>Mudelsee, M; Bickert, T; Lear, CH; Lohmann, G</t>
  </si>
  <si>
    <t>Mudelsee, Manfred; Bickert, Torsten; Lear, Caroline H.; Lohmann, Gerrit</t>
  </si>
  <si>
    <t>Cenozoic climate changes: A review based on time series analysis of marine benthic δ18O records</t>
  </si>
  <si>
    <t>ANTARCTIC ICE-SHEET; DEEP-WATER CIRCULATION; GLOBAL CARBON-CYCLE; MIDDLE MIOCENE; SOUTHERN-OCEAN; EARLY EOCENE; SOUTHWEST PACIFIC; SEA TEMPERATURES; CALCITE COMPENSATION; POLARITY TIMESCALE</t>
  </si>
  <si>
    <t>The climate during the Cenozoic era changed in several steps from ice-free poles and warm conditions to ice-covered poles and cold conditions. Since the 1950s, a body of information on ice volume and temperature changes has been built up predominantly on the basis of measurements of the oxygen isotopic composition of shells of benthic foraminifera collected from marine sediment cores. The statistical methodology of time series analysis has also evolved, allowing more information to be extracted from these records. Here we provide a comprehensive view of Cenozoic climate evolution by means of a coherent and systematic application of time series analytical tools to each record from a compilation spanning the interval from 4 to 61 Myr ago. We quantitatively describe several prominent features of the oxygen isotope record, taking into account the various sources of uncertainty (including measurement, proxy noise, and dating errors). The estimated transition times and amplitudes allow us to assess causal climatological-tectonic influences on the following known features of the Cenozoic oxygen isotopic record: Paleocene-Eocene Thermal Maximum, Eocene-Oligocene Transition, Oligocene-Miocene Boundary, and the Middle Miocene Climate Optimum. We further describe and causally interpret the following features: Paleocene-Eocene warming trend, the two-step, long-term Eocene cooling, and the changes within the most recent interval (Miocene-Pliocene). We review the scope and methods of constructing Cenozoic stacks of benthic oxygen isotope records and present two new latitudinal stacks, which capture besides global ice volume also bottom water temperatures at low (less than 30 degrees) and high latitudes. This review concludes with an identification of future directions for data collection, statistical method development, and climate modeling.</t>
  </si>
  <si>
    <t>[Mudelsee, Manfred; Lohmann, Gerrit] Helmholtz Ctr Polar &amp; Marine Res, Alfred Wegener Inst, Bremerhaven, Germany; [Mudelsee, Manfred] Climate Risk Anal, Heckenbeck, Bad Gandersheim, Germany; [Bickert, Torsten] Univ Bremen, MARUM Ctr Marine Environm Sci, D-28359 Bremen, Germany; [Lear, Caroline H.] Cardiff Univ, Sch Earth &amp; Ocean Sci, Cardiff CF10 3AX, S Glam, Wales</t>
  </si>
  <si>
    <t>Helmholtz Association; Alfred Wegener Institute, Helmholtz Centre for Polar &amp; Marine Research; University of Bremen; Cardiff University</t>
  </si>
  <si>
    <t>Mudelsee, M (corresponding author), Helmholtz Ctr Polar &amp; Marine Res, Alfred Wegener Inst, Bremerhaven, Germany.</t>
  </si>
  <si>
    <t>mudelsee@climate-risk-analysis.com</t>
  </si>
  <si>
    <t>Lear, Caroline H/D-2582-2009; Lohmann, Gerrit/M-7453-2016; Mudelsee, Manfred/C-6063-2018</t>
  </si>
  <si>
    <t>Lohmann, Gerrit/0000-0003-2089-733X; Mudelsee, Manfred/0000-0002-2364-9561; Lear, Caroline/0000-0002-7533-4430</t>
  </si>
  <si>
    <t>Deutsche Forschungsgemeinschaft [MU 1595/4-1]; Natural Environment Research Council [NE/G007500/1, NE/I006427/1] Funding Source: researchfish; NERC [NE/G007500/1, NE/I006427/1] Funding Source: UKRI</t>
  </si>
  <si>
    <t>Deutsche Forschungsgemeinschaft(German Research Foundation (DFG)); Natural Environment Research Council(UK Research &amp; Innovation (UKRI)Natural Environment Research Council (NERC)); NERC(UK Research &amp; Innovation (UKRI)Natural Environment Research Council (NERC))</t>
  </si>
  <si>
    <t>The Deutsche Forschungsgemeinschaft provided financial support (FOR 1070 Understanding Cenozoic Climate Cooling, MU 1595/4-1 Climate Sensitivity during and between Interglacials). The stack data are available from http://www.noaa.gov and http://www.manfredmudelsee.com.</t>
  </si>
  <si>
    <t>10.1002/2013RG000440</t>
  </si>
  <si>
    <t>WOS:000345650700005</t>
  </si>
  <si>
    <t>Gvishiani, A; Lukianova, R; Soloviev, A; Khokhlov, A</t>
  </si>
  <si>
    <t>Gvishiani, Alexei; Lukianova, Renata; Soloviev, Anatoly; Khokhlov, Andrei</t>
  </si>
  <si>
    <t>Survey of Geomagnetic Observations Made in the Northern Sector of Russia and New Methods for Analysing Them</t>
  </si>
  <si>
    <t>SURVEYS IN GEOPHYSICS</t>
  </si>
  <si>
    <t>Geomagnetic observations; INTERMAGNET; Data processing; Geomagnetic activity; Mathematical methods; Fuzzy logic</t>
  </si>
  <si>
    <t>INTERPLANETARY MAGNETIC-FIELD; AURORAL ELECTROJET; TIME-SERIES; DISTURBANCES; MAGNETOGRAMS; RECOGNITION; PULSATIONS; SPIKES; ALGORITHM; MODELS</t>
  </si>
  <si>
    <t>An overview of the geomagnetic observations made in the northern part of Russia is presented from a historical perspective. Several stations were deployed on the territory of the former Soviet Union during the International Geophysical Year, 1957-1958, with the active participation and guidance of the Interagency Geophysical Committee which is inherited by the Geophysical Center of the Russian Academy of Sciences (GC RAS). In the 1990s, the majority of these stations, especially those in the remoter regions, were closed. Nowadays, the geomagnetic network, including the observatories of the INTERMAGNET program, has been restored. Examples of high-latitude geomagnetic variations in the Russian longitudinal sector are shown, and maps and trends of the secular variation over the territory of Russia presented. Particular attention is paid to the automated processing of data and to the analysis methods used. To process the growing amount of high-resolution geomagnetic data, sophisticated mathematical methods based on the fuzzy logic approach and new discrete mathematical analysis algorithms have been developed. The formal methods and algorithms for recognizing both artificial and natural disturbances in the magnetograms are described.</t>
  </si>
  <si>
    <t>[Gvishiani, Alexei; Lukianova, Renata; Soloviev, Anatoly; Khokhlov, Andrei] Russian Acad Sci, Geophys Ctr, Moscow 119296, Russia; [Lukianova, Renata] Arctic &amp; Antarctic Res Inst, St Petersburg 199397, Russia; [Khokhlov, Andrei] Russian Acad Sci, Inst Earthquake Predict Theory &amp; Math Geophys, Moscow 117997, Russia</t>
  </si>
  <si>
    <t>Russian Academy of Sciences; Geophysical Center of the Russian Academy of Sciences; Arctic &amp; Antarctic Research Institute; Russian Academy of Sciences; Institute of Earthquake Prediction Theory &amp; Mathematical Geophysics</t>
  </si>
  <si>
    <t>Soloviev, A (corresponding author), Russian Acad Sci, Geophys Ctr, 3 Molodezhnaya Str, Moscow 119296, Russia.</t>
  </si>
  <si>
    <t>a.soloviev@gcras.ru</t>
  </si>
  <si>
    <t>Soloviev, Anatoly/AHE-15966-2022; Khokhlov, Andrey/H-4712-2016; Gvishiani, Alexei D/F-8289-2014; Lukianova, Renata/K-3293-2012</t>
  </si>
  <si>
    <t>Soloviev, Anatoly/0000-0002-6476-9471; Gvishiani, Alexei D/0000-0002-4874-7475; Lukianova, Renata/0000-0003-2343-9174; Khokhlov, Andrey/0000-0001-6859-5205</t>
  </si>
  <si>
    <t>Presidium of the RAS [44]</t>
  </si>
  <si>
    <t>Presidium of the RAS(Russian Academy of Sciences)</t>
  </si>
  <si>
    <t>The collection and availability of geomagnetic data at INTERMAGNET: http://www.intermagnet.org; WDC Kyoto: http://wdc.kugi.kyoto-u.ac.jp/; WDC Edinburgh: http://www.wdc.bgs.ac.uk/; WDC Moscow: http://www.wdcb.ru/stp; SPIDR: http://spidr.ngdc.noaa.gov/spidr/; SuperMag: http://supermag.jhuapl.edu/; RapidMag: http://sd-www.jhuapl.edu/rapidmag/; Arctic and Antarctic Research Institute: http://www.aari.nw.ru; Polar Geophysical Institute: http://pgia.ru/lang/ru/data/, Geophysical Center RAS: http://www.gcras.ru/; Russian-Ukrainian Geomagnetic Data Center: http://geomag.gcras.ru/ are gratefully acknowledged. This work was supported by the Program #44 of the Presidium of the RAS.</t>
  </si>
  <si>
    <t>0169-3298</t>
  </si>
  <si>
    <t>1573-0956</t>
  </si>
  <si>
    <t>SURV GEOPHYS</t>
  </si>
  <si>
    <t>Surv. Geophys.</t>
  </si>
  <si>
    <t>10.1007/s10712-014-9297-8</t>
  </si>
  <si>
    <t>AP8OR</t>
  </si>
  <si>
    <t>WOS:000342338800003</t>
  </si>
  <si>
    <t>Vargas-Chacoff, L; Moneva, F; Oyarzún, R; Martínez, D; Muñoz, JLP; Bertrán, C; Mancera, JM</t>
  </si>
  <si>
    <t>Vargas-Chacoff, L.; Moneva, F.; Oyarzun, R.; Martinez, D.; Munoz, J. L. P.; Bertran, C.; Mancera, J. M.</t>
  </si>
  <si>
    <t>Environmental salinity-modified osmoregulatory response in the sub-Antarctic notothenioid fish Eleginops maclovinus</t>
  </si>
  <si>
    <t>Cortisol; Eleginops maclovinus; Na+; K+-ATPase activity; Osmoregulatory organs; Salinity</t>
  </si>
  <si>
    <t>K+-ATPASE ACTIVITY; SOLE SOLEA-SENEGALENSIS; GILTHEAD SEA BREAM; MARINE TELEOST; TIME-COURSE; DICENTRARCHUS-LABRAX; ENERGY-METABOLISM; STRESS RESPONSES; SPARUS-AURATA; GILL NA+</t>
  </si>
  <si>
    <t>In this study we assessed changes in the osmoregulatory system of juvenile sub-Antarctic Eleginops maclovinus submitted to different environmental salinities (5, 15, 32 and 45 psu) using two different acclimation trials: (1) an end-point experiment (exposure for 14 days) and (2) a time course experiment (specimens were sampled on days 1, 3, 7 and 14 post-transfer). Plasma osmolality, cortisol and metabolites (glucose, lactate and protein) values as well as Na+, K+-ATPase (NKA) activity were assessed in several osmoregulatory tissues (gills, kidney and intestine). In both trials, acclimation to different environmental salinities for 14 days induced changes in plasma metabolites (glucose, lactate and proteins) as well as cortisol values related to salinity challenges. Plasma osmolality and gill NKA activity presented a direct and positive relationship with respect to environmental salinity, while kidney NKA activity showed a U-shaped relationship. Anterior intestinal NKA activity increased in response to environmental salinity and apparently did not change in the middle portion of this organ, while it was enhanced in the posterior portion in environmental salinities different than seawater. Plasma metabolite values increased under hypo- and hypersaline conditions, indicating the importance of these energy substrates in extreme environments. The time course study revealed that specimens of E. maclovinus are able to accommodate their osmotic and metabolic system to respond to osmoregulatory challenges by allostatic changes.</t>
  </si>
  <si>
    <t>[Vargas-Chacoff, L.; Moneva, F.; Oyarzun, R.; Martinez, D.; Bertran, C.] Univ Austral Chile, Inst Ciencias Marinas &amp; Limnol, Valdivia, Chile; [Munoz, J. L. P.] Univ Lagos, Ctr I Mar, Puerto Montt, Chile; [Mancera, J. M.] Univ Cadiz, Dept Biol, Fac Ciencias Mar &amp; Ambientales, Cadiz, Spain</t>
  </si>
  <si>
    <t>Universidad Austral de Chile; Universidad de Los Lagos; Universidad de Cadiz</t>
  </si>
  <si>
    <t>Vargas-Chacoff, L (corresponding author), Univ Austral Chile, Inst Ciencias Marinas &amp; Limnol, Valdivia, Chile.</t>
  </si>
  <si>
    <t>luis.vargas@uach.cl</t>
  </si>
  <si>
    <t>Vargas-Chacoff, Luis LVCh/A-5855-2012; Oyarzún-Salazar, Ricardo/HGU-6035-2022; Perez, Jose Luis JLP munoz Muñoz/D-7774-2013; Mancera Romero, Juan Miguel/A-8132-2014</t>
  </si>
  <si>
    <t>Munoz Perez, Jose Luis/0000-0002-4645-0176; MARTINEZ GONZALEZ, DANIXA PAMELA/0000-0002-7363-419X; Vargas-Chacoff, Luis/0000-0002-0497-2582; Mancera Romero, Juan Miguel/0000-0003-0751-5966; Oyarzun-Salazar, Ricardo/0000-0003-3177-399X</t>
  </si>
  <si>
    <t>FONDECYT Project [1110235]</t>
  </si>
  <si>
    <t>FONDECYT Project(Comision Nacional de Investigacion Cientifica y Tecnologica (CONICYT)CONICYT FONDECYT)</t>
  </si>
  <si>
    <t>This study was carried out in the framework of FONDECYT Project 1110235. We thank Dr. Lafayette Eaton and Mr. Ignacio Ruiz-Jarabo (Departamento de Biologia, Facultad de Ciencias del Mar y Ambientales, Universidad de Cadiz, Espana) for their help checking this manuscript and the Direccion de Investigacion of the Universidad Austral de Chile (DID).</t>
  </si>
  <si>
    <t>10.1007/s00300-014-1515-9</t>
  </si>
  <si>
    <t>WOS:000339893400002</t>
  </si>
  <si>
    <t>Evans, CW; Tupmongkol, K</t>
  </si>
  <si>
    <t>Evans, Clive W.; Tupmongkol, Kharnthorn</t>
  </si>
  <si>
    <t>X-cell disease in Antarctic fishes</t>
  </si>
  <si>
    <t>X-cell disease; Notothenioidei; Nototheniidae; Trematominae; Trematomus; Pagothenia; McMurdo Sound; Phylogeny; Chromalveolata; Fungi</t>
  </si>
  <si>
    <t>DAB LIMANDA-LIMANDA; COD GADUS-MORHUA; PAGOTHENIA-BORCHGREVINKI; GILL DISEASE; NORTH-SEA; UNIDENTIFIED CELL; COMMON DAB; TUMORS; NOTOTHENIOIDEI; TREMATOMINAE</t>
  </si>
  <si>
    <t>A number of Antarctic fish species are affected by an unusual gill condition known as X-cell disease, named in reference to morphologically similar lesions of unknown aetiology reported from northern hemisphere fishes. Despite the disease being first recorded in Antarctic fishes over 25 years ago, no progress has been made in identifying its cause or in confirming any possible relationship with northern fishes. Although once thought to be a neoplasm, observations of lesions in non-Antarctic fishes point towards a parasitic origin. The life cycle of the proposed causal organism is unknown, however, and the only stages identified are those of the eponymous cells in the lesions. Here, we show X-cells in diseased gills of the Antarctic nototheniid Trematomus bernacchii represent multinucleate cysts of an unknown parasitic organism. Furthermore, we use molecular genetic methodology to show that the organism responsible is closely related to that identified in X-cell lesions of the common European dab, Limanda limanda and that the disease thus has a global distribution. Phylogenetic tree construction based on 18S rDNA sequences confirms that X-cell organisms form a group of closely related parasites, but robust positioning of the X-cell clade in the tree awaits more extensive genetic sequencing.</t>
  </si>
  <si>
    <t>[Evans, Clive W.; Tupmongkol, Kharnthorn] Univ Auckland, Sch Biol Sci, Auckland 1142, New Zealand</t>
  </si>
  <si>
    <t>University of Auckland</t>
  </si>
  <si>
    <t>Evans, CW (corresponding author), Univ Auckland, Sch Biol Sci, Private Bag 92019, Auckland 1142, New Zealand.</t>
  </si>
  <si>
    <t>c.evans@auckland.ac.nz</t>
  </si>
  <si>
    <t>Evans, Clive/AAZ-4699-2021</t>
  </si>
  <si>
    <t>Evans, Clive/0000-0003-2888-842X</t>
  </si>
  <si>
    <t>10.1007/s00300-014-1518-6</t>
  </si>
  <si>
    <t>WOS:000339893400004</t>
  </si>
  <si>
    <t>Rollinson, DP; Dilley, BJ; Ryan, PG</t>
  </si>
  <si>
    <t>Rollinson, D. P.; Dilley, B. J.; Ryan, P. G.</t>
  </si>
  <si>
    <t>Diving behaviour of white-chinned petrels and its relevance for mitigating longline bycatch</t>
  </si>
  <si>
    <t>Dive depth; Dive duration; Temperature-depth recorders; Seabirds; Bird-scaring lines</t>
  </si>
  <si>
    <t>PRINCE EDWARD ISLANDS; PROCELLARIA-AEQUINOCTIALIS; SEABIRD MORTALITY; FEEDING ECOLOGY; SHEARWATERS; FISHERY; DEPTHS; VESSELS; CROZET</t>
  </si>
  <si>
    <t>The white-chinned petrel (Procellaria aequinoctialis) is the seabird species most commonly killed by Southern Hemisphere longline fisheries. Despite the importance of diving ability for mitigating longline bycatch, little is known of this species' diving behaviour. We obtained data from temperature-depth recorders from nine white-chinned petrels breeding on Marion Island, southwestern Indian Ocean, during the late incubation and chick-rearing period. Maximum dive depth (16 m) was slightly deeper than the previous estimate (13 m), but varied considerably among individuals (range 2-16 m). Males dived deeper than females, and birds feeding chicks dived deeper than incubating birds, but dive rate did not differ between the sexes. Time of day had no significant effect on dive depth or rate. Our findings will help to improve the design and performance of mitigation measures aimed at reducing seabird bycatch in longline fisheries, such as the calculation of minimum line sink rates and optimum aerial coverage of bird-scaring lines.</t>
  </si>
  <si>
    <t>[Rollinson, D. P.; Dilley, B. J.; Ryan, P. G.] Univ Cape Town, DST NRF Ctr Excellence, Percy Fitzpatrick Inst African Ornithol, ZA-7701 Rondebosch, South Africa</t>
  </si>
  <si>
    <t>National Research Foundation - South Africa; University of Cape Town</t>
  </si>
  <si>
    <t>Rollinson, DP (corresponding author), Univ Cape Town, DST NRF Ctr Excellence, Percy Fitzpatrick Inst African Ornithol, ZA-7701 Rondebosch, South Africa.</t>
  </si>
  <si>
    <t>domrollinson@gmail.com</t>
  </si>
  <si>
    <t>Ryan, Peter/0000-0002-3356-2056</t>
  </si>
  <si>
    <t>National Research Foundation; South African Department of Environmental Affairs</t>
  </si>
  <si>
    <t>We thank Otto Whitehead for help using Igor Pro to analyse diving depths, Dominic Henry and Tim Reid for their help with data analysis, and Yan Ropert-Coudert for providing GPS loggers. Financial and logistical support was received from the South African National Antarctic Programme, through the National Research Foundation, and the South African Department of Environmental Affairs.</t>
  </si>
  <si>
    <t>10.1007/s00300-014-1521-y</t>
  </si>
  <si>
    <t>WOS:000339893400007</t>
  </si>
  <si>
    <t>Schründer, S; Schnack-Schiel, SB; Auel, H; Sartoris, FJ</t>
  </si>
  <si>
    <t>Schruender, Sabine; Schnack-Schiel, Sigrid B.; Auel, Holger; Sartoris, Franz Josef</t>
  </si>
  <si>
    <t>Observations of neutral buoyancy in diapausing copepods Calanoides acutus during Antarctic winter</t>
  </si>
  <si>
    <t>Zooplankton; Copepod; Calanoides acutus; Antarctic; Diapause; Buoyancy; Ammonium</t>
  </si>
  <si>
    <t>LIFE-CYCLE STRATEGIES; CALANUS-PROPINQUUS; WEDDELL-SEA; ZOOPLANKTON; LIPIDS; FINMARCHICUS; DENSITY; IDEAS</t>
  </si>
  <si>
    <t>The herbivorous Antarctic copepod Calanoides acutus overwinters inactively in a resting stage (diapause) at depths below 500 m. It is assumed that during diapause C. acutus is neutrally buoyant in order to retain energy reserves otherwise depleted by swimming activities. However, so far, no experimental observations on its buoyancy have been reported and our knowledge of buoyancy regulation mechanisms is incomplete. In the present study, species-specific differences in buoyancy were assessed visually. Observations were made of specimens from the diapausing cohort of C. acutus and compared to another herbivorous copepod Calanus propinquus, which overwinters actively feeding in the upper water layers. Freshly caught copepods were anaesthetized in a 3-amino-benzoic acid ethyl ester (MS222) in seawater solution in order to exclude the influence of swimming movements on buoyancy control. It was shown that C. propinquus was negatively buoyant, whereas diapausing C. acutus remained neutrally buoyant. This is the first record that neutral buoyancy in diapausing copepods is maintained by the biochemical body composition without the additional need of swimming movements.</t>
  </si>
  <si>
    <t>[Schruender, Sabine; Auel, Holger] Univ Bremen, BreMarE Bremen Marine Ecol, D-28334 Bremen, Germany; [Schnack-Schiel, Sigrid B.; Sartoris, Franz Josef] Helmholtz Ctr Polar &amp; Marine Res, Alfred Wegener Inst, D-27570 Bremerhaven, Germany</t>
  </si>
  <si>
    <t>University of Bremen; Helmholtz Association; Alfred Wegener Institute, Helmholtz Centre for Polar &amp; Marine Research</t>
  </si>
  <si>
    <t>Schründer, S (corresponding author), Univ Bremen, BreMarE Bremen Marine Ecol, POB 330440, D-28334 Bremen, Germany.</t>
  </si>
  <si>
    <t>sabines@uni-bremen.de</t>
  </si>
  <si>
    <t>Sartoris, Franz-Josef/0000-0001-7228-3220</t>
  </si>
  <si>
    <t>Deutsche Forschungsgemeinschaft (DFG) [AU 175/6, SA 1713/3]</t>
  </si>
  <si>
    <t>We would like to thank the captain and crew of R/V Polarstern for their competent support during the cruise. Special thanks to Carolin Hauer for her skilful help during zooplankton sampling on board. This work was supported by the Deutsche Forschungsgemeinschaft (DFG) in the framework of the priority programme Antarctic Research with comparative investigations in Arctic ice areas (Grant numbers AU 175/6 and SA 1713/3). http://www.spp-antarktisforschung.de/de.</t>
  </si>
  <si>
    <t>10.1007/s00300-014-1525-7</t>
  </si>
  <si>
    <t>WOS:000339893400013</t>
  </si>
  <si>
    <t>Hally, LA; Paterson, JR</t>
  </si>
  <si>
    <t>Hally, Lee A.; Paterson, John R.</t>
  </si>
  <si>
    <t>Biodiversity, biofacies and biogeography of middle Cambrian (Series 3) arthropods (Trilobita and Agnostida) on the East Gondwana margin</t>
  </si>
  <si>
    <t>GONDWANA RESEARCH</t>
  </si>
  <si>
    <t>Australia; Antarctica; New Zealand; Cambrian Stage 5; Drumian; Guzhangian</t>
  </si>
  <si>
    <t>NORTHERN VICTORIA-LAND; ENGLAND FOLD BELT; COW-HEAD GROUP; NEW-ZEALAND; KAILI FORMATION; U-PB; GEOLOGICAL SIGNIFICANCE; TECTONIC SIGNIFICANCE; CONTINENTAL-MARGIN; DELAMERIAN OROGENY</t>
  </si>
  <si>
    <t>Biomineralised arthropods, notably trilobites and agnostids, represent some of the most abundant and diverse constituents of Cambrian shelly faunas worldwide, and have proven to be excellent tools for biostratigraphy, correlation and biogeography. This study presents the first quantitative biogeographic and diversity analyses of middle Cambrian (Series 3) trilobites and agnostids from the palaeoequatorial East Gondwana margin, comprising mainland Australia, Tasmania, New Zealand and eastern Antarctica. Analysis of 224 genera of trilobites and agnostids from 78 fossil sites across three Cambrian Stage 3 time intervals (Stage 5, Drumian, Guzhangian) is presented. Results of the Stage 5 analyses reveal a major grouping of faunas from the Arafura, Georgina and Warburton basins, plus the Gnalta Shelf in New South Wales, typically represented by deep-water, outer shelf assemblages that commonly contain agnostids, oryctocephalids, Pagetia and Xystridura. Faunal exchange between these depocentres was permitted by a transgression that was associated with tectonically induced subsidence of basement blocks in the Georgina Basin, such as the Mt Isa block, during this stage. Drumian faunas are represented by three distinct site groupings: Group D1 is represented exclusively by several Georgina Basin assemblages that occur in shallow marine (intertidal to subtidal) settings, including the common trilobite genera Asthenopsis, Chondranomocare, Fuchouia and Penarosa, plus a range of agnostids, that inhabited an epeiric sea with connections to the open ocean; Groups D2 and D3 are represented by sites along the entire margin, from northern Australia to the Transantarctic Mountains that characterise a range of shallow to deep marine palaeoenvironments. These complex Drumian groupings most likely reflect long-range faunal exchange along the margin permitted by the eustatic transgression taking place at this time, which particularly influenced the distribution of eurytopic agnostid species that are common in these faunas. Two Drumian faunas from the Hodge Slate and Que River Beds in Tasmania (part of Group D3) exemplify a unique biofacies occurring in a deep-water, outer shelf setting, possibly in the lower photic zone, with the former assemblage containing the blind trilobites Meneviella and Holocephalina, and the latter containing only agnostids. Results of the Guzhangian analyses show four obvious faunal groupings, with Groups G1 and G2 being the largest and representing sites along the entire margin, while Group G3 is restricted to some of the Warburton Basin, Tasmanian and Antarctic sites, and Group G4 comprises only Tasmanian sites. Groups G1 and G2 correspond to Boomerangian and Mindyallan faunas, respectively, representing two temporally separated biofacies situated on the outer shelf to slope: Group G1 assemblages typically contain the trilobites Acontheus, Amphoton, Centropleura, Dorypyge, Fuchouia, Huzhuia, Pianaspis and Solenoparia; and Group G2 faunas often contain the trilobites Blackwelderia, Genevievella, Liostracina, Meteoraspis, Metopotropis, Mindycrusta, Palaeadotes, Rhyssometopus and Townleyella; with both groups containing a considerable number of eurytopic agnostid species. Group G4 assemblages also inhabit outer shelf settings, but have lower diversity, with common taxa including the trilobite Nepea and the agnostids Clavagnostus, Oidalagnostus and Valenagmostus. The considerable number of cosmopolitan Guzhangian agnostid species in association with distinct deep-water trilobite-agnostid assemblages along the entire East Gondwana margin strongly reflects the eustatic transgressive event that reached its pinnacle during this stage of Cambrian Series 3 that allowed for greater faunal exchange between areas on the margin and other palaeocontinents and terranes. The East Gondwana margin represents a biodiversity 'hot spot' during Cambrian Series 3, containing almost one-quarter (similar to 23%) of the trilobite and agnostid genera known worldwide. Our data support previous interpretations that Cambrian Series 3 trilobites and agnostid faunas from the East Gondwana margin, particularly those from Australia and Antarctica, have strong biogeographic links with those from Chinese terranes (especially North and South China), the Himalaya, and to a lesser extent, Iran, Kazakhstan, Laurentia and Siberia. Our data also reveal an overall increase in generic diversity throughout Cambrian Series 3, reaching a peak in the Guzhangian, with major diversifications most likely corresponding to eustatic transgressive phases, particularly in the Drumian and Guzhangian. This diversity trend for the East Gondwana margin closely matches that observed for contemporaneous faunas in other parts of the world, especially in China, Kazakhstan and West Gondwana, although diversity in the latter region reaches an acme in Drumian times. (C) 2014 International Association for Gondwana Research. Published by Elsevier B.V. All rights reserved.</t>
  </si>
  <si>
    <t>[Hally, Lee A.; Paterson, John R.] Univ New England, Div Earth Sci, Sch Environm &amp; Rural Sci, Armidale, NSW 2351, Australia</t>
  </si>
  <si>
    <t>University of New England</t>
  </si>
  <si>
    <t>Hally, LA (corresponding author), Univ New England, Div Earth Sci, Sch Environm &amp; Rural Sci, Armidale, NSW 2351, Australia.</t>
  </si>
  <si>
    <t>lhally2@myune.edu.au; jpater20@une.edu.au</t>
  </si>
  <si>
    <t>Paterson, John R./B-6062-2009</t>
  </si>
  <si>
    <t>Paterson, John/0000-0003-2947-3912</t>
  </si>
  <si>
    <t>Australian Postgraduate Award; Australian Research Council Discovery [DP120104251]; University of New England</t>
  </si>
  <si>
    <t>Australian Postgraduate Award(Australian Government); Australian Research Council Discovery(Australian Research Council); University of New England</t>
  </si>
  <si>
    <t>Funding for this research was provided by an Australian Postgraduate Award to LAH and an Australian Research Council Discovery grant (DP120104251) to JRP, in addition to generous financial assistance from the University of New England. We thank: M. Ebach, J. Jago, J. Laurie, I. Metcalfe and D. Moore for discussions on various aspects of this work and for reading and commenting on an early draft of the manuscript; Dean Oliver for drafting Figs. 1-3 and 10; and J.J. Alvaro and an anonymous referee for their thorough and constructive reviews.</t>
  </si>
  <si>
    <t>1342-937X</t>
  </si>
  <si>
    <t>1878-0571</t>
  </si>
  <si>
    <t>GONDWANA RES</t>
  </si>
  <si>
    <t>Gondwana Res.</t>
  </si>
  <si>
    <t>10.1016/j.gr.2014.04.002</t>
  </si>
  <si>
    <t>AL3OJ</t>
  </si>
  <si>
    <t>WOS:000339037800016</t>
  </si>
  <si>
    <t>Otero, RA; Soto-Acuña, S; Vargas, AO; Rubilar-Rogers, D; Yury-Yáñez, RE; Gutstein, CS</t>
  </si>
  <si>
    <t>Otero, Rodrigo A.; Soto-Acuna, Sergio; Vargas, Alexander O.; Rubilar-Rogers, David; Yury-Yanez, Roberto E.; Gutstein, Carolina S.</t>
  </si>
  <si>
    <t>Additions to the diversity of elasmosaurid plesiosaurs from the Upper Cretaceous of Antarctica</t>
  </si>
  <si>
    <t>New plesiosaurs; Diversity; Uppermost Cretaceous; Antarctica</t>
  </si>
  <si>
    <t>JAMES-ROSS-ISLAND; SEYMOUR ISLAND; MARINE REPTILES; MARAMBIO GROUP; HIGH-LATITUDE; WHITE CLIFFS; SAUROPTERYGIA; STRATIGRAPHY; DINOSAUR; BASIN</t>
  </si>
  <si>
    <t>Three specimens of elasmosaurid plesiosaurs (Sauropteiygia, Plesiosauria) from Upper Cretaceous beds of Antarctica are described here. These include postcranial remains of a single adult individual recovered from late Maastrichtian beds of Marambio (=Seymour) Island, possessing a distinctive combination of features: cervical vertebrae having centra with a triangular outline in transverse section, a vertical groove on the rostral and caudal edge of the neural spines, and a deep articulation over the neural arch for the following postzygapophysis, while the scapula shows an unusually large and anteriorly recurved dorsal process. This combination of features is unknown in any adult, postcranial elasmosaurid genus recovered to date in the Upper Cretaceous of the Weddellian Biogeographic Province and could represent a new form. Additional specimens from James Ross Island comprise the first record of an Aristonectinae (Plesiosauria, Elasmosauridae) in late Campanian beds, being the oldest known record of this sub-family. Finally, a third specimen from the same age and locality reveals the presence of very-long necked elasmosaurids with affinities to typical representatives from the Upper Cretaceous of the Northern Hemisphere. These findings add to the known diversity of Upper Cretaceous elasmosaurids in high latitudes of the Southern Hemisphere. (C) 2013 International Association for Gondwana Research. Published by Elsevier B.V. All rights reserved.</t>
  </si>
  <si>
    <t>[Otero, Rodrigo A.; Soto-Acuna, Sergio; Vargas, Alexander O.] Univ Chile, Fac Ciencias, Dept Biol, Red Paleontol U Chile,Lab Ontogenia &amp; Filogenia, Santiago, Chile; [Soto-Acuna, Sergio; Rubilar-Rogers, David] Museo Nacl Hist Nat, Area Paleontol, Santiago, Chile; [Yury-Yanez, Roberto E.] Univ Chile, Fac Ciencias, Dept Ciencias Ecol, Lab Zool Vertebrados, Santiago, Chile; [Gutstein, Carolina S.] Univ Chile, Fac Ciencias, Dept Ciencias Ecol, Lab Ecofisiol, Santiago, Chile</t>
  </si>
  <si>
    <t>Universidad de Chile; Universidad de Chile; Universidad de Chile</t>
  </si>
  <si>
    <t>Otero, RA (corresponding author), Univ Chile, Fac Ciencias, Dept Biol, Red Paleontol U Chile,Lab Ontogenia &amp; Filogenia, Las Palmeras 3425, Santiago, Chile.</t>
  </si>
  <si>
    <t>paracrioceras@gmail.com</t>
  </si>
  <si>
    <t>Vargas, Alexander O/L-3788-2017; S. Gutstein, Carolina/AGO-2836-2022</t>
  </si>
  <si>
    <t>Vargas, Alexander O/0000-0002-2009-7116; S. Gutstein, Carolina/0000-0002-0823-2434; Soto Acuna, Sergio/0000-0002-9311-9355; Otero, Rodrigo/0000-0002-3046-2973</t>
  </si>
  <si>
    <t>Antarctic Ring Project (Anillos de Ciencia Antartica ACT-105, Conicyt-Chile); Programa de Formacion de Capital Humano Avanzado; Proyecto Domeyko - Universidad de Chile [II UR-C12/1]</t>
  </si>
  <si>
    <t>Antarctic Ring Project (Anillos de Ciencia Antartica ACT-105, Conicyt-Chile)(Comision Nacional de Investigacion Cientifica y Tecnologica (CONICYT)CONICYT PIA/ANILLOS); Programa de Formacion de Capital Humano Avanzado; Proyecto Domeyko - Universidad de Chile</t>
  </si>
  <si>
    <t>This research was supported by the Antarctic Ring Project (Anillos de Ciencia Antartica ACT-105, Conicyt-Chile). We express our gratitude to the Armada de Chile and the crew of the Icebreaker AP Almirante Oscar Viel, for the professional logistics and goodwill that made this field campaign possible. R.E. Yury-Yanez was funded by a master's degree CONICYT-Chile scholarship from the Programa de Formacion de Capital Humano Avanzado. Our thanks also go to E. Fordyce (University of Otago, Dunedin, New Zealand) and P. Scofield (Canterbury Museum, Christchurch, New Zealand) for granting access during May, 2013 to the holotype of K. katiki and CM Zfr 115, respectively. Andrea Llanos (Departamento de Produccion Agricola, Facultad de Ciencias Agronomicas, Universidad de Chile) is especially acknowledged for finding one of the studied specimens. Thanks to J. Le Roux (Departamento de Geologia, Universidad de Chile) for the stylistic review of the english. RAO, SSA, and CSG are currently supported by the Proyecto Domeyko II UR-C12/1 grant of the Universidad de Chile.</t>
  </si>
  <si>
    <t>10.1016/j.gr.2013.07.016</t>
  </si>
  <si>
    <t>WOS:000339037800023</t>
  </si>
  <si>
    <t>Dong, HJ; Zou, XL</t>
  </si>
  <si>
    <t>Dong, Huijie; Zou, Xiaolei</t>
  </si>
  <si>
    <t>Variations of sea ice in the Antarctic and Arctic from 1997-2006</t>
  </si>
  <si>
    <t>FRONTIERS OF EARTH SCIENCE</t>
  </si>
  <si>
    <t>sea ice concentration (SICN); sea ice extent; linear trend</t>
  </si>
  <si>
    <t>VARIABILITY; OSCILLATION; FEEDBACK; TRENDS</t>
  </si>
  <si>
    <t>Sea ice in polar areas is an important part of the global climate system. In order to obtain variations in sea ice extent for the Antarctic and Arctic, this paper analyzed the Special Sensor Microwave/Imager (SSM/I) sea ice data product dating from March 1, 1997 to December 31, 2006. During this period, the sea ice extent increased in the Antarctic with the trend of (0.5467 +/- 0.4933)x10(4) km(2)center dot yr(-1), and decreased in the Arctic with the trend of (-7.6125 +/- 0.3503)x10(4) km(2)center dot yr(-1). In different sectors of the Antarctic, variations of the sea ice extent are different. The sea ice extent increased in the Weddell Sea and Indian Ocean, but decreased in the Ross Sea, Western Pacific Ocean, and Bellingshausen/Amundsen Seas.</t>
  </si>
  <si>
    <t>[Dong, Huijie] Nanjing Univ Informat Sci &amp; Technol, Coll Atmospher Sci, Nanjing 210044, Jiangsu, Peoples R China; [Zou, Xiaolei] Florida State Univ, Dept Earth Ocean &amp; Atmospher Sci, Tallahassee, FL 32304 USA</t>
  </si>
  <si>
    <t>Nanjing University of Information Science &amp; Technology; State University System of Florida; Florida State University</t>
  </si>
  <si>
    <t>Zou, XL (corresponding author), Florida State Univ, Dept Earth Ocean &amp; Atmospher Sci, Tallahassee, FL 32304 USA.</t>
  </si>
  <si>
    <t>shalay99@gmail.com</t>
  </si>
  <si>
    <t>National Basic Research Program of China [2010CB951600]</t>
  </si>
  <si>
    <t>National Basic Research Program of China(National Basic Research Program of China)</t>
  </si>
  <si>
    <t>This work was supported by the National Basic Research Program of China (No. 2010CB951600).</t>
  </si>
  <si>
    <t>2095-0195</t>
  </si>
  <si>
    <t>2095-0209</t>
  </si>
  <si>
    <t>FRONT EARTH SCI-PRC</t>
  </si>
  <si>
    <t>Front. Earth Sci.</t>
  </si>
  <si>
    <t>10.1007/s11707-014-0422-2</t>
  </si>
  <si>
    <t>AK9QI</t>
  </si>
  <si>
    <t>WOS:000338761300007</t>
  </si>
  <si>
    <t>Bramley-Alves, J; Wasley, J; King, CK; Powell, S; Robinson, SA</t>
  </si>
  <si>
    <t>Bramley-Alves, Jessica; Wasley, Jane; King, Catherine K.; Powell, Shane; Robinson, Sharon A.</t>
  </si>
  <si>
    <t>Phytoremediation of hydrocarbon contaminants in subantarctic soils: An effective management option</t>
  </si>
  <si>
    <t>JOURNAL OF ENVIRONMENTAL MANAGEMENT</t>
  </si>
  <si>
    <t>Remediation; Macquarie island; Diesel; Petroleum hydrocarbon; Poa foliosa; Toxicity</t>
  </si>
  <si>
    <t>POLYCYCLIC AROMATIC-HYDROCARBONS; PETROLEUM-HYDROCARBONS; CRUDE-OIL; NATURAL ATTENUATION; MICROBIAL COMMUNITY; FUEL SPILLS; BIODEGRADATION; GRASSES; RHIZOSPHERE; PLANTS</t>
  </si>
  <si>
    <t>Accidental fuel spills on world heritage subantarctic Macquarie Island have caused considerable contamination. Due to the island's high latitude position, its climate, and its fragile ecosystem, traditional methods of remediation are unsuitable for on-site clean up. We investigated the tolerance of a subantarctic native tussock grass, Poa foliosa (Hook. f.), to Special Antarctic Blend (SAB) diesel fuel and its potential to reduce SAB fuel contamination via phytoremediation. Toxicity of SAB fuel to P. foliosa was assessed in an 8 month laboratory growth trial under growth conditions which simulated the island's environment. Single seedlings were planted into 1 L pots of soil spiked with SAB fuel at concentrations of 1000, 5 000, 10 000, 2000 and 40 000 mg/kg (plus control). Plants were harvested at 0, 2, 4 and 8 months and a range of plant productivity endpoints were measured (biomass production, plant morphology and photosynthetic efficiency). Poa foliosa was highly tolerant across all SAB fuel concentrations tested with respect to biomass, although higher concentrations of 20 000 and 40 000 mg SAB/kg soil caused slight reductions in leaf length, width and area. To assess the phytoremediation potential of P. foliosa (to 10 000 mg/kg), soil from the planted pots was compared with that from paired unplanted pots at each SAB fuel concentration. The effect of the plant on SAB fuel concentrations and the associated microbial communities found within the soil (total heterotrophs and hydrocarbon degraders) were compared between planted and unplanted treatments at the 0, 2, 4 and 8 month harvest periods. The presence of plants resulted in significantly less SAB fuel in soils at 2 months and a return to background concentration by 8 months. Microbes did not appear to be the sole driving force behind the observed hydrocarbon loss. This study provides evidence that phytoremediation using P. foliosa is a valuable remediation option for use at Macquarie Island, and may be applicable to the management of fuel spills in other cold climate regions. (C) 2014 Elsevier Ltd. All rights reserved.</t>
  </si>
  <si>
    <t>[Bramley-Alves, Jessica; Robinson, Sharon A.] Univ Wollongong, Sch Biol Sci, Inst Conservat Biol &amp; Environm Management, Wollongong, NSW 2522, Australia; [Wasley, Jane; King, Catherine K.] Australian Antarctic Div, Dept Sustainabil Environm Water Populat &amp; Communi, Kingston, Tas 7050, Australia; [Powell, Shane] Univ Tasmania, Tasmanian Inst Agr, Hobart, Tas 7001, Australia</t>
  </si>
  <si>
    <t>University of Wollongong; Australian Antarctic Division; University of Tasmania</t>
  </si>
  <si>
    <t>Bramley-Alves, J (corresponding author), Univ Wollongong, Sch Biol Sci, Inst Conservat Biol &amp; Environm Management, Wollongong, NSW 2522, Australia.</t>
  </si>
  <si>
    <t>jba605@gmail.com</t>
  </si>
  <si>
    <t>King, Catherine K/G-7059-2017; Robinson, Sharon/B-2683-2008; Powell, Shane M/C-2391-2014; Wasley, Jane/KHX-4880-2024</t>
  </si>
  <si>
    <t>King, Catherine K/0000-0003-3356-0381; Robinson, Sharon/0000-0002-7130-9617; Wasley, Jane/0000-0001-9379-664X; Powell, Shane/0000-0001-5082-1630</t>
  </si>
  <si>
    <t>Australian Antarctic Science grant [AAS 2933]</t>
  </si>
  <si>
    <t>Australian Antarctic Science grant</t>
  </si>
  <si>
    <t>This research was partly funded through an Australian Antarctic Science grant to C. King (AAS 2933). JBA is in receipt of an Australian Postgraduate Award and was the holder of a Roads and Traffic Authority scholarship during the time of the study. The authors would like to thank the Royal Tasmanian Botanic Gardens for providing the plants for this study, members of the AAD remediation team, particularly Greg Hince and Anne Palmer, for assistance with soil chemical analysis, and the Robinson Research Group for comments on the manuscript.</t>
  </si>
  <si>
    <t>0301-4797</t>
  </si>
  <si>
    <t>1095-8630</t>
  </si>
  <si>
    <t>J ENVIRON MANAGE</t>
  </si>
  <si>
    <t>J. Environ. Manage.</t>
  </si>
  <si>
    <t>10.1016/j.jenvman.2014.04.019</t>
  </si>
  <si>
    <t>Environmental Sciences</t>
  </si>
  <si>
    <t>AK4OR</t>
  </si>
  <si>
    <t>WOS:000338404500009</t>
  </si>
  <si>
    <t>Zacher, K</t>
  </si>
  <si>
    <t>Zacher, Katharina</t>
  </si>
  <si>
    <t>The susceptibility of spores and propagules of Antarctic seaweeds to UV and photosynthetically active radiation - Field versus laboratory experiments</t>
  </si>
  <si>
    <t>Adenocystis utricularis; Glacial discharge; Global warming; Himantothallus grandifolius; Iridaea cordata; Light climate</t>
  </si>
  <si>
    <t>KING GEORGE ISLAND; ULTRAVIOLET-RADIATION; DEPTH DISTRIBUTION; POTTER COVE; MARINE MACROALGAE; LIFE-HISTORY; DNA-DAMAGE; ADENOCYSTIS-UTRICULARIS; SACCORHIZA-DERMATODEA; SOLAR-RADIATION</t>
  </si>
  <si>
    <t>The Western Antarctic Peninsula is strongly affected by stratospheric ozone depletion, leading to higher UVB radiation (UVBR) on the Earth surface. It is furthermore experiencing the fastest rates of global warming worldwide, resulting in an increased sediment run-off from glacial melting, altering the underwater light climate. Very little is known of how Antarctic organisms can cope with this rapidly changing environment. Seaweeds play an essential role within the Antarctic coastal ecosystems, building highly complex and productive underwater communities. The unicellular spores are the most sensitive stage in their life-cycle, forming the bottle-neck for successful recruitment. To supplement the very rare field experiments on seaweed propagules, three ecologically important Antarctic seaweeds (Adenocystis utricularis, Himantothallus granthfolius, Iridaea cordata) were investigated. The germination of spores after exposure in the field to different water depths to three light treatments (PAR; PAR + UVA; PAR + UVA + UVB) was recorded. In parallel, spores were exposed to the same treatments under artificial radiation in the laboratory for different periods. Germination of the intertidal species A. utricularis was not affected by the treatments. In spores of I. cordata and H. grandifolius depth was a major factor for successful germination. High PAR fluxes at 1 and 2 m water depth inhibited germination significantly. UVR further lowered germination in H. grandifolius while in I. cordata UVBR had a negative impact only in the laboratory experiment. The results show that already the unicellular life stage expresses strong species-specific susceptibility to changes in the radiation climate. Not only UVR but also the high PAR fluxes in the field are important factors in determining the upper distribution limit of Antarctic seaweeds and laboratory experiments show stronger UVB effects as studies under natural radiation. (C) 2014 Elsevier B.V. All rights reserved.</t>
  </si>
  <si>
    <t>Helmholtz Ctr Polar &amp; Marine Res, Alfred Wegener Inst, D-27570 Bremerhaven, Germany</t>
  </si>
  <si>
    <t>Zacher, K (corresponding author), Helmholtz Ctr Polar &amp; Marine Res, Alfred Wegener Inst, Handelshafen 12, D-27570 Bremerhaven, Germany.</t>
  </si>
  <si>
    <t>katharina.zacher@awi.de</t>
  </si>
  <si>
    <t>10.1016/j.jembe.2014.05.007</t>
  </si>
  <si>
    <t>WOS:000338402000009</t>
  </si>
  <si>
    <t>Chang, YS; Vecchi, GA; Rosati, A; Zhang, SQ; Yang, XS</t>
  </si>
  <si>
    <t>Chang, You-Soon; Vecchi, Gabriel A.; Rosati, Anthony; Zhang, Shaoqing; Yang, Xiaosong</t>
  </si>
  <si>
    <t>Comparison of global objective analyzed T-S fields of the upper ocean for 2008-2011</t>
  </si>
  <si>
    <t>JOURNAL OF MARINE SYSTEMS</t>
  </si>
  <si>
    <t>Objective analysis; Upper ocean temperature; Climatology</t>
  </si>
  <si>
    <t>HEAT-CONTENT; TEMPERATURE; SEA; SALINITY</t>
  </si>
  <si>
    <t>There have been few attempts to quantify errors in various objective analyzed (OA) fields, even though they have potential uncertainties associated with data handling and mapping methods. Here, we compare five different OA fields (EN3, GFDL, IPRC, JAMSTEC, and SIO) for 2008-2011. The variability and linear trends of the upper ocean temperature are very similar in every ocean basin, but the mean values are different from each other. This discrepancy is evident, especially around the southern ocean (+/- 0.07 degrees C in the Antarctic Ocean) where Argo observations are still sparse, which is related to different first-guess climatologies and decorrelation length scales applied to individual OA products. In the subpolar North Atlantic, detailed spatial anomalous patterns are also different. Along the boundary current areas, substantial warming (salting) anomalies with respect to WOA09 climatology are depicted by GFDL, IPRC, and SIO. By comparing with statistical bin-averaged fields and data assimilation products, we confirm that this anomalous pattern is robust, but it could be exaggerated when we calculate the anomalies with WOA09 climatology or other OA fields showing a relatively weak horizontal gradient across the boundary current regions. (C) 2014 Elsevier B.V. All rights reserved.</t>
  </si>
  <si>
    <t>[Chang, You-Soon] Kongju Natl Univ, Dept Earth Sci Educ, Kong Ju 314701, South Korea; [Vecchi, Gabriel A.; Rosati, Anthony; Zhang, Shaoqing; Yang, Xiaosong] Geophys Fluid Dynam Lab, Princeton, NJ USA; [Rosati, Anthony; Yang, Xiaosong] Univ Corp Atmospher Res, Boulder, CO USA</t>
  </si>
  <si>
    <t>Kongju National University; National Oceanic Atmospheric Admin (NOAA) - USA; National Center Atmospheric Research (NCAR) - USA</t>
  </si>
  <si>
    <t>Chang, YS (corresponding author), Kongju Natl Univ, Dept Earth Sci Educ, Kong Ju 314701, South Korea.</t>
  </si>
  <si>
    <t>yschang@kongju.ac.kr</t>
  </si>
  <si>
    <t>Vecchi, Gabriel/A-2413-2008; Yang, Xiaosong/C-7260-2009</t>
  </si>
  <si>
    <t>Vecchi, Gabriel/0000-0002-5085-224X; Chang, You-Soon/0000-0002-8625-1876</t>
  </si>
  <si>
    <t>Visiting Scientist Program at the National Oceanic and Atmospheric Administration's Geophysical Fluid Dynamics Laboratory (NOAA/GFDL)</t>
  </si>
  <si>
    <t>Visiting Scientist Program at the National Oceanic and Atmospheric Administration's Geophysical Fluid Dynamics Laboratory (NOAA/GFDL)(National Oceanic Atmospheric Admin (NOAA) - USA)</t>
  </si>
  <si>
    <t>This research was supported by the Visiting Scientist Program at the National Oceanic and Atmospheric Administration's Geophysical Fluid Dynamics Laboratory (NOAA/GFDL), which is administered by the University Corporation for Atmospheric Research (UCAR). We acknowledge the international Argo program for its rich, publicly available database, and research groups on EN3, GFDL, IPRC, JAMSTEC, and SIO, which helped in making this study possible. We thank Prof. Dean Roemmich at SIO for his comments regarding the earlier version of this manuscript.</t>
  </si>
  <si>
    <t>0924-7963</t>
  </si>
  <si>
    <t>1879-1573</t>
  </si>
  <si>
    <t>J MARINE SYST</t>
  </si>
  <si>
    <t>J. Mar. Syst.</t>
  </si>
  <si>
    <t>10.1016/j.jmarsys.2014.04.001</t>
  </si>
  <si>
    <t>Geosciences, Multidisciplinary; Marine &amp; Freshwater Biology; Oceanography</t>
  </si>
  <si>
    <t>Geology; Marine &amp; Freshwater Biology; Oceanography</t>
  </si>
  <si>
    <t>AJ7EE</t>
  </si>
  <si>
    <t>WOS:000337859200002</t>
  </si>
  <si>
    <t>Bass, AM; Munksgaard, NC; O'Grady, D; Williams, MJM; Bostock, HC; Rintoul, SR; Bird, MI</t>
  </si>
  <si>
    <t>Bass, Adrian M.; Munksgaard, Niels C.; O'Grady, Damien; Williams, Michael J. M.; Bostock, Helen C.; Rintoul, Stephen R.; Bird, Michael I.</t>
  </si>
  <si>
    <t>Continuous shipboard measurements of oceanic δ18O, δD and δ13CDIC along a transect from New Zealand to Antarctica using cavity ring-down isotope spectrometry</t>
  </si>
  <si>
    <t>Oxygen isotopes; Hydrogen isotopes; Dissolved inorganic carbon; Antarctica; Sea-ice; Southern ocean; Polar front; Sub-tropical front; Sub-Antarctic front</t>
  </si>
  <si>
    <t>INDIAN-OCEAN; WATER; CIRCULATION; SALINITY; SHELF; SOUTH; C-13</t>
  </si>
  <si>
    <t>Cavity ring-down spectrometers, with automated sampling interfaces, were deployed to allow measurements of water isotopes (delta O-18, delta D) and dissolved inorganic carbon (delta C-13(DIC)) stable isotope ratios at high temporal resolution along a transect from New Zealand to the Antarctic continental shelf. Measurements every 10 min for delta O-18 and delta D, 15 min for DIC yielded 2499 and 2289 discrete measurements respectively. High resolution data enabled the delineation of water mass boundaries as well as revealing insights into surface hydrological and biological processes. delta O-18, delta D, and delta C-13(DIC) decreased southwards, dropping by approximately 1.0 parts per thousand, 7.0 parts per thousand, and 0.5 parts per thousand, respectively. Though the decline in delta C-13(DIC) with latitude was generally linear, the drop in delta O-18 and delta D was punctuated by areas of rapid, significant change corresponding to the Sub-Tropical, Sub-Antarctic and Polar Fronts. North of the Sub-Antarctic Front (approx. 54.5 degrees S) the dominant control on water and DIC isotopes was the precipitation-evaporation balance and the contribution of upwelling waters, respectively. Further south, in close proximity to the sea ice and on the Antarctic shelf, water isotope values were more variable and predominantly influenced by the melting/freezing of sea-ice coupled to inputs from glacial/snow melt water. Local increases in delta C-13(DIC) were likely due to photosynthetic enrichment of the DIC pool. Using this new instrumentation has provided one of the most comprehensive oceanic transect data sets yet achieved and illustrates the potential of these methods to delineate discrete water masses and advance our knowledge of both water and inorganic carbon cycling processes in the ocean. This methodology, combining high-resolution isotopic measurements with hydrographic data, has significant benefits in modelling water mixing in locations with multiple sources and controlling processes. (C) 2014 Elsevier B.V. All rights reserved.</t>
  </si>
  <si>
    <t>[Bass, Adrian M.; Munksgaard, Niels C.; Bird, Michael I.] James Cook Univ, Sch Earth &amp; Environm Sci, Cairns, Qld, Australia; [Bass, Adrian M.; Munksgaard, Niels C.; Bird, Michael I.] James Cook Univ, Ctr Trop Environm &amp; Sustainabil Sci, Cairns, Qld, Australia; [Munksgaard, Niels C.] Charles Darwin Univ, Res Inst Environm &amp; Livelihoods, Darwin, NT 0909, Australia; [O'Grady, Damien] James Cook Univ, Ctr Trop Water &amp; Aquat Ecosyst Res, Cairns, Qld, Australia; [Williams, Michael J. M.; Bostock, Helen C.] Natl Inst Water &amp; Atmospher Res, Wellington, New Zealand; [Rintoul, Stephen R.] Univ Tasmania, Antarctic Climate &amp; Ecosyst Cooperat Res Ctr, Ctr Australian Weather &amp; Climate Res, CSIRO Marine &amp; Atmospher Res, Hobart, Tas, Australia</t>
  </si>
  <si>
    <t>James Cook University; James Cook University; Charles Darwin University; James Cook University; National Institute of Water &amp; Atmospheric Research (NIWA) - New Zealand; Commonwealth Scientific &amp; Industrial Research Organisation (CSIRO); Antarctic Climate &amp; Ecosystems Cooperative Research Centre (ACE CRC); University of Tasmania</t>
  </si>
  <si>
    <t>Bass, AM (corresponding author), James Cook Univ, Sch Earth &amp; Environm Sci, Cairns, Qld, Australia.</t>
  </si>
  <si>
    <t>Adrian.bass@jcu.edu.au</t>
  </si>
  <si>
    <t>Bird, Michael/G-5364-2010; Bostock, Helen/A-6834-2013; Rintoul, Stephen R/A-1471-2012; Bass, Adrian/A-6133-2016</t>
  </si>
  <si>
    <t>Bird, Michael/0000-0003-1801-8703; Bostock, Helen/0000-0002-8903-8958; Rintoul, Stephen R/0000-0002-7055-9876; Bass, Adrian/0000-0003-3982-6582; O'Grady, Damien/0000-0002-2355-2305</t>
  </si>
  <si>
    <t>Cooperative Research Centre program of the Australian Government, through the Antarctic Climate and Ecosystems Cooperative Research Centre; Australian Government Department of the Environment; Bureau of Meteorology and CSIRO through the Australian Climate Change Science Program; National Institute of Water and Atmospheric Research through its government core research [COPR1304, CLCS1301]; Australian Research Council grant [LE130100159]; Australian Research Council [LE130100159] Funding Source: Australian Research Council</t>
  </si>
  <si>
    <t>Cooperative Research Centre program of the Australian Government, through the Antarctic Climate and Ecosystems Cooperative Research Centre(Australian GovernmentDepartment of Industry, Innovation and ScienceCooperative Research Centres (CRC) Programme); Australian Government Department of the Environment(Australian Government); Bureau of Meteorology and CSIRO through the Australian Climate Change Science Program; National Institute of Water and Atmospheric Research through its government core research; Australian Research Council grant(Australian Research Council); Australian Research Council(Australian Research Council)</t>
  </si>
  <si>
    <t>We thank the Captain and crew of the RV Tangaroa for their assistance, Rob Smith for extracting the sea surface temperature data, and Sergei Sokolov for extracting the front positions from sea surface height data. This study was supported in part by the Cooperative Research Centre program of the Australian Government, through the Antarctic Climate and Ecosystems Cooperative Research Centre and by the Australian Government Department of the Environment, the Bureau of Meteorology and CSIRO through the Australian Climate Change Science Program, and the National Institute of Water and Atmospheric Research through its government funded core research (COPR1304 and CLCS1301). Additional funding was provided by an Australian Research Council grant (LE130100159). Insightful reviews from two anonymous reviewers greatly improved this manuscript.</t>
  </si>
  <si>
    <t>10.1016/j.jmarsys.2014.04.003</t>
  </si>
  <si>
    <t>WOS:000337859200003</t>
  </si>
  <si>
    <t>Bouman, J; Fuchs, M; Ivins, E; van der Wal, W; Schrama, E; Visser, P; Horwath, M</t>
  </si>
  <si>
    <t>Bouman, J.; Fuchs, M.; Ivins, E.; van der Wal, W.; Schrama, E.; Visser, P.; Horwath, M.</t>
  </si>
  <si>
    <t>Antarctic outlet glacier mass change resolved at basin scale from satellite gravity gradiometry</t>
  </si>
  <si>
    <t>basin-scale ice mass change; Amundsen Sea Sector; Antarctica; satellite gravimetry</t>
  </si>
  <si>
    <t>GRACE; FIELD; GOCE; GREENLAND; ICESAT; IMPACT</t>
  </si>
  <si>
    <t>The orbit and instrumental measurement of the Gravity Field and Steady State Ocean Circulation Explorer (GOCE) satellite mission offer the highest ever resolution capabilities for mapping Earth's gravity field from space. However, past analysis predicted that GOCE would not detect changes in ice sheet mass. Here we demonstrate that GOCE gravity gradiometry observations can be combined with Gravity Recovery and Climate Experiment (GRACE) gravity data to estimate mass changes in the Amundsen Sea Sector. This refined resolution allows land ice changes within the Pine Island Glacier (PIG), Thwaites Glacier, and Getz Ice Shelf drainage systems to be measured at respectively -677, -6312, and -559 Gt/yr over the GOCE observing period of November 2009 to June 2012. This is the most accurate pure satellite gravimetry measurement to date of current mass loss from PIG, known as the weak underbelly of West Antarctica because of its retrograde bed slope and high potential for raising future sea level.</t>
  </si>
  <si>
    <t>[Bouman, J.; Fuchs, M.] Deutsches Geodat Forschungsinst, Munich, Germany; [Ivins, E.] CALTECH, Jet Prop Lab, Pasadena, CA USA; [van der Wal, W.; Schrama, E.; Visser, P.] Delft Univ Technol, Fac Aerosp Engn, Delft, Netherlands; [Horwath, M.] Tech Univ Munich, Inst Astron &amp; Phys Geodasie, D-80290 Munich, Germany</t>
  </si>
  <si>
    <t>California Institute of Technology; National Aeronautics &amp; Space Administration (NASA); NASA Jet Propulsion Laboratory (JPL); Delft University of Technology; Technical University of Munich</t>
  </si>
  <si>
    <t>Bouman, J (corresponding author), Deutsches Geodat Forschungsinst, Munich, Germany.</t>
  </si>
  <si>
    <t>bouman@dgfi.badw.de</t>
  </si>
  <si>
    <t>Horwath, Martin/ABH-4320-2020; Bouman, Johannes/C-3521-2015</t>
  </si>
  <si>
    <t>SCHRAMA, ERNST/0000-0002-9654-4082; van der Wal, Wouter/0000-0001-8030-9080</t>
  </si>
  <si>
    <t>European Space Agency as part of the Support to Science Element (STSE)</t>
  </si>
  <si>
    <t>This work was partially done in the context of the GOCE + Time-Variations study, which was supported by the European Space Agency as part of the Support to Science Element (STSE). All GOCE and GRACE products are freely available (e.g., http://podaac.jpl.nasa.gov/GRACE, http://icgem.gfz-potsdam.de, or http://earth.esa.int/goce). We thank Byron Tapley and Srinivas Bettadpur for providing the extended GRACE CSR RL05 solutions.</t>
  </si>
  <si>
    <t>AUG 28</t>
  </si>
  <si>
    <t>10.1002/2014GL060637</t>
  </si>
  <si>
    <t>AQ4HT</t>
  </si>
  <si>
    <t>WOS:000342755400031</t>
  </si>
  <si>
    <t>Matsuda, TS; Nakamura, T; Ejiri, MK; Tsutsumi, M; Shiokawa, K</t>
  </si>
  <si>
    <t>Matsuda, Takashi S.; Nakamura, Takuji; Ejiri, Mitsumu K.; Tsutsumi, Masaki; Shiokawa, Kazuo</t>
  </si>
  <si>
    <t>New statistical analysis of the horizontal phase velocity distribution of gravity waves observed by airglow imaging</t>
  </si>
  <si>
    <t>JOURNAL OF GEOPHYSICAL RESEARCH-ATMOSPHERES</t>
  </si>
  <si>
    <t>OH AIRGLOW; SEASONAL-VARIATIONS; MIDDLE ATMOSPHERE; MOMENTUM FLUX; MESOSPHERE; NIGHTGLOW; EQUATORIAL; IMAGES</t>
  </si>
  <si>
    <t>We have developed a new analysis method for obtaining the power spectrum in the horizontal phase velocity domain from airglow intensity image data to study atmospheric gravity waves. This method can deal with extensive amounts of imaging data obtained on different years and at various observation sites without bias caused by different event extraction criteria for the person processing the data. The new method was applied to sodium airglow data obtained in 2011 at Syowa Station (69 degrees S, 40 degrees E), Antarctica. The results were compared with those obtained from a conventional event analysis in which the phase fronts were traced manually in order to estimate horizontal characteristics, such as wavelengths, phase velocities, and wave periods. The horizontal phase velocity of each wave event in the airglow images corresponded closely to a peak in the spectrum. The statistical results of spectral analysis showed an eastward offset of the horizontal phase velocity distribution. This could be interpreted as the existence of wave sources around the stratospheric eastward jet. Similar zonal anisotropy was also seen in the horizontal phase velocity distribution of the gravity waves by the event analysis. Both methods produce similar statistical results about directionality of atmospheric gravity waves. Galactic contamination of the spectrum was examined by calculating the apparent velocity of the stars and found to be limited for phase speeds lower than 30m/s. In conclusion, our new method is suitable for deriving the horizontal phase velocity characteristics of atmospheric gravity waves from an extensive amount of imaging data.</t>
  </si>
  <si>
    <t>[Matsuda, Takashi S.; Nakamura, Takuji; Ejiri, Mitsumu K.; Tsutsumi, Masaki] Grad Univ Adv Studies SOKENDAI, Dept Polar Sci, Tachikawa, Tokyo, Japan; [Matsuda, Takashi S.; Nakamura, Takuji; Ejiri, Mitsumu K.; Tsutsumi, Masaki] Natl Inst Polar Res, Tachikawa, Tokyo, Japan; [Shiokawa, Kazuo] Nagoya Univ, Solar Terr Environm Lab, Nagoya, Aichi 4648601, Japan</t>
  </si>
  <si>
    <t>Graduate University for Advanced Studies - Japan; Research Organization of Information &amp; Systems (ROIS); National Institute of Polar Research (NIPR) - Japan; Nagoya University</t>
  </si>
  <si>
    <t>Matsuda, TS (corresponding author), Grad Univ Adv Studies SOKENDAI, Dept Polar Sci, Tachikawa, Tokyo, Japan.</t>
  </si>
  <si>
    <t>matsuda.takashi@nipr.ac.jp</t>
  </si>
  <si>
    <t>Nakamura, Takuji/0000-0002-3876-2946</t>
  </si>
  <si>
    <t>JSPS [24340121]; National Institute of Polar Research [KP-2]; 52nd Japanese Antarctic Research Expedition (JARE) under the VIII term prioritized project [AJ-1]</t>
  </si>
  <si>
    <t>JSPS(Ministry of Education, Culture, Sports, Science and Technology, Japan (MEXT)Japan Society for the Promotion of Science); National Institute of Polar Research(National Institute of Polar Research (NIPR) - Japan); 52nd Japanese Antarctic Research Expedition (JARE) under the VIII term prioritized project</t>
  </si>
  <si>
    <t>This work was supported by the JSPS Grant-in-Aid for Scientific Research (B) (grant 24340121) and Project Research KP-2 project of National Institute of Polar Research. The airglow imager of the Optical Mesosphere Thermosphere Imagers (OMTIs) experiment used in this study was developed and is owned by the Solar-Terrestrial Environment Laboratory of Nagoya University. It was operated at Syowa Station, Antarctica, by the 52nd Japanese Antarctic Research Expedition (JARE) under the VIII term prioritized project AJ-1. We are grateful to Yoshihiro Tomikawa for his helpful comments and suggestions.</t>
  </si>
  <si>
    <t>2169-897X</t>
  </si>
  <si>
    <t>2169-8996</t>
  </si>
  <si>
    <t>J GEOPHYS RES-ATMOS</t>
  </si>
  <si>
    <t>J. Geophys. Res.-Atmos.</t>
  </si>
  <si>
    <t>AUG 27</t>
  </si>
  <si>
    <t>10.1002/2014JD021543</t>
  </si>
  <si>
    <t>AP3RF</t>
  </si>
  <si>
    <t>WOS:000341994000008</t>
  </si>
  <si>
    <t>Younger, JP; Lee, CS; Reid, IM; Vincent, RA; Kim, YH; Murphy, DJ</t>
  </si>
  <si>
    <t>Younger, J. P.; Lee, C. S.; Reid, I. M.; Vincent, R. A.; Kim, Y. H.; Murphy, D. J.</t>
  </si>
  <si>
    <t>The effects of deionization processes on meteor radar diffusion coefficients below 90 km</t>
  </si>
  <si>
    <t>NEGATIVE-ION REACTIONS; LABORATORY MEASUREMENTS; MESOSPHERE; RECOMBINATION; TEMPERATURES; OZONE; IONIZATION; ATTACHMENT; CHEMISTRY; ECHOES</t>
  </si>
  <si>
    <t>The decay times of VHF radar echoes from underdense meteor trails are reduced in the lower portions of the meteor region. This is a result of plasma neutralization initiated by the attachment of positive trail ions to neutral atmospheric molecules. Decreased echo decay times cause meteor radars to produce erroneously high estimates of the ambipolar diffusion coefficient at heights below 90 km, which affects temperature estimation techniques. Comparisons between colocated radars and satellite observations show that meteor radar estimates of diffusion coefficients are not consistent with estimates from the Aura Microwave Limb Sounder satellite instrument and that colocated radars operating at different frequencies estimate different values of the ambipolar diffusion coefficient for simultaneous detections of the same meteors. Loss of free electrons from meteor trails due to attachment to aerosols and chemical processes were numerically simulated and compared with observations to determine the specific mechanism responsible for low-altitude meteor trail plasma neutralization. It is shown that three-body attachment of positive metal ions significantly reduces meteor radar echo decay times at low altitudes compared to the case of diffusion only that atmospheric ozone plays little part in the evolution of low-altitude underdense meteor trails and that the effect of three-body attachment begins to exceed diffusion in echo decay times at a constant density surface.</t>
  </si>
  <si>
    <t>[Younger, J. P.; Reid, I. M.] ATRAD Pty Ltd, Thebarton, SA, Australia; [Younger, J. P.; Reid, I. M.; Vincent, R. A.] Univ Adelaide, Sch Chem &amp; Phys, Adelaide, SA, Australia; [Lee, C. S.] Korea Polar Res Inst, Inchon, South Korea; [Kim, Y. H.] Chungnam Natl Univ, Dept Astron &amp; Space Sci, Taejon, South Korea; [Murphy, D. J.] Australian Antarctic Div, Kingston, Tas, Australia</t>
  </si>
  <si>
    <t>ATRAD Pty Ltd.; University of Adelaide; Korea Institute of Ocean Science &amp; Technology (KIOST); Korea Polar Research Institute (KOPRI); Chungnam National University; Australian Antarctic Division</t>
  </si>
  <si>
    <t>Younger, JP (corresponding author), ATRAD Pty Ltd, Thebarton, SA, Australia.</t>
  </si>
  <si>
    <t>joel.younger@adelaide.edu.au</t>
  </si>
  <si>
    <t>Kim, Yong Ha/AAS-9908-2021; Vincent, Robert A/E-5450-2013; Reid, Iain/B-5681-2012; Younger, Joel/I-4601-2012</t>
  </si>
  <si>
    <t>Vincent, Robert A/0000-0001-6559-6544; Reid, Iain/0000-0003-2340-9047; Younger, Joel/0000-0003-2918-1709</t>
  </si>
  <si>
    <t>Australian Research Council [DP0878144, DP1096901]; ASAC [2325]; National Research Foundation of Korea - the Korea government (MEST); Korea Polar Research Institute [PE14010]; Australian Research Council [DP1096901, DP0878144] Funding Source: Australian Research Council</t>
  </si>
  <si>
    <t>Australian Research Council(Australian Research Council); ASAC; National Research Foundation of Korea - the Korea government (MEST)(National Research Foundation of KoreaMinistry of Education, Science &amp; Technology (MEST), Republic of Korea); Korea Polar Research Institute(Korea Polar Research Institute of Marine Research Placement (KOPRI)); Australian Research Council(Australian Research Council)</t>
  </si>
  <si>
    <t>This study has been supported by Australian Research Council grants DP0878144 and DP1096901 and ASAC grant 2325. Additional funding was provided by the National Research Foundation of Korea grant funded by the Korea government (MEST) and also by Korea Polar Research Institute (PE14010). The authors would like to thank the Aura MLS team for providing the geopotential height and temperature measurements used in this study. The authors would also like to thank Graham Elford for his constructive discussions and John Plane for his helpful advice. Aura MLS data are available from http://disc.sci.gsfc.nasa.gov/Aura/data-holdings/MLS. Meteor radar data are available from The University of Adelaide and the Australian Antarctic Division upon request.</t>
  </si>
  <si>
    <t>10.1002/2014JD021787</t>
  </si>
  <si>
    <t>WOS:000341994000027</t>
  </si>
  <si>
    <t>Pelland, NA; Sterling, JT; Lea, MA; Bond, NA; Ream, RR; Lee, CM; Eriksen, CC</t>
  </si>
  <si>
    <t>Pelland, Noel A.; Sterling, Jeremy T.; Lea, Mary-Anne; Bond, Nicholas A.; Ream, Rolf R.; Lee, Craig M.; Eriksen, Charles C.</t>
  </si>
  <si>
    <t>Fortuitous Encounters between Seagliders and Adult Female Northern Fur Seals (Callorhinus ursinus) off the Washington (USA) Coast: Upper Ocean Variability and Links to Top Predator Behavior</t>
  </si>
  <si>
    <t>CALIFORNIA CURRENT SYSTEM; OCEANOGRAPHIC FEATURES; MESOSCALE EDDIES; TRANSITION ZONE; PUP PRODUCTION; MIXED-LAYER; RIVER PLUME; EDDY; GULF; PACIFIC</t>
  </si>
  <si>
    <t>Behavioral responses by top marine predators to oceanographic features such as eddies, river plumes, storms, and coastal topography suggest that biophysical interactions in these zones affect predators' prey, foraging behaviors, and potentially fitness. However, examining these pathways is challenged by the obstacles inherent in obtaining simultaneous observations of surface and subsurface environmental fields and predator behavior. In this study, migratory movements and, in some cases, diving behavior of 40 adult female northern fur seals (NFS; Callorhinus ursinus) were quantified across their range and compared to remotely-sensed environmental data in the Gulf of Alaska and California Current ecosystems, with a particular focus off the coast of Washington State (USA) - a known foraging ground for adult female NFS and where autonomous glider sampling allowed opportunistic comparison of seal behavior to subsurface biophysical measurements. The results show that in these ecosystems, adult female habitat utilization was concentrated near prominent coastal topographic, riverine, or inlet features and within 200 km of the continental shelf break. Seal dive depths, in most ecosystems, were moderated by surface light level (solar or lunar), mirroring known behaviors of diel vertically-migrating prey. However, seal dives differed in the California Current ecosystem due to a shift to more daytime diving concentrated at or below the surface mixed layer base. Seal movement models indicate behavioral responses to season, ecosystem, and surface wind speeds; individuals also responded to mesoscale eddies, jets, and the Columbia River plume. Foraging within small scale surface features is consistent with utilization of the inner coastal transition zone and habitats near coastal capes, which are known eddy and filament generation sites. These results contribute to our knowledge of NFS migratory patterns by demonstrating surface and subsurface behavioral responses to a spatially and temporally dynamic ocean environment, thus reflecting its influence on associated NFS prey species.</t>
  </si>
  <si>
    <t>[Pelland, Noel A.; Lee, Craig M.; Eriksen, Charles C.] Univ Washington, Sch Oceanog, Seattle, WA 98195 USA; [Sterling, Jeremy T.; Ream, Rolf R.] NOAA, Natl Marine Mammal Lab, Natl Oceanog &amp; Atmospher Adm, Seattle, WA USA; [Lea, Mary-Anne] Univ Tasmania, Inst Marine &amp; Antarctic Studies, Hobart, Tas, Australia; [Bond, Nicholas A.] Univ Washington, Joint Inst Study Atmosphere &amp; Oceans, Seattle, WA 98195 USA; [Lee, Craig M.] Univ Washington, Appl Phys Lab, Seattle, WA 98105 USA</t>
  </si>
  <si>
    <t>University of Washington; University of Washington Seattle; National Oceanic Atmospheric Admin (NOAA) - USA; University of Tasmania; University of Washington; University of Washington Seattle; University of Washington; University of Washington Seattle</t>
  </si>
  <si>
    <t>Pelland, NA (corresponding author), Univ Washington, Sch Oceanog, Seattle, WA 98195 USA.</t>
  </si>
  <si>
    <t>nap2@u.washington.edu</t>
  </si>
  <si>
    <t>Lea, Mary-Anne/E-9054-2013</t>
  </si>
  <si>
    <t>Lea, Mary-Anne/0000-0001-8318-9299</t>
  </si>
  <si>
    <t>NOAA; North Pacific Research Board; National Cooperative Research Program of the NOAA Fisheries Office of Science and Technology; Joint Institute for the Study of the Atmosphere and Ocean at the University of Washington; National Science Foundation [OCE9911036, OCE0095414, OCE0526634]; National Oceanographic Partnership Program; Directorate For Geosciences; Division Of Ocean Sciences [1129090] Funding Source: National Science Foundation</t>
  </si>
  <si>
    <t>NOAA(National Oceanic Atmospheric Admin (NOAA) - USA); North Pacific Research Board; National Cooperative Research Program of the NOAA Fisheries Office of Science and Technology; Joint Institute for the Study of the Atmosphere and Ocean at the University of Washington; National Science Foundation(National Science Foundation (NSF)); National Oceanographic Partnership Program; Directorate For Geosciences; Division Of Ocean Sciences(National Science Foundation (NSF)NSF - Directorate for Geosciences (GEO))</t>
  </si>
  <si>
    <t>Northern fur seal tagging, monitoring, and analysis was funded by NOAA (www.noaa.gov), the North Pacific Research Board (www.nprb.org), the National Cooperative Research Program of the NOAA Fisheries Office of Science and Technology (www.st.nmfs.noaa.gov/cooperative-research/index), and the Joint Institute for the Study of the Atmosphere and Ocean at the University of Washington (jisao.washington.edu). Northern fur seal research was performed under National Marine Mammal Laboratory permits 782-1455 and 782-1708. Seaglider field work and analysis was supported by National Science Foundation (www.nsf.gov) grants OCE9911036, OCE0095414, and OCE0526634, with assistance in Seaglider development from the Office of Naval Research (www.onr.navy. mil) and National Oceanographic Partnership Program (www.nopp.org). The funders had no role in study design, data collection and analysis, decision to publish, or preparation of the manuscript.</t>
  </si>
  <si>
    <t>AUG 25</t>
  </si>
  <si>
    <t>e101268</t>
  </si>
  <si>
    <t>10.1371/journal.pone.0101268</t>
  </si>
  <si>
    <t>AN9TR</t>
  </si>
  <si>
    <t>Green Submitted, Green Accepted, gold, Green Published</t>
  </si>
  <si>
    <t>WOS:000340952200003</t>
  </si>
  <si>
    <t>Christner, BC; Priscu, JC; Achberger, AM; Barbante, C; Carter, SP; Christianson, K; Michaud, AB; Mikucki, JA; Mitchell, AC; Skidmore, ML; Vick-Majors, TJ</t>
  </si>
  <si>
    <t>Christner, Brent C.; Priscu, John C.; Achberger, Amanda M.; Barbante, Carlo; Carter, Sasha P.; Christianson, Knut; Michaud, Alexander B.; Mikucki, Jill A.; Mitchell, Andrew C.; Skidmore, Mark L.; Vick-Majors, Trista J.</t>
  </si>
  <si>
    <t>WISSARD Sci Team</t>
  </si>
  <si>
    <t>A microbial ecosystem beneath the West Antarctic ice sheet</t>
  </si>
  <si>
    <t>ACTIVE RESERVOIR BENEATH; SUBGLACIAL LAKE WHILLANS; VOSTOK; STREAM; THYMIDINE; BACTERIA; NITRATE; WATERS; SHELF</t>
  </si>
  <si>
    <t>Liquid water has been known to occur beneath the Antarctic ice sheet for more than 40 years(1), but only recently have these subglacial aqueous environments been recognized as microbial ecosystems that may influence biogeochemical transformations on a global scale(2-4). Here we present the first geomicrobiological description of water and surficial sediments obtained from direct sampling of a subglacial Antarctic lake. Subglacial Lake Whillans (SLW) lies beneath approximately 800m of ice on the lower portion of the Whillans Ice Stream (WIS) in West Antarctica and is part of an extensive and evolving subglacial drainage network(5). The water column of SLW contained metabolically active microorganisms and was derived primarily from glacial ice melt with solute sources from lithogenic weathering and a minor seawater component. Heterotrophic and autotrophic production data together with small subunit ribosomal RNA gene sequencing and biogeochemical data indicate that SLWis a chemosynthetically driven ecosystem inhabited by a diverse assemblage of bacteria and archaea. Our results confirm that aquatic environments beneath the Antarctic ice sheet support viablemicrobial ecosystems, corroborating previous reports suggesting that they contain globally relevant pools of carbon and microbes(2,4) that can mobilize elements from the lithosphere(6) and influence Southern Ocean geochemical and biological systems(7).</t>
  </si>
  <si>
    <t>[Christner, Brent C.; Achberger, Amanda M.] Louisiana State Univ, Dept Biol Sci, Baton Rouge, LA 70803 USA; [Priscu, John C.; Michaud, Alexander B.; Vick-Majors, Trista J.] Montana State Univ, Dept Land Resources &amp; Environm Sci, Bozeman, MT 59717 USA; [Barbante, Carlo] CNR, Inst Dynam Environm Proc, I-30123 Venice, Italy; [Barbante, Carlo] Ca Foscari Univ Venice, Dept Environm Sci Informat &amp; Stat, I-30123 Venice, Italy; [Carter, Sasha P.] Univ Calif San Diego, Scripps Inst Oceanog, Inst Geophys &amp; Planetary Phys, La Jolla, CA 92093 USA; [Christianson, Knut] St Olaf Coll, Dept Phys, Northfield, MN 55057 USA; [Mikucki, Jill A.] Univ Tennessee, Dept Microbiol, Knoxville, TN 37996 USA; [Mitchell, Andrew C.] Aberystwyth Univ, Dept Geog &amp; Earth Sci, Aberystwyth SY23 3DB, Dyfed, Wales; [Skidmore, Mark L.] Montana State Univ, Dept Earth Sci, Bozeman, MT 59717 USA</t>
  </si>
  <si>
    <t>Louisiana State University System; Louisiana State University; Montana State University System; Montana State University Bozeman; Consiglio Nazionale delle Ricerche (CNR); Istituto per la Dinamica dei Processi Ambientali (IDPA-CNR); Universita Ca Foscari Venezia; University of California System; University of California San Diego; Scripps Institution of Oceanography; Saint Olaf College; University of Tennessee System; University of Tennessee Knoxville; Aberystwyth University; Montana State University System; Montana State University Bozeman</t>
  </si>
  <si>
    <t>Christner, BC (corresponding author), Louisiana State Univ, Dept Biol Sci, Baton Rouge, LA 70803 USA.</t>
  </si>
  <si>
    <t>xner@lsu.edu; jpriscu@montana.edu</t>
  </si>
  <si>
    <t>Vick-Majors, Trista/AAQ-6258-2020; Barbante, Carlo/B-3195-2011; Michaud, Alex/AAC-4890-2020; Skidmore, Mark L/I-4317-2018; Horgan, Huw/I-5847-2019; Tulaczyk, Slawek/O-7375-2018</t>
  </si>
  <si>
    <t>Vick-Majors, Trista/0000-0002-6868-4010; Michaud, Alex/0000-0001-5714-8741; Horgan, Huw/0000-0002-4836-0078; Fricker, Helen Amanda/0000-0002-0921-1432; Tulaczyk, Slawek/0000-0002-9711-4332; Barbante, Carlo/0000-0003-4177-2288; Achberger, Amanda/0000-0001-5738-2255</t>
  </si>
  <si>
    <t>National Science Foundation from the Division of Polar Programs [0838933, 0838896, 0838941, 0839142, 0839059, 0838885, 0838855, 0838763, 0839107, 0838947, 0838854, 0838764, 1142123]; NSF [1023233, 1115245, 1247192]; Italian National Antarctic Program; NSF's IGERT Program [0654336]; Montana Space Grant Consortium; Directorate For Geosciences [0838947] Funding Source: National Science Foundation; Directorate For Geosciences; Division Of Polar Programs [0838854, 1023233] Funding Source: National Science Foundation; Directorate For Geosciences; Office of Polar Programs (OPP) [0838763, 0839107, 0838764, 0838896, 0839142, 0838885] Funding Source: National Science Foundation; Directorate For Geosciences; Office of Polar Programs (OPP) [0839059, 1142123, 0838855] Funding Source: National Science Foundation; Division Of Polar Programs; Directorate For Geosciences [0838933, 0838941] Funding Source: National Science Foundation; Office of Polar Programs (OPP) [0838947] Funding Source: National Science Foundation</t>
  </si>
  <si>
    <t>National Science Foundation from the Division of Polar Programs(National Science Foundation (NSF)); NSF(National Science Foundation (NSF)); Italian National Antarctic Program; NSF's IGERT Program; Montana Space Grant Consortium; Directorate For Geosciences(National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Office of Polar Programs (OPP)(National Science Foundation (NSF)NSF - Directorate for Geosciences (GEO))</t>
  </si>
  <si>
    <t>The Whillans Ice Stream Subglacial Access Research Drilling (WISSARD) project was funded by National Science Foundation grants (0838933, 0838896, 0838941, 0839142, 0839059, 0838885, 0838855, 0838763, 0839107, 0838947, 0838854, 0838764 and 1142123) from the Division of Polar Programs. Partial support was also provided by funds from NSF award 1023233 (B. C. C.), NSF award 1115245 (J.C.P.), the NSF's Graduate Research Fellowship Program (1247192; A. M. A.), the Italian National Antarctic Program (C. B.), and fellowships from the NSF's IGERT Program (0654336) and the Montana Space Grant Consortium (A. B. M.). Logistics were provided by the 139th Expeditionary Airlift Squadron of the New York Air National Guard, Kenn Borek Air, and by many dedicated individuals working as part of the Antarctic Support Contractor, managed by Lockheed-Martin. The drilling was directed by F. Rack; D. Blythe, J. Burnett, C. Carpenter, D. Duling (chief driller), D. Gibson, J. Lemery, A. Melby and G. Roberts provided drill support at SLW. L. Geng, B. Vandenheuvel, A. Schauer and E. Steig provided assistance with the stable isotopic analyses. We thank J. Dore for assistance with the nutrient analysis.</t>
  </si>
  <si>
    <t>AUG 21</t>
  </si>
  <si>
    <t>+</t>
  </si>
  <si>
    <t>10.1038/nature13667</t>
  </si>
  <si>
    <t>AN3SF</t>
  </si>
  <si>
    <t>WOS:000340508200035</t>
  </si>
  <si>
    <t>Vernazza, P; Zanda, B; Binzel, RP; Hiroi, T; Demeo, FE; Birlan, M; Hewins, R; Ricci, L; Barge, P; Lockhart, M</t>
  </si>
  <si>
    <t>Vernazza, P.; Zanda, B.; Binzel, R. P.; Hiroi, T.; DeMeo, F. E.; Birlan, M.; Hewins, R.; Ricci, L.; Barge, P.; Lockhart, M.</t>
  </si>
  <si>
    <t>MULTIPLE AND FAST: THE ACCRETION OF ORDINARY CHONDRITE PARENT BODIES</t>
  </si>
  <si>
    <t>meteorites, meteors, meteoroids; methods: data analysis; methods: laboratory: solid state; methods: observational; minor planets, asteroids: general; techniques: spectroscopic</t>
  </si>
  <si>
    <t>X-RAY-DIFFRACTION; ASTEROID 21 LUTETIA; LL-GROUP CHONDRITES; THERMAL EVOLUTION; COLLISIONAL HISTORY; NEAR-EARTH; TROJAN ASTEROIDS; LOW-MASS; SOLAR; BELT</t>
  </si>
  <si>
    <t>Although petrologic, chemical, and isotopic studies of ordinary chondrites and meteorites in general have largely helped establish a chronology of the earliest events of planetesimal formation and their evolution, there are several questions that cannot be resolved via laboratory measurements and/or experiments alone. Here, we propose the rationale for several new constraints on the formation and evolution of ordinary chondrite parent bodies (and, by extension, most planetesimals) from newly available spectral measurements and mineralogical analysis of main-belt S-type asteroids (83 objects) and unequilibrated ordinary chondrite meteorites (53 samples). Based on the latter, we suggest that spectral data may be used to distinguish whether an ordinary chondrite was formed near the surface or in the interior of its parent body. If these constraints are correct, the suggested implications include that: (1) large groups of compositionally similar asteroids are a natural outcome of planetesimal formation and, consequently, meteorites within a given class can originate from multiple parent bodies; (2) the surfaces of large (up to similar to 200 km) S-type main-belt asteroids mostly expose the interiors of the primordial bodies, a likely consequence of impacts by small asteroids (D &lt; 10 km) in the early solar system; (3) the duration of accretion of the H chondrite parent bodies was likely short (instantaneous or in less than similar to 10(5) yr, but certainly not as long as 1 Myr); (4) LL-like bodies formed closer to the Sun than H-like bodies, a possible consequence of the radial mixing and size sorting of chondrules in the protoplanetary disk prior to accretion.</t>
  </si>
  <si>
    <t>[Vernazza, P.; Barge, P.] Aix Marseille Univ, CNRS, LAM, UMR 7326, F-13388 Marseille, France; [Zanda, B.; Hewins, R.] Univ Paris 06, IMPMC, Sorbonne Univ, Museum Natl Hist Nat,UMR CNRS 7590,IRD UMR 206, F-75005 Paris, France; [Binzel, R. P.; DeMeo, F. E.; Lockhart, M.] MIT, Dept Earth Atmospher &amp; Planetary Sci, Cambridge, MA 02139 USA; [Hiroi, T.] Brown Univ, Dept Geol Sci, Providence, RI 02912 USA; [Zanda, B.; Birlan, M.] Observ Paris, IMCCE, F-75014 Paris, France; [Zanda, B.; Hewins, R.] Rutgers State Univ, Dept Earth &amp; Planetary Sci, Piscataway, NJ 08854 USA; [Binzel, R. P.] Observ Paris, IMCCE, Chercheur Associe, F-75014 Paris, France; [Ricci, L.] CALTECH, Pasadena, CA 91125 USA</t>
  </si>
  <si>
    <t>Aix-Marseille Universite; Centre National de la Recherche Scientifique (CNRS); CNRS - National Institute for Earth Sciences &amp; Astronomy (INSU); Universite Paris Cite; Centre National de la Recherche Scientifique (CNRS); Institut de Recherche pour le Developpement (IRD); Sorbonne Universite; Museum National d'Histoire Naturelle (MNHN); Massachusetts Institute of Technology (MIT); Brown University; Universite PSL; Observatoire de Paris; Sorbonne Universite; Rutgers University System; Rutgers University New Brunswick; Universite PSL; Observatoire de Paris; Sorbonne Universite; California Institute of Technology</t>
  </si>
  <si>
    <t>Vernazza, P (corresponding author), Aix Marseille Univ, CNRS, LAM, UMR 7326, F-13388 Marseille, France.</t>
  </si>
  <si>
    <t>Birlan, Mirel/X-8359-2019; IMPMC, ROCKS @/U-8478-2017; Zanda, Brigitte/D-6787-2015; BIRLAN, Mirel/B-5283-2011</t>
  </si>
  <si>
    <t>Zanda, Brigitte/0000-0002-4210-7151; BIRLAN, Mirel/0000-0003-3495-8535; Hiroi, Takahiro/0000-0003-2866-9091</t>
  </si>
  <si>
    <t>European Community's Seventh Framework Programme; National Science Foundation; Division Of Astronomical Sciences; Direct For Mathematical &amp; Physical Scien [0907766] Funding Source: National Science Foundation</t>
  </si>
  <si>
    <t>European Community's Seventh Framework Programme(European Union (EU)); National Science Foundation(National Science Foundation (NSF)); Division Of Astronomical Sciences; Direct For Mathematical &amp; Physical Scien(National Science Foundation (NSF)NSF - Directorate for Mathematical &amp; Physical Sciences (MPS))</t>
  </si>
  <si>
    <t>we thank the referee for his pertinent and constructive remarks. The research leading to these results has received funding from the European Community's Seventh Framework Programme. The work by the MIT coauthors was supported by the National Science Foundation. The near-infrared data were acquired by the authors operating as Visiting Astronomers at the Infrared Telescope Facility, which is operated by the University of Hawaii under Cooperative Agreement with the National Aeronautics and Space Administration, Science Mission Directorate, Planetary Astronomy Program. We warmly thank the Antarctic meteorite collection for providing the ordinary chondrite samples. We thank Cecilia Satterwhite for preparing the samples. We thank Zibulle for producing Figure 6's artwork. We thank Tom Burbine for useful discussions and encouragement. This paper is dedicated to the late Paul Pellas who energetically defended the idea that S-type asteroids are the parent bodies of OCs.</t>
  </si>
  <si>
    <t>AUG 20</t>
  </si>
  <si>
    <t>10.1088/0004-637X/791/2/120</t>
  </si>
  <si>
    <t>AM7EV</t>
  </si>
  <si>
    <t>Green Published, Green Accepted, Bronze, Green Submitted</t>
  </si>
  <si>
    <t>WOS:000340028400047</t>
  </si>
  <si>
    <t>Carter, BA; Retterer, JM; Yizengaw, E; Groves, K; Caton, R; McNamara, L; Bridgwood, C; Francis, M; Terkildsen, M; Norman, R; Zhang, K</t>
  </si>
  <si>
    <t>Carter, B. A.; Retterer, J. M.; Yizengaw, E.; Groves, K.; Caton, R.; McNamara, L.; Bridgwood, C.; Francis, M.; Terkildsen, M.; Norman, R.; Zhang, K.</t>
  </si>
  <si>
    <t>Geomagnetic control of equatorial plasma bubble activity modeled by the TIEGCM with Kp</t>
  </si>
  <si>
    <t>equatorial ionosphere; plasma bubbles; TIEGCM</t>
  </si>
  <si>
    <t>SCINTILLATION; IONOSPHERE; IRREGULARITIES; ENHANCEMENT; VARIABILITY; DRIFTS</t>
  </si>
  <si>
    <t>Describing the day-to-day variability of Equatorial Plasma Bubble (EPB) occurrence remains a significant challenge. In this study we use the Thermosphere-Ionosphere Electrodynamics General Circulation Model (TIEGCM), driven by solar (F-10.7) and geomagnetic (Kp) activity indices, to study daily variations of the linear Rayleigh-Taylor (R-T) instability growth rate in relation to the measured scintillation strength at five longitudinally distributed stations. For locations characterized by generally favorable conditions for EPB growth (i.e., within the scintillation season for that location), we find that the TIEGCM is capable of identifying days when EPB development, determined from the calculated R-T growth rate, is suppressed as a result of geomagnetic activity. Both observed and modeled upward plasma drifts indicate that the prereversal enhancement scales linearly with Kp from several hours prior, from which it is concluded that even small Kp changes cause significant variations in daily EPB growth.</t>
  </si>
  <si>
    <t>[Carter, B. A.; Retterer, J. M.; Yizengaw, E.; Groves, K.; Bridgwood, C.] Boston Coll, Inst Sci Res, Newton, MA 02466 USA; [Carter, B. A.; Norman, R.; Zhang, K.] RMIT Univ, Space Res Ctr, Melbourne, Vic, Australia; [Caton, R.; McNamara, L.] Kirkland AFB, Air Force Res Lab, Albuquerque, NM USA; [Francis, M.; Terkildsen, M.] Bur Meteorol, IPS Radio &amp; Space Serv, Sydney, NSW, Australia</t>
  </si>
  <si>
    <t>Boston College; Royal Melbourne Institute of Technology (RMIT); Melbourne Genomics Health Alliance; United States Department of Defense; United States Air Force; US Air Force Research Laboratory; Bureau of Meteorology - Australia</t>
  </si>
  <si>
    <t>Carter, BA (corresponding author), Boston Coll, Inst Sci Res, Newton, MA 02466 USA.</t>
  </si>
  <si>
    <t>carterba@bc.edu</t>
  </si>
  <si>
    <t>zhang, ke/AAH-8217-2019; Yizengaw, Endawoke/I-3471-2015; Carter, Brett/J-2224-2012; Zhang, Kefei/R-5239-2019; Yizengaw, Endawoke/J-2475-2018</t>
  </si>
  <si>
    <t>Yizengaw, Endawoke/0000-0001-5772-3355; Carter, Brett/0000-0003-4881-3345; Terkildsen, Michael/0000-0002-6290-158X; Norman, Robert/0000-0001-8306-9588; Retterer, John/0000-0002-3240-9308; Groves, Keith/0000-0002-2067-1579</t>
  </si>
  <si>
    <t>Victorian Postdoctoral Research Fellowship; Australian Research Council [LP130100243]; Australian Antarctic Science grant [4159]; NASA LWS [NNX11AP02G]; AFOSR [FA9550-12-104371]; NASA [140031, NNX11AP02G] Funding Source: Federal RePORTER; Australian Research Council [LP130100243] Funding Source: Australian Research Council</t>
  </si>
  <si>
    <t>Victorian Postdoctoral Research Fellowship; Australian Research Council(Australian Research Council); Australian Antarctic Science grant; NASA LWS(National Aeronautics &amp; Space Administration (NASA)); AFOSR(United States Department of DefenseAir Force Office of Scientific Research (AFOSR)); NASA(National Aeronautics &amp; Space Administration (NASA)); Australian Research Council(Australian Research Council)</t>
  </si>
  <si>
    <t>This research was partially supported by the Victorian Postdoctoral Research Fellowship awarded to B. A. Carter, the Australian Research Council Linkage grant (project LP130100243), and the Australian Antarctic Science grant (project 4159) to K. Zhang. E. Yizengaw's time was supported by NASA LWS (NNX11AP02G) and AFOSR (FA9550-12-104371) grants. The support in operating the SCINDA network and the COPEX campaign was provided by the Air Force Research Laboratory. The TIEGCM source code was obtained from the High Altitude Observatory website, http://www.hao.ucar.edu/modeling/tgcm/, and the geomagnetic and solar activity data were obtained from the OMNIWeb website, http://omniweb.gsfc.nasa.gov. The authors are very grateful to the reviewers for their helpful criticisms and suggested improvements to the manuscript. Fruitful interactions with A. Richmond and A. Maute are also very kindly acknowledged.</t>
  </si>
  <si>
    <t>AUG 16</t>
  </si>
  <si>
    <t>10.1002/2014GL060953</t>
  </si>
  <si>
    <t>AP0BI</t>
  </si>
  <si>
    <t>WOS:000341725200002</t>
  </si>
  <si>
    <t>Dutrieux, P; Stewart, C; Jenkins, A; Nicholls, KW; Corr, HFJ; Rignot, E; Steffen, K</t>
  </si>
  <si>
    <t>Dutrieux, Pierre; Stewart, Craig; Jenkins, Adrian; Nicholls, Keith W.; Corr, Hugh F. J.; Rignot, Eric; Steffen, Konrad</t>
  </si>
  <si>
    <t>Basal terraces on melting ice shelves</t>
  </si>
  <si>
    <t>cryosphere; ice shelf-ocean interactions; ocean; ice</t>
  </si>
  <si>
    <t>PINE ISLAND GLACIER; PHASE-SENSITIVE RADAR; WEST ANTARCTICA; BENEATH; SHEET; RETREAT; CIRCULATION; CHANNELS; MODEL; WATER</t>
  </si>
  <si>
    <t>Ocean waters melt the margins of Antarctic and Greenland glaciers, and individual glaciers' responses and the integrity of their ice shelves are expected to depend on the spatial distribution of melt. The bases of the ice shelves associated with Pine Island Glacier (West Antarctica) and Petermann Glacier (Greenland) have similar geometries, including kilometer-wide, hundreds-of-meter high channels oriented along and across the direction of ice flow. The channels are enhanced by, and constrain, oceanic melt. New meter-scale observations of basal topography reveal peculiar glaciated landscapes. Channel flanks are not smooth, but are instead stepped, with hundreds-of-meters-wide flat terraces separated by 5-50m high walls. Melting is shown to be modulated by the geometry: constant across each terrace, changing from one terrace to the next, and greatly enhanced on the similar to 45 degrees inclined walls. Melting is therefore fundamentally heterogeneous and likely associated with stratification in the ice-ocean boundary layer, challenging current models of ice shelf-ocean interactions.</t>
  </si>
  <si>
    <t>[Dutrieux, Pierre; Jenkins, Adrian; Nicholls, Keith W.; Corr, Hugh F. J.] British Antarctic Survey, NERC, Cambridge, England; [Stewart, Craig] Univ Cambridge, Scott Polar Res Inst, Cambridge CB2 1ER, England; [Rignot, Eric] CALTECH, Jet Prop Lab, Pasadena, CA USA; [Rignot, Eric] Univ Calif Irvine, Dept Earth Syst Sci, Irvine, CA USA; [Steffen, Konrad] Swiss Fed Res Inst WLS, Birmensdorf, Switzerland; [Steffen, Konrad] Swiss Fed Inst Technol, Inst Atmosphere &amp; Climate, Zurich, Switzerland</t>
  </si>
  <si>
    <t>UK Research &amp; Innovation (UKRI); Natural Environment Research Council (NERC); NERC British Antarctic Survey; University of Cambridge; National Aeronautics &amp; Space Administration (NASA); NASA Jet Propulsion Laboratory (JPL); California Institute of Technology; University of California System; University of California Irvine; Swiss Federal Institutes of Technology Domain; ETH Zurich</t>
  </si>
  <si>
    <t>Dutrieux, P (corresponding author), British Antarctic Survey, NERC, Cambridge, England.</t>
  </si>
  <si>
    <t>pierre.dutrieux@bas.ac.uk</t>
  </si>
  <si>
    <t>Stewart, Craig/HTL-6429-2023; Rignot, Eric/A-4560-2014; Steffen, Konrad/C-6027-2013; Dutrieux, Pierre/GVS-2890-2022; Jenkins, Adrian/IUN-2406-2023; Corr, Hugh/C-5398-2011</t>
  </si>
  <si>
    <t>Rignot, Eric/0000-0002-3366-0481; Dutrieux, Pierre/0000-0002-8066-934X; Stewart, Craig/0000-0002-3906-1594; Jenkins, Adrian/0000-0002-9117-0616</t>
  </si>
  <si>
    <t>NERC [NE/G001367/1, NE/J005770/1]; NSF [NAG5-12075]; NASA grant, Cryopshere Science Program; Natural Environment Research Council [NE/J005770/1, bas0100028, NE/G001367/1] Funding Source: researchfish; NERC [NE/J005770/1, NE/G001367/1, bas0100028] Funding Source: UKRI</t>
  </si>
  <si>
    <t>NERC(UK Research &amp; Innovation (UKRI)Natural Environment Research Council (NERC)); NSF(National Science Foundation (NSF)); NASA grant, Cryopshere Science Program; Natural Environment Research Council(UK Research &amp; Innovation (UKRI)Natural Environment Research Council (NERC)); NERC(UK Research &amp; Innovation (UKRI)Natural Environment Research Council (NERC))</t>
  </si>
  <si>
    <t>P.D. was supported by the NERC grants NE/G001367/1 and NE/J005770/1. Stanley S. Jacobs and NSF are acknowledged for providing shipboard support during the Autosub observations. Stephen D. McPhail, James R. Perrett, Andrew T. Webb, and David White are acknowledged for configuring and preparing the Autosub missions. Field work on Petermann glacier was supported by the NSF grant NAG5-12075 and a NASA grant from the Cryopshere Science Program. The data used to produce the results of this paper are freely available upon request to the authors.</t>
  </si>
  <si>
    <t>10.1002/2014GL060618</t>
  </si>
  <si>
    <t>Green Published, Green Accepted, Bronze</t>
  </si>
  <si>
    <t>WOS:000341725200025</t>
  </si>
  <si>
    <t>Wagner, TJW; Wadhams, P; Bates, R; Elosegui, P; Stern, A; Vella, D; Abrahamsen, EP; Crawford, A; Nicholls, KW</t>
  </si>
  <si>
    <t>Wagner, Till J. W.; Wadhams, Peter; Bates, Richard; Elosegui, Pedro; Stern, Alon; Vella, Dominic; Abrahamsen, E. Povl; Crawford, Anna; Nicholls, Keith W.</t>
  </si>
  <si>
    <t>The footloose mechanism: Iceberg decay from hydrostatic stresses</t>
  </si>
  <si>
    <t>iceberg breakup observations; iceberg beam theory; iceberg modeling</t>
  </si>
  <si>
    <t>ICE; OCEAN; DRIFT</t>
  </si>
  <si>
    <t>We study a mechanism of iceberg breakup that may act together with the recognized melt and wave-induced decay processes. Our proposal is based on observations from a recent field experiment on a large ice island in Baffin Bay, East Canada. We observed that successive collapses of the overburden from above an unsupported wavecut at the iceberg waterline created a submerged foot fringing the berg. The buoyancy stresses induced by such a foot may be sufficient to cause moderate-sized bergs to break off from the main berg. A mathematical model is developed to test the feasibility of this mechanism. The results suggest that once the foot reaches a critical length, the induced stresses are sufficient to cause calving. The theoretically predicted maximum stable foot length compares well to the data collected in situ. Further, the model provides analytical expressions for the previously observed rampart-moat iceberg surface profiles.</t>
  </si>
  <si>
    <t>[Wagner, Till J. W.] Univ Calif San Diego, Scripps Inst Oceanog, La Jolla, CA 92093 USA; [Wagner, Till J. W.; Wadhams, Peter] Univ Cambridge, Dept Appl Math &amp; Theoret Phys, Cambridge CB3 9EW, England; [Bates, Richard] Univ St Andrews, Sch Geog &amp; Geosci, St Andrews, Fife, Scotland; [Elosegui, Pedro] CSIC, Inst Marine Sci, Barcelona, Spain; [Stern, Alon] NYU, Courant Inst Math Sci, New York, NY USA; [Vella, Dominic] Univ Oxford, Inst Math, Oxford OX1 3LB, England; [Abrahamsen, E. Povl; Nicholls, Keith W.] British Antarctic Survey, NERC, Cambridge CB3 0ET, England; [Crawford, Anna] Carleton Univ, Dept Geog &amp; Environm Studies, Ottawa, ON K1S 5B6, Canada</t>
  </si>
  <si>
    <t>University of California System; University of California San Diego; Scripps Institution of Oceanography; University of Cambridge; University of St Andrews; Consejo Superior de Investigaciones Cientificas (CSIC); CSIC - Centro Mediterraneo de Investigaciones Marinas y Ambientales (CMIMA); CSIC - Instituto de Ciencias del Mar (ICM); New York University; University of Oxford; UK Research &amp; Innovation (UKRI); Natural Environment Research Council (NERC); NERC British Antarctic Survey; Carleton University</t>
  </si>
  <si>
    <t>Wagner, TJW (corresponding author), Univ Calif San Diego, Scripps Inst Oceanog, La Jolla, CA 92093 USA.</t>
  </si>
  <si>
    <t>tjwagner@ucsd.edu</t>
  </si>
  <si>
    <t>Abrahamsen, Povl/B-2140-2008; Vella, Dominic/A-9070-2008</t>
  </si>
  <si>
    <t>Abrahamsen, Povl/0000-0001-5924-5350; Elosegui, Pedro/0000-0002-4120-7855; Vella, Dominic/0000-0003-1341-8863; Wagner, Till/0000-0003-4572-1285; Bates, Charles Richard/0000-0001-9147-7151</t>
  </si>
  <si>
    <t>Office of Naval Research High Latitude Program through the MIZ-DRI [N00014-12-1-0130]; ONR [N00014-13-1-0469]; Natural Environment Research Council [bas0100028] Funding Source: researchfish; NERC [bas0100028] Funding Source: UKRI</t>
  </si>
  <si>
    <t>Office of Naval Research High Latitude Program through the MIZ-DRI; ONR(Office of Naval Research); Natural Environment Research Council(UK Research &amp; Innovation (UKRI)Natural Environment Research Council (NERC)); NERC(UK Research &amp; Innovation (UKRI)Natural Environment Research Council (NERC))</t>
  </si>
  <si>
    <t>We are grateful to Max Fischer for technical support with the lidar and MB scanners and Markus Olsson for support with the GPS buoys. We would further like to thank Ian Eisenman for suggesting the name footloose mechanism, Anthony Anderson for helpful discussions, Jeremy Wilkinson for help in the early stages of the project, and Ted Scambos for insightful comments on an earlier version of the manuscript. We thank BBC Science for facilitating the field experiment. We are grateful to the Office of Naval Research High Latitude Program for supporting the University of Cambridge participation through the MIZ-DRI project, grant N00014-12-1-0130. T.J.W.W. further acknowledges ONR grant N00014-13-1-0469. The data used to produce the results of this letter are freely available upon request from the corresponding author.</t>
  </si>
  <si>
    <t>10.1002/2014GL060832</t>
  </si>
  <si>
    <t>WOS:000341725200027</t>
  </si>
  <si>
    <t>Cava, D; Donateo, A; Contini, D</t>
  </si>
  <si>
    <t>Cava, D.; Donateo, A.; Contini, D.</t>
  </si>
  <si>
    <t>Combined stationarity index for the estimation of turbulent fluxes of scalars and particles in the atmospheric surface layer</t>
  </si>
  <si>
    <t>AGRICULTURAL AND FOREST METEOROLOGY</t>
  </si>
  <si>
    <t>Stationary flows; Turbulent fluxes; Atmospheric surface layer; Eddy covariance; Aerosol; Weak wind</t>
  </si>
  <si>
    <t>CARBON-DIOXIDE; SONIC ANEMOMETER; BOUNDARY-LAYER; WATER-VAPOR; HEAT-FLUX; NONSTATIONARITY; ENERGY; AIRCRAFT; BUOYANCY; BALANCE</t>
  </si>
  <si>
    <t>In this work the performances of three different tests widely used in scientific community for assessing turbulent flow stationarity have been tested and compared. The stationarity tests have been applied to turbulent fluxes of different scalars (temperature, carbon dioxide and water vapour concentration, ultrafine particle number concentration), collected over a wide range of surface roughness conditions, from almost smooth surfaces to surfaces with different degrees of complexity: suburban, urban and forested canopies. The application of the selected tests to the scalar and particle turbulent fluxes measured above the different experimental sites has frequently shown an ambiguous identification of non-stationarity in turbulent flux records, regardless of the surface conditions and of the transported quantity. The potential impact of surface characteristics, transported scalar, atmospheric stratification and micrometeorological conditions on test performances has been investigated. Finally a new operative stationarity index obtained by the combination of two tests has been proposed to assess the second-order stationarity of turbulence time series. (C) 2014 Elsevier B.V. All rights reserved.</t>
  </si>
  <si>
    <t>[Cava, D.; Donateo, A.; Contini, D.] ISAC CNR, I-73100 Lecce, Italy</t>
  </si>
  <si>
    <t>Consiglio Nazionale delle Ricerche (CNR); Istituto di Scienze dell'Atmosfera e del Clima (ISAC-CNR)</t>
  </si>
  <si>
    <t>Cava, D (corresponding author), ISAC CNR, Str Prov Lecce Monteroni Km 1-2, I-73100 Lecce, Italy.</t>
  </si>
  <si>
    <t>d.cava@le.isac.cnr.it</t>
  </si>
  <si>
    <t>Cava, Daniela/B-8328-2015; Cava, Daniela/H-7576-2018; Donateo, Antonio/F-3621-2010; Contini, Daniele/N-7070-2014</t>
  </si>
  <si>
    <t>Cava, Daniela/0000-0003-0676-3749; Cava, Daniela/0000-0003-0676-3749; Donateo, Antonio/0000-0002-9214-1067; Contini, Daniele/0000-0003-4454-0642</t>
  </si>
  <si>
    <t>PNRA (Progetto Nazionale Ricerche in Antartide)</t>
  </si>
  <si>
    <t>This work was supported by PNRA (Progetto Nazionale Ricerche in Antartide) under the Project ABCLIMAT Artide ed Antartide: influenza dello strato limite atmosferico sul clima. The authors wish to thank Dr. C.Elefante (University of Salento) and Dr. F.M.Grasso (CNR-ISAC) for their precious support in the measurement campaigns; Prof. G. Katul (Duke University, NC, USA) for providing data collected above the Pine Duke Forest (experimental site FOR2); and Dr S. Argentini (CNR-ISAC) for providing data collected above the Antarctic Plateau at Concordia station (experimental site ICE3).</t>
  </si>
  <si>
    <t>0168-1923</t>
  </si>
  <si>
    <t>1873-2240</t>
  </si>
  <si>
    <t>AGR FOREST METEOROL</t>
  </si>
  <si>
    <t>Agric. For. Meteorol.</t>
  </si>
  <si>
    <t>AUG 15</t>
  </si>
  <si>
    <t>10.1016/j.agrformet.2014.03.021</t>
  </si>
  <si>
    <t>Agronomy; Forestry; Meteorology &amp; Atmospheric Sciences</t>
  </si>
  <si>
    <t>Agriculture; Forestry; Meteorology &amp; Atmospheric Sciences</t>
  </si>
  <si>
    <t>AL4UX</t>
  </si>
  <si>
    <t>WOS:000339131400009</t>
  </si>
  <si>
    <t>Kendrick, MA; Arculus, RJ; Danyushevsky, LV; Kamenetsky, VS; Woodhead, JD; Honda, M</t>
  </si>
  <si>
    <t>Kendrick, Mark A.; Arculus, Richard J.; Danyushevsky, Leonid V.; Kamenetsky, Vadim S.; Woodhead, Jon D.; Honda, Masahiko</t>
  </si>
  <si>
    <t>Subduction-related halogens (Cl, Br and I) and H2O in magmatic glasses from Southwest Pacific Backarc Basins</t>
  </si>
  <si>
    <t>halogens; chlorine; water; subduction; mantle; backarc basin basalts</t>
  </si>
  <si>
    <t>VALU FA RIDGE; NOBLE-GAS; LAU BASIN; SEA-FLOOR; FLUID INCLUSIONS; VOLCANIC GLASSES; ISOTOPE EVIDENCE; MELT INCLUSIONS; MIDOCEAN RIDGES; LOIHI SEAMOUNT</t>
  </si>
  <si>
    <t>Submarine magmatic glasses from the Manus, Woodlark, North Fiji and Lau backarc basins in the Southwest Pacific, and Volcano A on the volcanic front of the Tonga Arc adjacent to the Lau Basin, were investigated to characterise the Cl, Br and I elemental budgets in subduction systems. In particular we seek to determine the extent of variability in the Br/Cl and I/CI ratios of backarc basin basalts (BABB) and evaluate if these ratios could improve constraints on the source of subducted volatile components in backarc basins worldwide. The selected glasses represent variably evolved melts of boninite, basalt, basaltic-andesite, dacite and rhyolite composition and were selected from spreading centres and seamounts located at varying distances from the associated arcs. In general the strongest subduction signatures (e.g. Ba/Nb of 100-370) occur in the samples closest to the arcs and lower more MORB-like Ba/Nb of &lt;16 are found in the more distal samples. The glasses investigated have extremely variable halogen concentrations (e.g. 3-4200 ppm Cl), with the highest concentrations in enriched glasses with the most evolved compositions. As observed in previous studies, the K/Cl, Br/Cl and I/Cl ratios of glasses from individual settings do not vary as a function of MgO and are considered representative of the magma sources because these ratios are not easily altered by partial melting or fractional crystallisation. Systematic variations in these ratios between basins can therefore be related to mixing of halogens from different sources including: (i) the mantle wedge which has MORB-like Br/Cl and I/Cl; (ii) a subduction-derived slab fluid with estimated salinity of similar to 4-10 wt% salts and variable I/Cl; and (iii) brines characterised by salinities of 55 +/- 15 wt% salts and Br/Cl slightly higher than seawater, that are sometimes assimilated in crustal magma chambers. The slab fluids enriching the Woodlark Basin, North Fiji Basin and the Fonualei Spreading Centre of the Lau Basin have MORB-like I/Cl and Br/Cl overlapping the lower end of the MORB range, indicating a probable source from dehydration of altered ocean crust (AOC). In contrast, slab fluids with I/Cl ratios of up to 10 times the MORB value were detected in BABB from Manus Basin, the Valu Fa Ridge and the Tonga Arc, and in these cases the elevated I/Cl ratios are most easily explained by the involvement of fluids released by breakdown of I-rich serpentinites. The data show that slab fluids vary in composition across the Tonga Arc and from north to south in the Lau Basin. However, the compositional range of subducted halogens overlaps with that of MORB indicating subduction could be a major source of halogens in the Earth's mantle. (C) 2014 Elsevier B.V. All rights reserved.</t>
  </si>
  <si>
    <t>[Kendrick, Mark A.; Arculus, Richard J.; Honda, Masahiko] Australian Natl Univ, Res Sch Earth Sci, Canberra, ACT 0200, Australia; [Kendrick, Mark A.; Woodhead, Jon D.] Univ Melbourne, Sch Earth Sci, Melbourne, Vic 3010, Australia; [Danyushevsky, Leonid V.; Kamenetsky, Vadim S.] Univ Tasmania, ARC Ctr Excellence Ore Deposits, Hobart, Tas 7001, Australia; [Kamenetsky, Vadim S.] Univ Tasmania, Inst Marine &amp; Antarctic Studies, Hobart, Tas 7001, Australia</t>
  </si>
  <si>
    <t>Australian National University; University of Melbourne; Melbourne Bioinformatics; University of Tasmania; University of Tasmania</t>
  </si>
  <si>
    <t>Kendrick, MA (corresponding author), Univ Melbourne, Sch Earth Sci, Melbourne, Vic 3010, Australia.</t>
  </si>
  <si>
    <t>mark.kendrick@anu.edu.au</t>
  </si>
  <si>
    <t>Honda, Masahiko/I-5979-2019; Kamenetsky, Vadim/K-2200-2019; Danyushevsky, Leonid/C-5346-2013; Woodhead, Jon/C-2227-2012; Kamenetsky, Vadim/CAF-7424-2022; Kendrick, Mark/F-8824-2012; Kamenetsky, Vadim/B-1019-2008</t>
  </si>
  <si>
    <t>Honda, Masahiko/0000-0002-9545-9855; Danyushevsky, Leonid/0000-0003-4050-6850; Woodhead, Jon/0000-0002-7614-0136; Kendrick, Mark/0000-0002-6541-4162; Kamenetsky, Vadim/0000-0002-2734-8790; Arculus, Richard/0000-0002-3432-392X</t>
  </si>
  <si>
    <t>Australian Research Council QEII Fellowship [0879451]; University of Tasmania New Stars Professorial Fellowship; Australian National Marine Facility; German Research Ministry</t>
  </si>
  <si>
    <t>Australian Research Council QEII Fellowship(Australian Research Council); University of Tasmania New Stars Professorial Fellowship; Australian National Marine Facility; German Research Ministry</t>
  </si>
  <si>
    <t>Dr M.A. Kendrick was the recipient of an Australian Research Council QEII Fellowship (project number 0879451). Prof. V.S. Kamenetsky is funded by a University of Tasmania New Stars Professorial Fellowship. The samples used in this study were recovered during voyages of the RV Southern Surveyor, RV Franklin, FS Sonne, RV Kana Keoli, RV Moana Wave encompassing a period of more than 30 years. The various crews of these ships and the national funding agencies (the Australian National Marine Facility and German Research Ministry) and lead scientists on these voyages are thanked for making these voyages possible. Mike Perfit is thanked for supplying Woodlark samples to M.H., and John Sinton for supplying the Manus samples to J.W. Technical staff in several laboratories including Stanislav Szczepanski, Alan Greig, Graham Hutchinson (Umelb), Maya Kamenetsky, Thomas Rodemann, Karsten Goemann (UTas) and Igor Yatsevich (ANU) are gratefully acknowledged for making the analytical work possible. We are grateful to Peter Michael and two anonymous EPSL reviewers for constructive comments that improved the clarity of this manuscript.</t>
  </si>
  <si>
    <t>10.1016/j.epsl.2014.05.021</t>
  </si>
  <si>
    <t>AL3OA</t>
  </si>
  <si>
    <t>WOS:000339036800017</t>
  </si>
  <si>
    <t>Tremblay, MM; Shuster, DL; Balco, G</t>
  </si>
  <si>
    <t>Tremblay, Marissa M.; Shuster, David L.; Balco, Greg</t>
  </si>
  <si>
    <t>Cosmogenic noble gas paleothermometry</t>
  </si>
  <si>
    <t>cosmogenic nuclide; noble gas; diffusion; paleoclimate; surface processes</t>
  </si>
  <si>
    <t>SURFACE EXPOSURE AGES; ATACAMA DESERT; DRY VALLEYS; DIFFUSION KINETICS; SUMMIT LAVAS; HE-3; TEMPERATURE; BE-10; EROSION; RATES</t>
  </si>
  <si>
    <t>We present a theoretical basis for reconstructing paleotemperatures from the open-system behavior of cosmogenic noble gases produced in minerals at Earth's surface. Experimentally-determined diffusion kinetics predicts diffusive loss of cosmogenic He-3 and Ne-21 from common minerals like quartz and feldspars at ambient temperatures; incomplete retention has also been observed empirically in field studies. We show that the theory of simultaneous production and diffusion that applies to radiogenic noble gases in minerals-the basis of thermochronology-can also be applied to cosmogenic noble gases to reconstruct past surface temperatures on Earth. We use published diffusion kinetics and production rates for He-3 in quartz and Ne-21 in orthoclase to demonstrate the resolving power of cosmogenic noble gas paleothermometry with respect to exposure duration, temperature, and diffusion domain size. Calculations indicate that, when paired with a quantitatively retained cosmogenic nuclide such as Ne-21 or Be-10, observations of cosmogenic He-3 in quartz can constrain temperatures during surface exposure in polar and high altitude environments. Likewise, Ne-21 retention in feldspars is sensitive to temperatures at lower latitudes and elevations, expanding the potential geographic applicability of this technique to most latitudes. As an example, we present paired measurements of He-3 and Be-10 in quartz from a suite of Antarctic sandstone erratics to test whether the abundances of cosmogenic He-3 agree with what is predicted from first principles and laboratory-determined diffusion kinetics. We find that the amounts of cosmogenic He-3 present in these samples are consistent with the known mean annual temperature (MAT) for this region of Antarctica between -25 and -30 degrees C. These results demonstrate the method's ability to record paleotemperatures through geologic time. (C) 2014 Elsevier B.V. All rights reserved.</t>
  </si>
  <si>
    <t>[Tremblay, Marissa M.; Shuster, David L.] Univ Calif Berkeley, Dept Earth &amp; Planetary Sci, Berkeley, CA 94720 USA; [Tremblay, Marissa M.; Shuster, David L.; Balco, Greg] Berkeley Geochronol Ctr, Berkeley, CA 94709 USA</t>
  </si>
  <si>
    <t>University of California System; University of California Berkeley; Berkeley Geochronolgy Center</t>
  </si>
  <si>
    <t>Tremblay, MM (corresponding author), Univ Calif Berkeley, Dept Earth &amp; Planetary Sci, 307 McCone Hall 4767, Berkeley, CA 94720 USA.</t>
  </si>
  <si>
    <t>mtremblay@berkeley.edu; dshuster@berkeley.edu; balcs@bgc.org</t>
  </si>
  <si>
    <t>Shuster, David L/A-4838-2011; Tremblay, Marissa M/I-3946-2015</t>
  </si>
  <si>
    <t>Tremblay, Marissa M/0000-0001-9984-9554</t>
  </si>
  <si>
    <t>NSF Antarctic Sciences Program [ANT-0944018, ANT-1245663]; NSF Petrology and Geochemistry Program [EAR-1322086]; UC Berkeley Larsen Grant; Ann and Gordon Getty Foundation</t>
  </si>
  <si>
    <t>NSF Antarctic Sciences Program; NSF Petrology and Geochemistry Program(National Science Foundation (NSF)NSF - Directorate for Geosciences (GEO)); UC Berkeley Larsen Grant; Ann and Gordon Getty Foundation</t>
  </si>
  <si>
    <t>We thank C. Todd for collecting some of the samples from the Pensacola Mountains as well as M. Vermeulen and M. Hegland for assistance with sample collection and preparation. We appreciate AWS three-hour temperature datasets made available by the University of Wisconsin-Madison AWS Program, supported by the NSF Antarctic Sciences Program (ANT-0944018 and ANT-1245663; http://amrc.ssec.wisc.edu). B. Guralnik and an anonymous referee provided detailed reviews that helped clarify this manuscript. We acknowledge support from the NSF Petrology and Geochemistry Program (EAR-1322086), the UC Berkeley Larsen Grant, and the Ann and Gordon Getty Foundation.</t>
  </si>
  <si>
    <t>10.1016/j.epsl.2014.05.040</t>
  </si>
  <si>
    <t>WOS:000339036800020</t>
  </si>
  <si>
    <t>Friedrich, JM; Perrotta, GC; Kimura, M</t>
  </si>
  <si>
    <t>Friedrich, Jon M.; Perrotta, Grace C.; Kimura, Makoto</t>
  </si>
  <si>
    <t>Compositions, geochemistry, and shock histories of recrystallized LL chondrites</t>
  </si>
  <si>
    <t>THERMAL HISTORIES; PETROGRAPHIC TYPE; TRACE-ELEMENTS; PARENT BODY; IMPACT; METAMORPHISM; ACAPULCOITES; PETROLOGY; CHROMITE; CITY</t>
  </si>
  <si>
    <t>To examine compositional changes associated with high degrees of apparent thermal metamorphism among the LL chondrites, we have examined seven LL chondrites originally classified as being petrographic type 7. For comparison, we also analyzed the L6/7 chondrite Y-790124. We found that A-880933 is actually an LL4-6 genomict breccia and Y-790124 is best described as an L6 (S3) chondrite. The remaining six chondrites (EET 92013, Uden, Y-74160, Y-790144, Y-791067, Y-82067) are clearly of LL provenance, and each experienced temperatures high enough for them to have been recrystallized. In four of these samples (EET 92013, Uden, Y-74160, Y-790144) we find elemental patterns suggesting Fe(Ni)-FeS mobilization. Others (Y-791067, Y-82067) have compositions identical to average equilibrated LL chondrites. From our compositional data, we infer that EET 92013, Uden, Y-74160, Y-790144 experienced very low degrees of partial melting prior to recrystallization, but Y-791067 and Y-82067 experienced isochemical solid state recrystallization. The heat source responsible for the high degrees of thermal alteration of these meteorites is limited to either the decay of now extinct radionuclides (Al-26) or impact-related heating. To evaluate the nature of the heat source, we use 40Ar-39Ar literature data and petrographic examinations to infer the cooling history and shock history of these chondrites. We find that heating due to impact is the most likely heat source for the heating of the recrystallized chondrites. The potential impacts occurred well after the initial stages of LL chondrite thermal metamorphism, but still early in the LL parent body's history, probably similar to 4.2-4.3 Ga ago. These rocks experienced mild shock histories following their recrystallization. (C) 2014 Elsevier Ltd. All rights reserved.</t>
  </si>
  <si>
    <t>[Friedrich, Jon M.; Perrotta, Grace C.] Fordham Univ, Dept Chem, Bronx, NY 10458 USA; [Friedrich, Jon M.] Amer Museum Nat Hist, Dept Earth &amp; Planetary Sci, New York, NY 10024 USA; [Kimura, Makoto] Ibaraki Univ, Fac Sci, Mito, Ibaraki 3108512, Japan; [Kimura, Makoto] Natl Inst Polar Res, Tokyo 1908518, Japan</t>
  </si>
  <si>
    <t>Fordham University; American Museum of Natural History (AMNH); Ibaraki University; Research Organization of Information &amp; Systems (ROIS); National Institute of Polar Research (NIPR) - Japan</t>
  </si>
  <si>
    <t>Friedrich, JM (corresponding author), Fordham Univ, Dept Chem, Bronx, NY 10458 USA.</t>
  </si>
  <si>
    <t>friedrich@fordham.edu</t>
  </si>
  <si>
    <t>Fordham College at Rose Hill Deans office</t>
  </si>
  <si>
    <t>The authors are grateful to the National Institute for Polar Research and the Committee on Antarctic Meteorite Research of Japan for allocating to us samples of Antarctic meteorites from their collection. Drs. Kojima and Yamaguchi (NIPR) are especially thanked for their aid. The Meteorite Working Group is thanked for allocating the EET 92013 material and the USNM (Smithsonian) generously provided the Uden sample. Without these allocations, this study would have been impossible. G. C. P. thanks the Fordham College at Rose Hill Deans office for a Fordham Summer Undergraduate Research Fellowship. This manuscript greatly benefited from detailed reviews from A. Rubin, K. Gardner-Vandy, and an anonymous reviewer. The authors also sincerely thank Associate Editor G. Herzog for his comments and effort.</t>
  </si>
  <si>
    <t>10.1016/j.gca.2014.04.044</t>
  </si>
  <si>
    <t>AL5LY</t>
  </si>
  <si>
    <t>WOS:000339176400005</t>
  </si>
  <si>
    <t>Davidson, J; Busemann, H; Nittler, LR; Alexander, CMO; Orthous-Daunay, FR; Franchi, IA; Hoppe, P</t>
  </si>
  <si>
    <t>Davidson, Jemma; Busemann, Henner; Nittler, Larry R.; Alexander, Conel M. O'D.; Orthous-Daunay, Francois-Regis; Franchi, Ian A.; Hoppe, Peter</t>
  </si>
  <si>
    <t>Abundances of presolar silicon carbide grains in primitive meteorites determined by NanoSIMS</t>
  </si>
  <si>
    <t>INSOLUBLE ORGANIC-MATTER; CHONDRITES QUE 99177; CARBONACEOUS-CHONDRITE; ISOTOPIC COMPOSITION; INTERSTELLAR GRAINS; INTERPLANETARY DUST; CO3 CHONDRITE; DIAMOND; MURCHISON; STARDUST</t>
  </si>
  <si>
    <t>It has been suggested that the matrices of all chondrites are dominated by a common material with Ivuna-like (CI) abundances of volatiles, presolar grains and insoluble organic matter (TOM) (e.g., Alexander, 2005). However, matrix-normalized abundances of presolar silicon carbide (SiC) grains estimated from their noble gas components show significant variations in even the most primitive chondrites (Huss and Lewis, 1995; Huss et al., 2003), in contradiction to there being a common chondrite matrix material. Here we report presolar SiC abundances determined by NanoSIMS raster ion imaging of IOM extracted from primitive members of different meteorite groups. We show that presolar SiC abundance determinations are comparable between NanoSIMS instruments located at three different institutes, between residues prepared by different demineralization techniques, and between microtomed and non-microtomed samples. Our derived SiC abundances in CR chondrites are comparable to those found in the CI chondrites (similar to 30 ppm) and are much higher than previously determined by noble gas analyses. The revised higher CR SiC abundances are consistent with the CRs being amongst the most primitive chondrites in terms of the isotopic compositions and disordered nature of their organic matter. Similar abundances between CR1, CR2, and CR3 chondrites indicate aqueous alteration on the CR chondrite parent body has not progressively destroyed SiC grains in them. A low SiC abundance for the reduced CV3 RBT 04133 can be explained by parent body thermal metamorphism at an estimated temperature of similar to 440 degrees C. Minor differences between primitive members of other meteorite classes, which did not experience such high temperatures, may be explained by prolonged oxidation at lower temperatures under which SiC grains formed outer layers of SiO2 that were not thermodynamically stable, leading to progressive degassing/destruction of SiC. (C) 2014 Elsevier Ltd. All rights reserved.</t>
  </si>
  <si>
    <t>[Davidson, Jemma; Busemann, Henner; Franchi, Ian A.] Open Univ, Milton Keynes MK7 6AA, Bucks, England; [Busemann, Henner] Univ Manchester, Sch Earth Atmospher &amp; Environm Sci, Manchester M13 9PL, Lancs, England; [Nittler, Larry R.; Alexander, Conel M. O'D.] Carnegie Inst Sci, Dept Terr Magnetism, Washington, DC 20015 USA; [Orthous-Daunay, Francois-Regis] UJF CNRS INSU, Inst Planetol &amp; Astrophys Grenoble, F-38000 Grenoble, France; [Hoppe, Peter] Max Planck Inst Chem, D-55020 Mainz, Germany</t>
  </si>
  <si>
    <t>Open University - UK; University of Manchester; Carnegie Institution for Science; Institut de Planetologie et d'Astrophysique de Grenoble (IPAG); Communaute Universite Grenoble Alpes; Universite Grenoble Alpes (UGA); Max Planck Society</t>
  </si>
  <si>
    <t>Davidson, J (corresponding author), Carnegie Inst Sci, Dept Terr Magnetism, 5241 Broad Branch Rd, Washington, DC 20015 USA.</t>
  </si>
  <si>
    <t>jdavidson@carnegiescience.edu</t>
  </si>
  <si>
    <t>Orthous-Daunay, François-Régis/HTN-3075-2023; Hoppe, Peter/B-3032-2015; Davidson, Jemma/G-5760-2018; Davidson, Jemma/ABB-2655-2021; Alexander, Conel M. O'D./N-7533-2013</t>
  </si>
  <si>
    <t>Hoppe, Peter/0000-0003-3681-050X; Davidson, Jemma/0000-0002-3725-2960; Davidson, Jemma/0000-0002-3725-2960; Alexander, Conel M. O'D./0000-0002-8558-1427; Orthous-Daunay, Francois-Regis/0000-0002-1170-0550; Busemann, Henner/0000-0002-0867-6908</t>
  </si>
  <si>
    <t>STFC; NASA [NNX10AI63G, NNX11AB40G]; NASA [NNX11AB40G, 150036] Funding Source: Federal RePORTER; STFC [ST/L000776/1] Funding Source: UKRI; Science and Technology Facilities Council [ST/L000776/1] Funding Source: researchfish</t>
  </si>
  <si>
    <t>STFC(UK Research &amp; Innovation (UKRI)Science &amp; Technology Facilities Council (STFC)); NASA(National Aeronautics &amp; Space Administration (NASA)); NASA(National Aeronautics &amp; Space Administration (NASA)); STFC(UK Research &amp; Innovation (UKRI)Science &amp; Technology Facilities Council (STFC)); Science and Technology Facilities Council(UK Research &amp; Innovation (UKRI)Science &amp; Technology Facilities Council (STFC))</t>
  </si>
  <si>
    <t>The authors would like to thank ANSMET. JSC, and MWG for providing the Antarctic meteorite samples, and Tim McCoy and Linda Welzenbach (USNM), Lora Bleacher (ASU) and Ansgar Greshake (MNB Berlin) for providing the non-Antarctic samples. This manuscript was significantly improved by helpful reviews from Yunbin Guan and an anonymous reviewer, and the editorial expertise of AE Anders Meibom. The authors would also like to thank Devin Schrader for helpful discussions and for providing additional matrix abundance data, and Ryan Ogliore for helpful discussions regarding error analysis. Funding from STFC is gratefully acknowledged for the Ph.D. studentship that supported this research (J.D.), the Aurora and advanced fellowship program (H.B.), and for the UKCAN facilities employed throughout this work. This work was supported in part by NASA Grants NNX10AI63G and NNX11AB40G to L.R.N.</t>
  </si>
  <si>
    <t>10.1016/j.gca.2014.04.026</t>
  </si>
  <si>
    <t>WOS:000339176400014</t>
  </si>
  <si>
    <t>Papritz, L; Pfahl, S; Rudeva, I; Simmonds, I; Sodemann, H; Wernli, H</t>
  </si>
  <si>
    <t>Papritz, Lukas; Pfahl, Stephan; Rudeva, Irina; Simmonds, Ian; Sodemann, Harald; Wernli, Heini</t>
  </si>
  <si>
    <t>The Role of Extratropical Cyclones and Fronts for Southern Ocean Freshwater Fluxes</t>
  </si>
  <si>
    <t>ANTARCTIC SEA-ICE; ANNULAR MODE; ATMOSPHERIC MOISTURE; HYDROLOGICAL CYCLE; GLOBAL ENERGY; VARIABILITY; CIRCULATION; TRANSPORT; ERA-40; BUDGET</t>
  </si>
  <si>
    <t>In this study, the important role of extratropical cyclones and fronts for the atmospheric freshwater flux over the Southern Ocean is analyzed. Based on the Interim ECMWF Re-Analysis (ERA-Interim), the freshwater flux associated with cyclones is quantified and it is revealed that the structure of the Southern Hemispheric storm track is strongly imprinted on the climatological freshwater flux. In particular, during austral winter the spiraliform shape of the storm track leads to a band of negative freshwater flux bending toward and around Antarctica, complemented by a strong freshwater input into the midlatitude Pacific, associated with the split storm track. The interannual variability of the wintertime high-latitude freshwater flux is shown to be largely determined by the variability of strong precipitation (&gt;75th percentile). Using a novel and comprehensive method to attribute strong precipitation uniquely to cyclones and fronts, it is demonstrated that over the Southern Ocean between 60% and 90% of the strong precipitation events are due to these synoptic systems. Cyclones are the dominant cause of strong precipitation around Antarctica and in the midlatitudes of the Atlantic and the Pacific, while in the south Indian Ocean and the eastern Atlantic fronts bring most of the strong precipitation. A detailed analysis of the spatial variations of intense front and cyclone precipitation associated with the interannual variability of the wintertime frequency of cyclones in the midlatitude and high-latitude branches of the Pacific storm track underpins the importance of considering both fronts and cyclones in the analysis of the interannual variability of freshwater fluxes.</t>
  </si>
  <si>
    <t>[Papritz, Lukas; Pfahl, Stephan; Sodemann, Harald; Wernli, Heini] ETH, Inst Atmospher &amp; Climate Sci, CH-8092 Zurich, Switzerland; [Papritz, Lukas] ETH, Ctr Climate Syst Modeling, CH-8092 Zurich, Switzerland; [Rudeva, Irina; Simmonds, Ian] Univ Melbourne, Sch Earth Sci, Melbourne, Vic, Australia</t>
  </si>
  <si>
    <t>Swiss Federal Institutes of Technology Domain; ETH Zurich; Swiss Federal Institutes of Technology Domain; ETH Zurich; University of Melbourne; Melbourne Bioinformatics</t>
  </si>
  <si>
    <t>Papritz, L (corresponding author), ETH, Inst Atmospher &amp; Climate Sci, CH-8092 Zurich, Switzerland.</t>
  </si>
  <si>
    <t>lukas.papritz@env.ethz.ch</t>
  </si>
  <si>
    <t>Pfahl, Stephan/G-4194-2014; Sodemann, Harald/ABG-5304-2021; Wernli, Heini/F-1099-2016</t>
  </si>
  <si>
    <t>Sodemann, Harald/0000-0002-8167-0860; Papritz, Lukas/0000-0002-2047-9544; Wernli, Heini/0000-0001-9674-4837; Rudeva, Irina/0000-0001-9851-8198; Simmonds, Ian/0000-0002-4479-3255</t>
  </si>
  <si>
    <t>ETH Research Grant [CH2-01 11-1]; Australian Research Council</t>
  </si>
  <si>
    <t>ETH Research Grant; Australian Research Council(Australian Research Council)</t>
  </si>
  <si>
    <t>MeteoSwiss and the ECMWF are acknowledged for providing access to the ERA-Interim data. We thank D. Byrne, N. Gruber, M. Munnich, and I. Frenger for helpful discussions and comments. The thoughtful comments by L. Talley and two anonymous reviewers greatly helped to improve the manuscript. L. Papritz acknowledges support by ETH Research Grant CH2-01 11-1. Parts of this research were made possible by a grant from the Australian Research Council.</t>
  </si>
  <si>
    <t>45 BEACON ST, BOSTON, MA 02108-3693, UNITED STATES</t>
  </si>
  <si>
    <t>10.1175/JCLI-D-13-00409.1</t>
  </si>
  <si>
    <t>AN0YV</t>
  </si>
  <si>
    <t>WOS:000340310800007</t>
  </si>
  <si>
    <t>Bandoro, J; Solomon, S; Donohoe, A; Thompson, DWJ; Santer, BD</t>
  </si>
  <si>
    <t>Bandoro, Justin; Solomon, Susan; Donohoe, Aaron; Thompson, David W. J.; Santer, Benjamin D.</t>
  </si>
  <si>
    <t>Influences of the Antarctic Ozone Hole on Southern Hemispheric Summer Climate Change</t>
  </si>
  <si>
    <t>STRATOSPHERIC POLAR VORTEX; BREWER-DOBSON CIRCULATION; ANNULAR MODE; INTERANNUAL VARIABILITY; ATMOSPHERIC CIRCULATION; DYNAMICAL MECHANISMS; AUSTRALIAN RAINFALL; GLOBAL ENERGY; EL-NINO; TEMPERATURE</t>
  </si>
  <si>
    <t>Over the past three decades, Antarctic surface climate has undergone pronounced changes. Many of these changes have been linked to stratospheric ozone depletion. Here linkages between Antarctic ozone loss, the accompanying circulation changes, and summertime Southern Hemisphere (SH) midlatitude surface temperatures are explored. Long-term surface climate changes associated with ozone-driven changes in the southern annular mode (SAM) at SH midlatitudes in summer are not annular in appearance owing to differences in regional circulation and precipitation impacts. Both station and reanalysis data indicate a trend toward cooler summer temperatures over southeast and south-central Australia and inland areas of the southern tip of Africa. It is also found that since the onset of the ozone hole, there have been significant shifts in the distributions of both the seasonal mean and daily maximum-summertime temperatures in the SH midlatitude regions between high and low ozone years. Unusually hot summer extremes are associated with anomalously high ozone in the previous November, including the recent very hot austral summer of 2012/13. If the relationship found in the past three decades continues to hold, the level of late springtime ozone over Antarctica has the potential to be part of a useful predictor set for the following summer's conditions. The results herein suggest that skillful predictions may be feasible for both the mean seasonal temperature and the frequency of extreme hot events in some SH midlatitude regions of Australia, Africa, and South America.</t>
  </si>
  <si>
    <t>[Bandoro, Justin; Solomon, Susan; Donohoe, Aaron] MIT, Dept Earth Atmospher &amp; Planetary Sci, Cambridge, MA 02139 USA; [Thompson, David W. J.] Colorado State Univ, Dept Atmospher Sci, Ft Collins, CO 80523 USA; [Santer, Benjamin D.] Lawrence Livermore Natl Lab, Program Climate Model Diag &amp; Intercomparison, Livermore, CA USA</t>
  </si>
  <si>
    <t>Massachusetts Institute of Technology (MIT); Colorado State University; United States Department of Energy (DOE); Lawrence Livermore National Laboratory</t>
  </si>
  <si>
    <t>Bandoro, J (corresponding author), MIT, Dept Earth Atmospher &amp; Planetary Sci, 77 Massachusetts Ave, Cambridge, MA 02139 USA.</t>
  </si>
  <si>
    <t>jbandoro@mit.edu</t>
  </si>
  <si>
    <t>Thompson, David W J/F-9627-2012; Santer, Ben/ABA-1099-2021; Santer, Benjamin D/F-9781-2011; Thompson, David/C-3520-2008</t>
  </si>
  <si>
    <t>Thompson, David W J/0000-0002-5413-4376;</t>
  </si>
  <si>
    <t>NSF FESD project on the impact of the ozone hole on the Southern Hemisphere climate; NSERC postgraduate scholarship; Div Atmospheric &amp; Geospace Sciences; Directorate For Geosciences [1343080] Funding Source: National Science Foundation; Division Of Ocean Sciences; Directorate For Geosciences [1338814] Funding Source: National Science Foundation</t>
  </si>
  <si>
    <t>NSF FESD project on the impact of the ozone hole on the Southern Hemisphere climate; NSERC postgraduate scholarship(Natural Sciences and Engineering Research Council of Canada (NSERC)); Div Atmospheric &amp; Geospace Sciences; Directorate For Geosciences(National Science Foundation (NSF)NSF - Directorate for Geosciences (GEO)); Division Of Ocean Sciences; Directorate For Geosciences(National Science Foundation (NSF)NSF - Directorate for Geosciences (GEO))</t>
  </si>
  <si>
    <t>We would like to acknowledge and thank the following centers and agencies for access to and use of their datasets in this study: the NASA Global Modeling and Assimilation Office (GMAO), the European Centre for Medium-Range Weather Forecasts (ECMWF), the Scientific Committee on Antarctic Research (SCAR), the National Climatic Data Center (NCDC), the Met Office Hadley Centre, the Australian Bureau of Meteorology, and the Global Energy and Water Exchanges Project. JB and SS obtained partial support from an NSF FESD project on the impact of the ozone hole on the Southern Hemisphere climate and an NSERC postgraduate scholarship.</t>
  </si>
  <si>
    <t>10.1175/JCLI-D-13-00698.1</t>
  </si>
  <si>
    <t>WOS:000340310800009</t>
  </si>
  <si>
    <t>Bowman, VC; Francis, JE; Askin, RA; Riding, JB; Swindles, GT</t>
  </si>
  <si>
    <t>Bowman, Vanessa C.; Francis, Jane E.; Askin, Rosemary A.; Riding, James B.; Swindles, Graeme T.</t>
  </si>
  <si>
    <t>Latest Cretaceous-earliest Paleogene vegetation and climate change at the high southern latitudes: palynological evidence from Seymour Island, Antarctic Peninsula</t>
  </si>
  <si>
    <t>Late Cretaceous; Paleogene; Pollen; Palaeoclimate; Palaeoecology; Antarctica</t>
  </si>
  <si>
    <t>JAMES-ROSS-ISLAND; SEA-LEVEL CHANGES; TERTIARY BOUNDARY; POLLEN MORPHOLOGY; MASS EXTINCTION; FOSSIL; RECORD; EVOLUTION; PATTERNS; HISTORY</t>
  </si>
  <si>
    <t>Fluctuations in Late Cretaceous climate were already influencing biotic change prior to the environmental upheaval at the Cretaceous-Paleogene (K-Pg) boundary, but their general nature, magnitude and timing remain controversial. A high-resolution dataset on terrestrially-derived palynomorphs is presented from the high southern palaeolatitudes that unlocks details of small-scale climate variability throughout this period of significant global change. Specifically, this is a quantitative spore and pollen analysis of an expanded uppermost Cretaceous to lowermost Paleogene (Maastrichtian-earliest Danian) shallow marine sedimentary succession from Seymour Island, off the northeastern tip of the Antarctic Peninsula, then (as now) located at similar to 65 degrees S. Using nearest living relatives the first detailed vegetation, habitat and climate reconstruction is presented for the emergent volcanic arc at this time. On the coastal lowlands, a cool to warm temperate rainforest is envisaged growing in a riverine landscape, with both wet (river margin, pond) and relatively dry (interfluve, canopy gap) habitats. Diverse podocarps and southern beech trees grew alongside angiosperm herbs and shrubs in mean annual temperatures of similar to 10-15 degrees C. Higher altitude araucarian forests gave way to open ericaceous heathland, beyond the tree line, in subalpine to alpine conditions with mean annual temperatures of a cold similar to 5-8 degrees C. There is no exact modern botanical equivalent, but the closest modern flora is that of the Andes of southern Chile and Argentina. Maastrichtian climate is shown to have fluctuated from cool, humid conditions, through a rapid warming similar to 2 million years prior to the K-Pg transition, followed by cooling during the earliest Danian, a trend supported by previous work on this interval. (C) 2014 The Authors. Published by Elsevier B.V. This is an open access article under the CC BY license (http://creativecommons.org/licenses/by/3.0/).</t>
  </si>
  <si>
    <t>[Bowman, Vanessa C.; Francis, Jane E.] British Antarctic Survey, Cambridge CB3 0E7, England; [Riding, James B.] British Geol Survey, Ctr Environm Sci, Keyworth NG12 5GG, Notts, England; [Swindles, Graeme T.] Univ Leeds, Sch Geog, Leeds LS2 9JT, W Yorkshire, England</t>
  </si>
  <si>
    <t>UK Research &amp; Innovation (UKRI); Natural Environment Research Council (NERC); NERC British Antarctic Survey; UK Research &amp; Innovation (UKRI); Natural Environment Research Council (NERC); NERC British Geological Survey; University of Leeds</t>
  </si>
  <si>
    <t>Bowman, VC (corresponding author), British Antarctic Survey, High Cross,Madingley Rd, Cambridge CB3 0E7, England.</t>
  </si>
  <si>
    <t>vanessa.bowman@bas.ac.uk</t>
  </si>
  <si>
    <t>Swindles, Graeme/AAU-4321-2020</t>
  </si>
  <si>
    <t>Swindles, Graeme/0000-0001-8039-1790; Bowman, Vanessa/0000-0002-4887-3949</t>
  </si>
  <si>
    <t>Natural Environment Research Council (NERC) [NE/C506399/1, NE/I00582X/1]; TransAntarctic Association; Antarctic Science Bursary; Natural Environment Research Council [bgs05002, NE/I005803/1, NE/I00582X/1, NE/C506399/1, bas0100026, NE/I00582X/2] Funding Source: researchfish; NERC [bgs05002, bas0100026, NE/I00582X/2, NE/I005803/1, NE/I00582X/1] Funding Source: UKRI</t>
  </si>
  <si>
    <t>Natural Environment Research Council (NERC)(UK Research &amp; Innovation (UKRI)Natural Environment Research Council (NERC)); TransAntarctic Association; Antarctic Science Bursary; Natural Environment Research Council(UK Research &amp; Innovation (UKRI)Natural Environment Research Council (NERC)); NERC(UK Research &amp; Innovation (UKRI)Natural Environment Research Council (NERC))</t>
  </si>
  <si>
    <t>The authors would like to thank Mr. James McKay (University of Leeds) for producing the reconstructions of the vegetated landscape (Figs. 7 and 8) on the eastern flank of the Antarctic Peninsula based on the results of this study. Thank you to Drs. Clinton B. Foster (Geoscience Australia) and Michael H. Stephenson (British Geological Survey) for assistance with identifying the Permian-Triassic sporomorphs. Logistics for the 2005/2006 field season were provided by the British, Antarctic Survey and H.M.S. Endurance. Crispin Day, Bruce Mortman and Matt Priestman provided field support. The Climate Change Research programme of the British Geological Survey provided support for palynological processing. Natural Environment Research Council (NERC) grants NE/C506399/1 (Antarctic Funding Initiative) and NE/I00582X/1 (PALEOPOLAR) funded this research. The authors thank the School of Earth and Environment, University of Leeds, Leeds, UK, for the use of their facilities where the majority of this work was undertaken. VCB received additional financial support from the TransAntarctic Association (2006, 2007, 2008) and the Antarctic Science Bursary (2006, 2007). James B. Riding publishes with the permission of the Executive Director, British Geological Survey (NERC). The authors would like to thank Professor Finn Surlyk and two anonymous reviewers for their detailed assessment of the manuscript.</t>
  </si>
  <si>
    <t>10.1016/j.palaeo.2014.04.018</t>
  </si>
  <si>
    <t>AK7LU</t>
  </si>
  <si>
    <t>WOS:000338610600003</t>
  </si>
  <si>
    <t>Lindow, J; Castex, M; Wittmann, H; Johnson, JS; Lisker, F; Gohl, K; Spiegel, C</t>
  </si>
  <si>
    <t>Lindow, Julia; Castex, Marion; Wittmann, Hella; Johnson, Joanne S.; Lisker, Frank; Gohl, Karsten; Spiegel, Cornelia</t>
  </si>
  <si>
    <t>Glacial retreat in the Amundsen Sea sector, West Antarctica - first cosmogenic evidence from central Pine Island Bay and the Kohler Range</t>
  </si>
  <si>
    <t>Surface exposure dating; Amundsen Sea Embayment; West Antarctic Ice Sheet; Deglaciation history; Holocene; Pine Island Bay; Kohler Range; Cosmogenic isotopes; Glacial retreat</t>
  </si>
  <si>
    <t>ICE-SHEET; EXPOSURE AGES; EMBAYMENT SHELF; SURFACE; GREENLAND; THICKNESS; DYNAMICS; BE-10; RADAR; AL-26</t>
  </si>
  <si>
    <t>The Amundsen Sea Embayment of West Antarctica hosts one of the most rapidly changing sectors of the West Antarctic Ice Sheet. With the fastest-flowing ice streams in Antarctica, the region around Pine Island Bay is characterized by rapid ice-sheet thinning and grounding-line retreat. Published surface-exposure data are limited to a few isolated nunataks making it difficult to assess the long-term deglacial history of the area. To address this, we correlate existing records of lateral ice-stream retreat from marine sediment cores with onshore glacial thinning in two key areas of eastern Marie Byrd Land: the Kohler Range and Pine Island Bay. Our Be-10 surface-exposure ages are the first from the isolated Kohler Range and show that the nunataks there became ice-free between 8.6 and 12.6 ka. This implies a minimum long-term average thinning rate of 33 +/- 0.3 cm/yr, which is one order of magnitude lower than recent rates based on satellite data. We also present pre- to early Holocene Be-10 surface-exposure ages from two islands located approximately 80 km downstream of the Pine Island Glacier ice-shelf front to constrain the lateral deglacial history in the Pine Island Bay area. This study provides insight into the significance of local ice sheet variations and suggests that the post-LGM history in the Amundsen Sea sector was characterized by glacial thinning as well as lateral retreat in pre- to early Holocene times. (C) 2014 Elsevier Ltd. All rights reserved.</t>
  </si>
  <si>
    <t>[Lindow, Julia; Castex, Marion; Lisker, Frank; Spiegel, Cornelia] Univ Bremen, Dept Geosci, D-28359 Bremen, Germany; [Wittmann, Hella] Helmholtz Ctr Potsdam German Res Ctr Geosci GFZ, Potsdam, Germany; [Johnson, Joanne S.] British Antarctic Survey, NERC, Cambridge CB3 0ET, England; [Gohl, Karsten] Helmholtz Ctr Polar &amp; Marine Res AWI, Alfred Wegener Inst, Bremerhaven, Germany</t>
  </si>
  <si>
    <t>University of Bremen; Helmholtz Association; Helmholtz-Center Potsdam GFZ German Research Center for Geosciences; UK Research &amp; Innovation (UKRI); Natural Environment Research Council (NERC); NERC British Antarctic Survey; Helmholtz Association; Alfred Wegener Institute, Helmholtz Centre for Polar &amp; Marine Research</t>
  </si>
  <si>
    <t>Lindow, J (corresponding author), Univ Bremen, Dept Geosci, D-28359 Bremen, Germany.</t>
  </si>
  <si>
    <t>lindow.julia@googlemail.com</t>
  </si>
  <si>
    <t>Lindow, Julia/IWU-9276-2023; Wittmann, Hella/F-9391-2011</t>
  </si>
  <si>
    <t>Lindow, Julia/0000-0002-7922-5135; Wittmann, Hella/0000-0002-1252-7059; Lisker, Frank/0000-0002-1615-7315; Gohl, Karsten/0000-0002-9558-2116; Johnson, Joanne/0000-0003-4537-4447; Spiegel, Cornelia/0000-0002-1432-3447</t>
  </si>
  <si>
    <t>Deutsche Forschungsgemeinschaft (DFG) [501100001659, SP673/6-1]; Natural Environment Research Council; NERC [bas0100027] Funding Source: UKRI; Natural Environment Research Council [bas0100027] Funding Source: researchfish</t>
  </si>
  <si>
    <t>Deutsche Forschungsgemeinschaft (DFG)(German Research Foundation (DFG));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</si>
  <si>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 and crew of RV Polarstern cruise ANT-XXVI/3, the team from Heli Service International, J. Smith, I. Mac-Nab (British Antarctic Survey), M. Scheinert and R. Rosenau (Dresden) for sampling assistance. For their help with the sample processing and analysis we acknowledge A. Toltz, A. Klugel (Bremen), P. Kubik (ETH Zurich), T. Dunai (Cologne), R. Hetzel and A. Niehaus (Munster). Special thanks go to P. Whitehouse (Durham) and A. Paul (MARUM, Bremen) for constructive discussions about ice-sheet modeling, and R. Larter for his comments on the manuscript. We furthermore thank G. Bromley and N. Glasser whose conducive reviews helped to improve the paper. This work was financially supported by the Deutsche Forschungsgemeinschaft (501100001659) (DFG) in the framework of the priority program 'Antarctic Research with comparative investigations in Arctic ice areas' through grant no. SP673/6-1, and forms part of the British Antarctic Survey programme 'Polar Science for Planet Earth', funded by the Natural Environment Research Council.</t>
  </si>
  <si>
    <t>10.1016/j.quascirev.2014.05.010</t>
  </si>
  <si>
    <t>AN1DW</t>
  </si>
  <si>
    <t>WOS:000340323900014</t>
  </si>
  <si>
    <t>Serejo, CS</t>
  </si>
  <si>
    <t>Serejo, C. S.</t>
  </si>
  <si>
    <t>A new species of Stilipedidae (Amphipoda: Senticaudata) from the South Mid-Atlantic Ridge</t>
  </si>
  <si>
    <t>Alexandrella; new species; deep sea; Mid-Atlantic Ridge; Census of Marine Life</t>
  </si>
  <si>
    <t>DEEP; BIODIVERSITY; REVISION; OCEAN</t>
  </si>
  <si>
    <t>A new species of Alexandrella is herein described based on material from the South Mid-Atlantic Ridge around depths of 4700 m. Samples were collected in the scope of the South MAR ECO (Patterns and Processes of the Ecosystems of the Mid-Atlantic) Project, which was part of the Census of Marine Life (CoML). Until the present study, Alexandrella was restricted to Antarctic and Subantarctic waters, with two species having extended distributions (Kermadec Trench, Australia and New Zealand). This is the first record of Alexandrella in the deep sea Atlantic, outside the Southern Ocean limits.</t>
  </si>
  <si>
    <t>Univ Fed Rio de Janeiro, Museu Nacl, Dept Invertebrados, Setor Carcinol, BR-20940040 Rio De Janeiro, RJ, Brazil</t>
  </si>
  <si>
    <t>Universidade Federal do Rio de Janeiro</t>
  </si>
  <si>
    <t>Serejo, CS (corresponding author), Univ Fed Rio de Janeiro, Museu Nacl, Dept Invertebrados, Setor Carcinol, Quinta Boa Vista S-N, BR-20940040 Rio De Janeiro, RJ, Brazil.</t>
  </si>
  <si>
    <t>csserejo@acd.ufrj.br</t>
  </si>
  <si>
    <t>Silveira Serejo, Cristiana/C-8152-2013</t>
  </si>
  <si>
    <t>Silveira Serejo, Cristiana/0000-0001-9132-5537</t>
  </si>
  <si>
    <t>CNPq (Conselho Nacional de Desenvolvimento Cientifico e Tecnologico) [310752/2011-6]</t>
  </si>
  <si>
    <t>CNPq (Conselho Nacional de Desenvolvimento Cientifico e Tecnologico)(Conselho Nacional de Desenvolvimento Cientifico e Tecnologico (CNPQ))</t>
  </si>
  <si>
    <t>I would like to thank Dr. Angel Perez (UNIVALI) for coordinating the Brazilian team of the South MAR ECO project and making the samples available. I also want to thank CNPq (Conselho Nacional de Desenvolvimento Cientifico e Tecnologico) for a productivity grant, process number 310752/2011-6.</t>
  </si>
  <si>
    <t>AUG 13</t>
  </si>
  <si>
    <t>AN6YC</t>
  </si>
  <si>
    <t>WOS:000340743700006</t>
  </si>
  <si>
    <t>Rother, H; Fink, D; Shulmeister, J; Mifsud, C; Evans, M; Pugh, J</t>
  </si>
  <si>
    <t>Rother, Henrik; Fink, David; Shulmeister, James; Mifsud, Charles; Evans, Michael; Pugh, Jeremy</t>
  </si>
  <si>
    <t>The early rise and late demise of New Zealand's last glacial maximum</t>
  </si>
  <si>
    <t>surface exposure dating; global climate linkages</t>
  </si>
  <si>
    <t>SOUTHERN ALPS; ANTARCTIC TEMPERATURE; RAKAIA VALLEY; STRATIGRAPHY; ISLAND; LAKE; CHRONOLOGY</t>
  </si>
  <si>
    <t>Recent debate on records of southern midlatitude glaciation has focused on reconstructing glacier dynamics during the last glacial termination, with different results supporting both in-phase and out-of-phase correlations with Northern Hemisphere glacial signals. A continuing major weakness in this debate is the lack of robust data, particularly from the early and maximum phase of southern midlatitude glaciation (similar to 30-20 ka), to verify the competing models. Here we present a suite of 58 cosmogenic exposure ages from 17 last-glacial ice limits in the Rangitata Valley of New Zealand, capturing an extensive record of glacial oscillations between 28-16 ka. The sequence shows that the local last glacial maximum in this region occurred shortly before 28 ka, followed by several successively less extensive ice readvances between 26-19 ka. The onset of Termination 1 and the ensuing glacial retreat is preserved in exceptional detail through numerous recessional moraines, indicating that ice retreat between 19-16 ka was very gradual. Extensive valley glaciers survived in the Rangitata catchment until at least 15.8 ka. These findings preclude the previously inferred rapid climate-driven ice retreat in the Southern Alps after the onset of Termination 1. Our record documents an early last glacial maximum, an overall trend of diminishing ice volume in New Zealand between 28-20 ka, and gradual deglaciation until at least 15 ka.</t>
  </si>
  <si>
    <t>[Rother, Henrik] Ernst Moritz Arndt Univ Greifswald, Inst Geog &amp; Geol, D-17489 Greifswald, Germany; [Fink, David; Mifsud, Charles] Australian Nucl Sci &amp; Technol Org, Menai, NSW 2234, Australia; [Shulmeister, James] Univ Queensland, School Geog Planning &amp; Environm Management, Brisbane, Qld 4072, Australia; [Evans, Michael] Moultrie Geol, Banyo, Qld 4014, Australia; [Pugh, Jeremy] Univ Canterbury, Dept Geol Sci, Christchurch 1, New Zealand</t>
  </si>
  <si>
    <t>Universitat Greifswald; Australian Nuclear Science &amp; Technology Organisation; University of Queensland; University of Canterbury</t>
  </si>
  <si>
    <t>Rother, H (corresponding author), Ernst Moritz Arndt Univ Greifswald, Inst Geog &amp; Geol, D-17489 Greifswald, Germany.</t>
  </si>
  <si>
    <t>henrik.rother@gmail.com</t>
  </si>
  <si>
    <t>fink, David/A-9518-2012; shulmeister, james/J-2859-2015</t>
  </si>
  <si>
    <t>fink, David/0000-0001-7156-4602; shulmeister, james/0000-0001-5863-9462</t>
  </si>
  <si>
    <t>Australian Institute of Nuclear Science and Engineering [05/219]; Australian Nuclear Science and Technology Organisation's Cosmogenic Climate Archives of the Southern Hemisphere Project [0203v]</t>
  </si>
  <si>
    <t>Australian Institute of Nuclear Science and Engineering; Australian Nuclear Science and Technology Organisation's Cosmogenic Climate Archives of the Southern Hemisphere Project</t>
  </si>
  <si>
    <t>Cosmogenic surface exposure dating was funded by Australian Institute of Nuclear Science and Engineering Grant 05/219 (Australian Nuclear Science and Technology Organisation) and the Australian Nuclear Science and Technology Organisation's Cosmogenic Climate Archives of the Southern Hemisphere Project 0203v.</t>
  </si>
  <si>
    <t>AUG 12</t>
  </si>
  <si>
    <t>10.1073/pnas.1401547111</t>
  </si>
  <si>
    <t>AM8CQ</t>
  </si>
  <si>
    <t>WOS:000340097900026</t>
  </si>
  <si>
    <t>Krag, LA; Herrmann, B; Iversen, SA; Engås, A; Nordrum, S; Krafft, BA</t>
  </si>
  <si>
    <t>Krag, Ludvig A.; Herrmann, Bent; Iversen, Svein A.; Engas, Arill; Nordrum, Sigve; Krafft, Bjorn A.</t>
  </si>
  <si>
    <t>Size Selection of Antarctic Krill (Euphausia superba) in Trawls</t>
  </si>
  <si>
    <t>COD</t>
  </si>
  <si>
    <t>Trawlers involved in the Antarctic krill (Euphausia superba) fishery use different trawl designs, and very little is known about the size selectivity of the various gears. Size selectivity quantifies a given trawl's ability to catch different sizes of a harvested entity, and this information is crucial for the management of a sustainable fishery. We established a morphological description of krill and used it in a mathematical model (FISHSELECT) to predict the selective potential of diamond meshes measuring 5-40 mm with mesh opening angles (oa) ranging from 10 to 90 degrees. We expected the majority of krill to encounter the trawl netting in random orientations due to high towing speeds and the assumed swimming capabilities of krill. However, our results indicated that size selectivity of krill is a well-defined process in which individuals encounter meshes at an optimal orientation for escapement. The simulation-based results were supported by data from experimental trawl hauls and underwater video images of the mesh geometry during fishing. Herein we present predictions for the size selectivity of a range of netting configurations relevant to the krill fishery. The methods developed and results described are important tools for selecting optimal trawl designs for krill fishing.</t>
  </si>
  <si>
    <t>[Krag, Ludvig A.] Tech Univ Denmark, DTU Aqua, Hirtshals, Denmark; [Herrmann, Bent] SINTEF Fisheries &amp; Aquaculture, Fishing Gear Technol, Hirtshals, Denmark; [Iversen, Svein A.; Engas, Arill; Krafft, Bjorn A.] Inst Marine Res, N-5024 Bergen, Norway; [Nordrum, Sigve] Aker BioMarine Antarctic AS, Oslo, Norway</t>
  </si>
  <si>
    <t>Technical University of Denmark; SINTEF; Institute of Marine Research - Norway</t>
  </si>
  <si>
    <t>Krag, LA (corresponding author), Tech Univ Denmark, DTU Aqua, Hirtshals, Denmark.</t>
  </si>
  <si>
    <t>lak@aqua.dtu.dk</t>
  </si>
  <si>
    <t>Herrmann, Bent/0000-0003-1325-6198; Krag, Ludvig Ahm/0000-0002-1531-1499</t>
  </si>
  <si>
    <t>Research Council of Norway [216574]</t>
  </si>
  <si>
    <t>Research Council of Norway(Research Council of Norway)</t>
  </si>
  <si>
    <t>This study is financed by the Research Council of Norway. The grant number (project number) is: 216574. The funders had no role in study design, data collection and analysis, decision to publish, or preparation of the manuscript.</t>
  </si>
  <si>
    <t>AUG 8</t>
  </si>
  <si>
    <t>e102168</t>
  </si>
  <si>
    <t>10.1371/journal.pone.0102168</t>
  </si>
  <si>
    <t>AR0CG</t>
  </si>
  <si>
    <t>Green Submitted, Green Published, gold</t>
  </si>
  <si>
    <t>WOS:000343231900004</t>
  </si>
  <si>
    <t>Kennicutt, MC; Chown, SL; Cassano, JJ; Liggett, D; Massom, R; Peck, LS; Rintoul, SR; Storey, JWV; Vaughan, DG; Wilson, TJ; Sutherland, WJ</t>
  </si>
  <si>
    <t>Kennicutt, Mahlon C., II; Chown, Steven L.; Cassano, John J.; Liggett, Daniela; Massom, Rob; Peck, Lloyd S.; Rintoul, Steve R.; Storey, John W. V.; Vaughan, David G.; Wilson, Terry J.; Sutherland, William J.</t>
  </si>
  <si>
    <t>Polar Research: Six priorities for Antarctic science</t>
  </si>
  <si>
    <t>WEST ANTARCTICA; THWAITES</t>
  </si>
  <si>
    <t>[Kennicutt, Mahlon C., II] Texas A&amp;M Univ, College Stn, TX 77843 USA; [Kennicutt, Mahlon C., II] Sci Comm Antarctic Res, The Hague, Netherlands; [Chown, Steven L.] Monash Univ, Clayton, Vic 3800, Australia</t>
  </si>
  <si>
    <t>Texas A&amp;M University System; Texas A&amp;M University College Station; Monash University</t>
  </si>
  <si>
    <t>Kennicutt, MC (corresponding author), Texas A&amp;M Univ, College Stn, TX 77843 USA.</t>
  </si>
  <si>
    <t>mckennicutt@gmail.com</t>
  </si>
  <si>
    <t>Chown, Steven/ABD-7646-2021; Siegert, Martin J/A-3826-2008; Lopez-Martinez, Jeronimo/C-5744-2011; Siegert, Martin/M-9939-2019; Vaughan, David/C-8348-2011; Morozova, Polina A./A-3471-2014; Schloss, Irene R./U-5411-2018; Sutherland, William/B-1291-2013; Rintoul, Stephen R/A-1471-2012; Cassano, John/HKW-8817-2023; Chown, Steven/H-3347-2011; Clark, Melody/D-7371-2014</t>
  </si>
  <si>
    <t>Siegert, Martin J/0000-0002-0090-4806; Lopez-Martinez, Jeronimo/0000-0002-1750-8287; Siegert, Martin/0000-0002-0090-4806; Schloss, Irene R./0000-0002-5917-8925; Rintoul, Stephen R/0000-0002-7055-9876; Chown, Steven/0000-0001-6069-5105; Badhe, Renuka/0000-0001-5255-744X; Wilson, Gary/0000-0003-0025-3641; Liggett, Daniela/0000-0003-4184-5205; /0000-0002-9621-6660; Sutherland, William/0000-0002-6498-0437; Vaughan, David/0000-0002-9065-0570; Massom, Robert/0000-0003-1533-5084; Clark, Melody/0000-0002-3442-3824</t>
  </si>
  <si>
    <t>NERC [NE/G00465X/1, NE/G00465X/2, NE/F016646/1] Funding Source: UKRI; Natural Environment Research Council [NE/G00465X/1, NE/G00465X/2, NE/F016646/1] Funding Source: researchfish; Division Of Ocean Sciences; Directorate For Geosciences [1129101] Funding Source: National Science Foundation; Office of Polar Programs (OPP); Directorate For Geosciences [1043657] Funding Source: National Science Foundation</t>
  </si>
  <si>
    <t>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 Office of Polar Programs (OPP); Directorate For Geosciences(National Science Foundation (NSF)NSF - Directorate for Geosciences (GEO))</t>
  </si>
  <si>
    <t>AUG 7</t>
  </si>
  <si>
    <t>10.1038/512023a</t>
  </si>
  <si>
    <t>AM5NX</t>
  </si>
  <si>
    <t>WOS:000339908000012</t>
  </si>
  <si>
    <t>Michaud, L; Lo Giudice, A; Mysara, M; Monsieurs, P; Raffa, C; Leys, N; Amalfitano, S; Van Houdt, R</t>
  </si>
  <si>
    <t>Michaud, Luigi; Lo Giudice, Angelina; Mysara, Mohamed; Monsieurs, Pieter; Raffa, Carmela; Leys, Natalie; Amalfitano, Stefano; Van Houdt, Rob</t>
  </si>
  <si>
    <t>Snow Surface Microbiome on the High Antarctic Plateau (DOME C)</t>
  </si>
  <si>
    <t>IN-SITU HYBRIDIZATION; TARGETED OLIGONUCLEOTIDE PROBES; CATALYZED REPORTER DEPOSITION; GRAM-POSITIVE BACTERIA; DIVERSITY; IDENTIFICATION; MICROORGANISMS; SEQUENCES; COMMUNITY; PROTEOBACTERIA</t>
  </si>
  <si>
    <t>The cryosphere is an integral part of the global climate system and one of the major habitable ecosystems of Earth's biosphere. These permanently frozen environments harbor diverse, viable and metabolically active microbial populations that represent almost all the major phylogenetic groups. In this study, we investigated the microbial diversity in the surface snow surrounding the Concordia Research Station on the High Antarctic Plateau through a polyphasic approach, including direct prokaryotic quantification by flow cytometry and catalyzed reporter deposition fluorescence in situ hybridization (CARD-FISH), and phylogenetic identification by 16S RNA gene clone library sequencing and 454 16S amplicon pyrosequencing. Although the microbial abundance was low (&lt;10(3) cells/ml of snowmelt), concordant results were obtained with the different techniques. The microbial community was mainly composed of members of the Alpha-proteobacteria class (e.g. Kiloniellaceae and Rhodobacteraceae), which is one of the most well-represented bacterial groups in marine habitats, Bacteroidetes (e.g. Cryomorphaceae and Flavobacteriaceae) and Cyanobacteria. Based on our results, polar microorganisms could not only be considered as deposited airborne particles, but as an active component of the snowpack ecology of the High Antarctic Plateau.</t>
  </si>
  <si>
    <t>[Michaud, Luigi; Lo Giudice, Angelina; Raffa, Carmela] Univ Messina, Dept Biol &amp; Environm Sci, Messina, Italy; [Mysara, Mohamed; Monsieurs, Pieter; Leys, Natalie; Van Houdt, Rob] Belgian Nucl Res Ctr SCK CEN, Microbiol Unit, Mol, Belgium; [Mysara, Mohamed] Vrije Univ Brussel, Dept Biosci Engn, Brussels, Belgium; [Amalfitano, Stefano] Natl Res Council IRSA CNR, Water Res Inst, Rome, Italy</t>
  </si>
  <si>
    <t>University of Messina; Belgian Nuclear Research Centre (SCK CEN); Vrije Universiteit Brussel; Consiglio Nazionale delle Ricerche (CNR); Istituto di Ricerca sulle Acque (IRSA-CNR)</t>
  </si>
  <si>
    <t>Lo Giudice, A (corresponding author), Univ Messina, Dept Biol &amp; Environm Sci, Messina, Italy.</t>
  </si>
  <si>
    <t>alogiudice@unime.it</t>
  </si>
  <si>
    <t>Van Houdt, Rob/B-8599-2011; Monsieurs, Pieter/W-3916-2019; Amalfitano, Stefano/C-6737-2012; Mysara, Mohamed/AAH-4242-2019; Monsieurs, Pieter/A-2917-2009; Leys, Natalie/P-2761-2017</t>
  </si>
  <si>
    <t>Van Houdt, Rob/0000-0002-7459-496X; Monsieurs, Pieter/0000-0003-2214-6652; Amalfitano, Stefano/0000-0002-6148-1472; Mysara, Mohamed/0000-0001-5746-4330; Leys, Natalie/0000-0002-4556-5211</t>
  </si>
  <si>
    <t>European Space Agency (ESA-PRODEX); EXANAM project [C90359]</t>
  </si>
  <si>
    <t>European Space Agency (ESA-PRODEX)(European Space Agency); EXANAM project</t>
  </si>
  <si>
    <t>This work was supported by the European Space Agency (ESA-PRODEX) and the Belgian Science Policy (Belspo) through the EXANAM project (C90359). The funders had no role in study design, data collection and analysis, decision to publish, or preparation of the manuscript.</t>
  </si>
  <si>
    <t>e104505</t>
  </si>
  <si>
    <t>10.1371/journal.pone.0104505</t>
  </si>
  <si>
    <t>AM6SB</t>
  </si>
  <si>
    <t>WOS:000339993900071</t>
  </si>
  <si>
    <t>Thorne, MAS; Kagoshima, H; Clark, MS; Marshall, CJ; Wharton, DA</t>
  </si>
  <si>
    <t>Thorne, Michael A. S.; Kagoshima, Hiroshi; Clark, Melody S.; Marshall, Craig J.; Wharton, David A.</t>
  </si>
  <si>
    <t>Molecular Analysis of the Cold Tolerant Antarctic Nematode, Panagrolaimus davidi</t>
  </si>
  <si>
    <t>EMBRYOGENESIS ABUNDANT PROTEINS; RIBONUCLEIC-ACID POPULATIONS; CRYOPROTECTIVE DEHYDRATION; DEVELOPMENTAL BIOCHEMISTRY; COTTONSEED EMBRYOGENESIS; CAENORHABDITIS-ELEGANS; LEA PROTEIN; C-ELEGANS; SURVIVAL; TREHALOSE</t>
  </si>
  <si>
    <t>Isolated and established in culture from the Antarctic in 1988, the nematode Panagrolaimus davidi has proven to be an idel model for the study of adaptation to the cold. Not only is it the best-documented example of an organism surviving intracellular freezing but it is also able to undergo cryoprotective dehydration. As part of an ongoing effort to develop a molecular understanding of this remarkable organism, we have assembled both a transcriptome and a set of genomic scaffolds. We provide an overview of the transcriptome and a survey of genes involved in temperature stress. We also explore, in silico, the possibility that P. davidi will be susceptible to an environmental RNAi response, important for further functional studies.</t>
  </si>
  <si>
    <t>[Thorne, Michael A. S.; Clark, Melody S.] British Antarctic Survey, Nat Environm Res Council, Cambridge CB3 0ET, England; [Kagoshima, Hiroshi] Res Org Informat &amp; Syst, Transdisciplinary Res Intergrat Ctr, Tokyo, Japan; [Kagoshima, Hiroshi] Natl Inst Genet, Mishima, Shizuoka 411, Japan; [Marshall, Craig J.] Univ Otago, Dept Biochem, Dunedin, New Zealand; [Wharton, David A.] Univ Otago, Dept Zool, Dunedin, New Zealand</t>
  </si>
  <si>
    <t>UK Research &amp; Innovation (UKRI); Natural Environment Research Council (NERC); NERC British Antarctic Survey; Research Organization of Information &amp; Systems (ROIS); Research Organization of Information &amp; Systems (ROIS); National Institute of Genetics (NIG) - Japan; University of Otago; University of Otago</t>
  </si>
  <si>
    <t>Thorne, MAS (corresponding author), British Antarctic Survey, Nat Environm Res Council, Cambridge CB3 0ET, England.</t>
  </si>
  <si>
    <t>mior@bas.ac.uk</t>
  </si>
  <si>
    <t>Marshall, Craig J./C-6668-2009; Clark, Melody/D-7371-2014</t>
  </si>
  <si>
    <t>Marshall, Craig J./0000-0003-4186-0368; Wharton, David/0000-0001-6369-4984; Thorne, Michael/0000-0001-7759-612X; Clark, Melody/0000-0002-3442-3824</t>
  </si>
  <si>
    <t>NERC core funding; Japan Society [23510239]; Transdisciplinary Research Integration Center (TRIC); Research Organisation of Information and Systems (ROIS); Departments of Zoology and Biochemistry at the University of Otago; Natural Environment Research Council [bas0100025] Funding Source: researchfish; NERC [bas0100025] Funding Source: UKRI; Grants-in-Aid for Scientific Research [23510239, 23247012] Funding Source: KAKEN</t>
  </si>
  <si>
    <t>NERC core funding; Japan Society(Ministry of Education, Culture, Sports, Science and Technology, Japan (MEXT)Japan Society for the Promotion of Science); Transdisciplinary Research Integration Center (TRIC); Research Organisation of Information and Systems (ROIS); Departments of Zoology and Biochemistry at the University of Otago;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</si>
  <si>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MAST and MSC were supported by NERC core funding to the British Antarctic Survey. HK was supported by grant-in-aid for scientific research (No. 23510239) from the Japan Society for the Promotion of Science. Further support came from the Transdisciplinary Research Integration Center (TRIC), the Research Organisation of Information and Systems (ROIS), and the Departments of Zoology and Biochemistry at the University of Otago. The funders had no role in study design, data collection and analysis, decision to publish, or preparation of the manuscript.</t>
  </si>
  <si>
    <t>AUG 6</t>
  </si>
  <si>
    <t>e104526</t>
  </si>
  <si>
    <t>10.1371/journal.pone.0104526</t>
  </si>
  <si>
    <t>AM6SM</t>
  </si>
  <si>
    <t>gold, Green Submitted, Green Published, Green Accepted</t>
  </si>
  <si>
    <t>WOS:000339995100081</t>
  </si>
  <si>
    <t>Ramos, JE; Pecl, GT; Moltschaniwskyj, NA; Strugnell, JM; León, RI; Semmens, JM</t>
  </si>
  <si>
    <t>Ramos, Jorge E.; Pecl, Gretta T.; Moltschaniwskyj, Natalie A.; Strugnell, Jan M.; Leon, Rafael I.; Semmens, Jayson M.</t>
  </si>
  <si>
    <t>Body Size, Growth and Life Span: Implications for the Polewards Range Shift of Octopus tetricus in South-Eastern Australia</t>
  </si>
  <si>
    <t>CLIMATE-CHANGE; COMMON OCTOPUS; REPRODUCTIVE-CYCLE; UPWELLING SYSTEM; VULGARIS; SQUID; EVOLUTIONARY; AGE; TEMPERATURE; RESPONSES</t>
  </si>
  <si>
    <t>Understanding the response of any species to climate change can be challenging. However, in short-lived species the faster turnover of generations may facilitate the examination of responses associated with longer-term environmental change. Octopus tetricus, a commercially important species, has undergone a recent polewards range shift in the coastal waters of south-eastern Australia, thought to be associated with the southerly extension of the warm East Australian Current. At the cooler temperatures of a polewards distribution limit, growth of a species could be slower, potentially leading to a bigger body size and resulting in a slower population turnover, affecting population viability at the extreme of the distribution. Growth rates, body size, and life span of O. tetricus were examined at the leading edge of a polewards range shift in Tasmanian waters (40 degrees S and 147 degrees E) throughout 2011. Octopus tetricus had a relatively small body size and short lifespan of approximately 11 months that, despite cooler temperatures, would allow a high rate of population turnover and may facilitate the population increase necessary for successful establishment in the new extended area of the range. Temperature, food availability and gender appear to influence growth rate. Individuals that hatched during cooler and more productive conditions, but grew during warming conditions, exhibited faster growth rates and reached smaller body sizes than individuals that hatched into warmer waters but grew during cooling conditions. This study suggests that fast growth, small body size and associated rapid population turnover may facilitate the range shift of O. tetricus into Tasmanian waters.</t>
  </si>
  <si>
    <t>[Ramos, Jorge E.; Pecl, Gretta T.; Leon, Rafael I.; Semmens, Jayson M.] Univ Tasmania, Inst Marine &amp; Antarctic Studies, Hobart, Tas, Australia; [Moltschaniwskyj, Natalie A.] Univ Newcastle, Sch Environm &amp; Life Sci, Ourimbah, NSW, Australia; [Strugnell, Jan M.] La Trobe Univ, Dept Genet, La Trobe Inst Mol Sci, Bundoora, Vic, Australia</t>
  </si>
  <si>
    <t>University of Tasmania; University of Newcastle; La Trobe University</t>
  </si>
  <si>
    <t>Ramos, JE (corresponding author), Univ Tasmania, Inst Marine &amp; Antarctic Studies, Hobart, Tas, Australia.</t>
  </si>
  <si>
    <t>jeramos@utas.edu.au</t>
  </si>
  <si>
    <t>Robledo, Jorge Alejandro Kurczyn/I-8473-2017; León, Rafael I/N-6510-2014; Moltschaniwskyj, Natalie/AAB-7236-2019; Pecl, Gretta/D-7267-2011; Strugnell, Jan M/P-9921-2016</t>
  </si>
  <si>
    <t>Pecl, Gretta/0000-0003-0192-4339; Strugnell, Jan/0000-0003-2994-637X; Ramos, Jorge E/0000-0002-8690-761X; Moltschaniwskyj, Natalie/0000-0001-9709-9876; Semmens, Jayson/0000-0003-1742-6692</t>
  </si>
  <si>
    <t>Consejo Nacional de Ciencia y Tecnologia of Mexico [308672]; University of Tasmania; Biotechnology and Biological Sciences Research Council [BBS/E/C/00005198] Funding Source: researchfish</t>
  </si>
  <si>
    <t>Consejo Nacional de Ciencia y Tecnologia of Mexico(Consejo Nacional de Ciencia y Tecnologia (CONACyT)); University of Tasmania; Biotechnology and Biological Sciences Research Council(UK Research &amp; Innovation (UKRI)Biotechnology and Biological Sciences Research Council (BBSRC))</t>
  </si>
  <si>
    <t>J. Ramos was awarded the scholarship 308672 by Consejo Nacional de Ciencia y Tecnologia of Mexico, a Tasmania Graduate Research scholarship from the University of Tasmania and a Bookend Lynchpin Ocean Scholarship 2012. The funders had no role in study design, data collection and analysis, decision to publish, or preparation of the manuscript.</t>
  </si>
  <si>
    <t>AUG 4</t>
  </si>
  <si>
    <t>e103480</t>
  </si>
  <si>
    <t>10.1371/journal.pone.0103480</t>
  </si>
  <si>
    <t>AM4GX</t>
  </si>
  <si>
    <t>gold, Green Published, Green Accepted</t>
  </si>
  <si>
    <t>WOS:000339812700029</t>
  </si>
  <si>
    <t>Pereira, RC; Vasconcelos, MA</t>
  </si>
  <si>
    <t>Pereira, R. C.; Vasconcelos, M. A.</t>
  </si>
  <si>
    <t>Chemical defense in the red seaweed Plocamium brasiliense: spatial variability and differential action on herbivores</t>
  </si>
  <si>
    <t>BRAZILIAN JOURNAL OF BIOLOGY</t>
  </si>
  <si>
    <t>chemical defense; Plocamium brasiliense; herbivory; spatial variability</t>
  </si>
  <si>
    <t>MARINE NATURAL-PRODUCTS; HALOGENATED MONOTERPENE METABOLITES; SECONDARY METABOLITES; ANTARCTIC PENINSULA; HAMATUM RHODOPHYTA; CARTILAGINEUM; CALCIFICATION; PHAEOPHYCEAE; VIOLACEUM; CHEMISTRY</t>
  </si>
  <si>
    <t>Species of Plocamium are known as prolific sources of halogenated secondary metabolites exhibiting few explored ecological roles. In this study the crude extracts from specimens of P. brasiliense collected in two distinct places, Enseada do Forno and Praia Rasa, Buzios, Estado do Rio de Janeiro, were evaluated as defense against the sea urchin Lytechinus variegatus and the crab Acanthonyx scutiformis. These specimens produce a similar amount of crude extract and also halogenated monoterpene compound-types, but individuals of P. brasiliense from Praia Rasa exhibit a major compound representing about 59% of the total chemicals. Natural concentrations of the crude extracts obtained from both specimens of P. brasiliense significantly inhibited the herbivory by the sea urchin L. variegatus, but had no significant effect on the feeding by A. scutiformis, a crab commonly associated to chemically defended host. Crude extract from P. brasiliense collected at Praia Rasa was more efficient as defense against L. variegatus than that crude extract from populations of this alga from Enseada do Forno, probably due to presence of a major secondary metabolite. These two studied population live under different environmental conditions, but they are only about 30 Km apart. However, it is impossible to affirm that environmental characteristics (abiotic or biotic) would be responsible for the difference of defensive potential found in the two populations of P. brasiliense studied here. Further genetic studies will be necessary to clarify this question and to explain why populations of a single species living in different but close locations can exhibit distinct chemicals.</t>
  </si>
  <si>
    <t>[Pereira, R. C.; Vasconcelos, M. A.] Univ Fed Fluminense UFF, Inst Biol, Dept Biol Marinha, BR-24001970 Niteroi, RJ, Brazil</t>
  </si>
  <si>
    <t>Universidade Federal Fluminense</t>
  </si>
  <si>
    <t>Pereira, RC (corresponding author), Univ Fed Fluminense UFF, Inst Biol, Dept Biol Marinha, Morro Valonguinho S-N,CP 100-644, BR-24001970 Niteroi, RJ, Brazil.</t>
  </si>
  <si>
    <t>rcrespo@id.uff.br</t>
  </si>
  <si>
    <t>Pereira, Renato/AAA-7832-2020</t>
  </si>
  <si>
    <t>Conselho Nacional de Desenvolvimento Cientifico e Tecnologico (CNPq); Fundacao de Amparo a Pesquisa do Estado do Rio de Janeiro (FAPERJ); CNPq</t>
  </si>
  <si>
    <t>Conselho Nacional de Desenvolvimento Cientifico e Tecnologico (CNPq)(Conselho Nacional de Desenvolvimento Cientifico e Tecnologico (CNPQ)); Fundacao de Amparo a Pesquisa do Estado do Rio de Janeiro (FAPERJ)(Fundacao Carlos Chagas Filho de Amparo a Pesquisa do Estado do Rio De Janeiro (FAPERJ)); CNPq(Conselho Nacional de Desenvolvimento Cientifico e Tecnologico (CNPQ))</t>
  </si>
  <si>
    <t>This work was supported with research grants from the Conselho Nacional de Desenvolvimento Cientifico e Tecnologico (CNPq) and the Fundacao de Amparo a Pesquisa do Estado do Rio de Janeiro (FAPERJ). We are grateful to Valeria Laneuville Teixeira and Diana Negrao Cavalcanti for help with identification and quantification of the compounds, and to CNPq for financial support and for Productivity Fellowships to RCP and a Master's degree fellowship to MAV.</t>
  </si>
  <si>
    <t>INT INST ECOLOGY</t>
  </si>
  <si>
    <t>SAO CARLOS</t>
  </si>
  <si>
    <t>RUA BENTO CARLOS, 750 - CENTRO, SAO CARLOS, SP 00000, BRAZIL</t>
  </si>
  <si>
    <t>1519-6984</t>
  </si>
  <si>
    <t>1678-4375</t>
  </si>
  <si>
    <t>BRAZ J BIOL</t>
  </si>
  <si>
    <t>Braz. J. Biol.</t>
  </si>
  <si>
    <t>AUG</t>
  </si>
  <si>
    <t>10.1590/bjb.2014.0080</t>
  </si>
  <si>
    <t>AR6FP</t>
  </si>
  <si>
    <t>WOS:000343679100004</t>
  </si>
  <si>
    <t>Santelli, MB; del Río, CJ</t>
  </si>
  <si>
    <t>Santelli, Maria B.; del Rio, Claudia J.</t>
  </si>
  <si>
    <t>REVISION OF THE SUBFAMILY CRASSATELLINAE (BIVALVIA: CRASSATELLIDAE) IN THE PALEOGENE-NEOGENE OF ARGENTINA</t>
  </si>
  <si>
    <t>AMEGHINIANA</t>
  </si>
  <si>
    <t>Crassatellinae; Crassatella; Bathytormus; Talabrica; Spissatella; Cenozoico; Argentina</t>
  </si>
  <si>
    <t>NEW-ZEALAND</t>
  </si>
  <si>
    <t>A revision of the Subfamily Crassatellinae Ferussac, from the Paleogene-Neogene of Argentina is carried out. It is there represented by the genera Crassatella Lamarck, Bathytormus Stewart, Spissatella Finlay and Talabrica Iredale. Eight species are described and the new Talabrica elotroyoae sp. nov. and Spissatella susanae sp. nov. are introduced. It is demonstrated that the genus Bathytormus is present in Patagonia and the record of Talabrica becomes the oldest known for the taxon, and the first beyond the Indo-Pacific area, where it was thought to be restricted to the Pliocene-Actual interval. Its occurrence in the Miocene of Patagonian indicates the presence of a Cenozoic disperser taxon, that having originated in the Patagonian latitudes during Miocene times, would have migrated through the Antarctic Circumpolar Current (CCA) towards New Zealand and Australia. In turn, Spissatella Finlay, would have moved through the CCA from New Zealand to Patagonia during Miocene times.</t>
  </si>
  <si>
    <t>[Santelli, Maria B.; del Rio, Claudia J.] Museo Argentino Ciencias Nat Bernardino Rivadavia, Buenos Aires, DF, Argentina</t>
  </si>
  <si>
    <t>Museo Argentino de Ciencias Naturales Bernardino Rivadavia (MACN)</t>
  </si>
  <si>
    <t>Santelli, MB (corresponding author), Museo Argentino Ciencias Nat Bernardino Rivadavia, Angel Gallardo 470,C1405DJR, Buenos Aires, DF, Argentina.</t>
  </si>
  <si>
    <t>mbsantelli@macn.gov.ar</t>
  </si>
  <si>
    <t>Santelli, Maria Belen/0000-0003-3077-4384</t>
  </si>
  <si>
    <t>ASOCIACION PALEONTOLOGICA ARGENTINA</t>
  </si>
  <si>
    <t>BUENOS AIRES</t>
  </si>
  <si>
    <t>MAIPU 645, 1ER PISO, 1006 BUENOS AIRES, ARGENTINA</t>
  </si>
  <si>
    <t>0002-7014</t>
  </si>
  <si>
    <t>1851-8044</t>
  </si>
  <si>
    <t>Ameghiniana</t>
  </si>
  <si>
    <t>AUG 1</t>
  </si>
  <si>
    <t>10.5710/AMGH.25.04.2014.2230</t>
  </si>
  <si>
    <t>AQ6ZR</t>
  </si>
  <si>
    <t>WOS:000342962900004</t>
  </si>
  <si>
    <t>Van de Vijver, B; Crawford, RM</t>
  </si>
  <si>
    <t>Van de Vijver, Bart; Crawford, Richard M.</t>
  </si>
  <si>
    <t>Orthoseira limnopolarensis sp. nov. (Bacillariophyta), a new diatom species from Livingston Island (South Shetland Islands, Antarctica)</t>
  </si>
  <si>
    <t>CRYPTOGAMIE ALGOLOGIE</t>
  </si>
  <si>
    <t>Maritime Antarctic Region; Orthoseira; taxonomy; morphology; rimoportula; carinoportula</t>
  </si>
  <si>
    <t>DECEPTION ISLAND; BYERS PENINSULA; COMMUNITIES; ECOLOGY; REVISION</t>
  </si>
  <si>
    <t>A new species of diatom, Orthoseira limnopolarensis, is described from a sediment core in Limnopolar Lake on Livingston Island, South Shetlands in the South Atlantic Ocean. The new species is distinctive in having an array of numerous (12-14) carinoportulae, a number of clearly defined rimoportulae which are described here for the first time in the genus, and a valve face surface that is covered with small, irregularly scattered spines. Linking spines are less well-developed than is generally observed in species of the genus Orthoseira. No caverns or internal undulations are present. Internal valves have not been encountered.</t>
  </si>
  <si>
    <t>[Van de Vijver, Bart] Bot Garden Meise, Dept Bryophyta &amp; Thallophyta, B-1860 Meise, Belgium; [Van de Vijver, Bart] Univ Antwerp, ECOBE, Dept Biol, B-2610 Antwerp, Belgium</t>
  </si>
  <si>
    <t>University of Antwerp</t>
  </si>
  <si>
    <t>Van de Vijver, B (corresponding author), Bot Garden Meise, Dept Bryophyta &amp; Thallophyta, Nieuwelaan 38, B-1860 Meise, Belgium.</t>
  </si>
  <si>
    <t>vandevijver@br.fgov.be</t>
  </si>
  <si>
    <t>BELSPO project CCAMBIO; EU Synthesys grant; Ministerio de Educacion y Ciencia of Spain [CGL2005-06549-CO2-01]</t>
  </si>
  <si>
    <t>BELSPO project CCAMBIO; EU Synthesys grant; Ministerio de Educacion y Ciencia of Spain(Spanish Government)</t>
  </si>
  <si>
    <t>The authors wish to thank Prof. Dr. A. Quesada (Universidad Autonoma de Madrid) for providing the sample containing Orthoseira limnopolarensis. Dr. Alex Ball, the staff of the EMMA laboratory and Dr. Eileen J. Cox at the Natural History Museum, London are thanked for their help with the scanning electron microscopy as is Friedel Hinz at the Alfred Wegener Institute in Bremerhaven, Germany. This study was supported by the BELSPO project CCAMBIO and an EU Synthesys grant to BVDV to visit the National History Museum in London, UK. The LIMNOPOLAR project has been funded by the grant CGL2005-06549-CO2-01 from the Ministerio de Educacion y Ciencia of Spain.</t>
  </si>
  <si>
    <t>ADAC-CRYPTOGAMIE</t>
  </si>
  <si>
    <t>PARIS</t>
  </si>
  <si>
    <t>12 RUE DE BUFFON, 75005 PARIS, FRANCE</t>
  </si>
  <si>
    <t>0181-1568</t>
  </si>
  <si>
    <t>1776-0984</t>
  </si>
  <si>
    <t>CRYPTOGAMIE ALGOL</t>
  </si>
  <si>
    <t>Cryptogam. Algol.</t>
  </si>
  <si>
    <t>10.7872/crya.v35.iss3.2014.245</t>
  </si>
  <si>
    <t>Plant Sciences; Marine &amp; Freshwater Biology</t>
  </si>
  <si>
    <t>AQ7WK</t>
  </si>
  <si>
    <t>WOS:000343029700003</t>
  </si>
  <si>
    <t>Ko, YH; Lee, K; Quay, PD; Feely, RA</t>
  </si>
  <si>
    <t>Ko, Young Ho; Lee, Kitack; Quay, Paul D.; Feely, Richard A.</t>
  </si>
  <si>
    <t>Decadal (1994-2008) change in the carbon isotope ratio in the eastern South Pacific Ocean</t>
  </si>
  <si>
    <t>GLOBAL BIOGEOCHEMICAL CYCLES</t>
  </si>
  <si>
    <t>carbon isotope; anthropogenic carbon dioxide</t>
  </si>
  <si>
    <t>NORTH-ATLANTIC OCEAN; ANTHROPOGENIC CO2; ANNULAR MODE; DELTA-C-13; DIOXIDE; MARINE; DEPTH; CYCLE; SINK</t>
  </si>
  <si>
    <t>We determined the 14year change in the anthropogenic CO2 inventory in the eastern South Pacific Ocean along the 110 degrees W meridian from 67 degrees S to 21 degrees N, using seawater C-13 data sets collected in 1994 and 2008. The vertical integral of the 14year C-13 change was assessed in five latitude bands and found to be greatest (-14.7myr(-1)) in the subpolar band (38 degrees S-55 degrees S) and smallest (-3.0myr(-1)) in the tropical band (21 degrees N-18 degrees S). The C-13 change in each of the latitudinal bands was primarily caused by inputs of anthropogenic CO2 via air-sea exchange and transport. More than 50% of the total anthropogenic CO2 was added to the subpolar band via the northward movement of Antarctic Intermediate Water (AAIW) from the south, and the remaining 50% was added via air-sea exchange. We also calculated the ratio of the temporal change in C-13 to the change in dissolved inorganic carbon, which is a measure of the efficiency of oceanic uptake of anthropogenic CO2. The ratio for AAIW in 1994 (-0.017 parts per thousand (mu molkg(-1)) (-1)) was greater than that in 2008 (-0.010 parts per thousand (mu molkg(-1)) (-1)) based on the change in preformed C-13 and dissolved inorganic carbon (DIC), indicating reduced efficiency of CO2 uptake by the Southern Ocean in 2008 relative to that in 1994. AAIW remained at the surface for a shorter period in 2008 relative to 1994, and thus would have taken up less atmospheric CO2 prior to subduction. The projected reduction in this ratio indicates a weakening of CO2 uptake by the Southern Ocean in the future.</t>
  </si>
  <si>
    <t>[Ko, Young Ho; Lee, Kitack] Pohang Univ Sci &amp; Technol, Sch Environm Sci &amp; Engn, Pohang, South Korea; [Quay, Paul D.] Univ Washington, Sch Oceanog, Seattle, WA 98195 USA; [Feely, Richard A.] Natl Ocean &amp; Atmospher Adm, Pacific Marine Environm Lab, Seattle, WA USA</t>
  </si>
  <si>
    <t>Pohang University of Science &amp; Technology (POSTECH); University of Washington; University of Washington Seattle; National Oceanic Atmospheric Admin (NOAA) - USA</t>
  </si>
  <si>
    <t>Lee, K (corresponding author), Pohang Univ Sci &amp; Technol, Sch Environm Sci &amp; Engn, Pohang, South Korea.</t>
  </si>
  <si>
    <t>ktl@postech.ac.kr</t>
  </si>
  <si>
    <t>Ko, Young Ho/HGE-2606-2022; Feely, Richard A./ABI-5740-2020; Lee, Kitack/G-7184-2015</t>
  </si>
  <si>
    <t>Ko, Young Ho/0000-0001-5379-2820; Lee, Kitack/0000-0002-4226-2303</t>
  </si>
  <si>
    <t>Mid-career Research Program [2012R1A2A1A01004631]; Global Research Project - National Research Foundation (NRF) of the Ministry of Science, ICT, and Future Planning; project titled Management of Marine Organisms causing Ecological Disturbance and Harmful Effects - Ministry of Oceans and Fisheries</t>
  </si>
  <si>
    <t>Mid-career Research Program; Global Research Project - National Research Foundation (NRF) of the Ministry of Science, ICT, and Future Planning; project titled Management of Marine Organisms causing Ecological Disturbance and Harmful Effects - Ministry of Oceans and Fisheries</t>
  </si>
  <si>
    <t>The preparation of the manuscript was supported by the Mid-career Research Program (2012R1A2A1A01004631) and Global Research Project funded by the National Research Foundation (NRF) of the Ministry of Science, ICT, and Future Planning. Partial support was also provided by the project titled Management of Marine Organisms causing Ecological Disturbance and Harmful Effects funded by the Ministry of Oceans and Fisheries.</t>
  </si>
  <si>
    <t>0886-6236</t>
  </si>
  <si>
    <t>1944-9224</t>
  </si>
  <si>
    <t>GLOBAL BIOGEOCHEM CY</t>
  </si>
  <si>
    <t>Glob. Biogeochem. Cycle</t>
  </si>
  <si>
    <t>10.1002/2013GB004786</t>
  </si>
  <si>
    <t>Environmental Sciences; Geosciences, Multidisciplinary; Meteorology &amp; Atmospheric Sciences</t>
  </si>
  <si>
    <t>Environmental Sciences &amp; Ecology; Geology; Meteorology &amp; Atmospheric Sciences</t>
  </si>
  <si>
    <t>AQ3VQ</t>
  </si>
  <si>
    <t>WOS:000342722000001</t>
  </si>
  <si>
    <t>Antibus, JV; Panter, KS; Wilch, TI; Dunbar, N; McIntosh, W; Tripati, A; Bindeman, I; Blusztajn, J</t>
  </si>
  <si>
    <t>Antibus, Joanne V.; Panter, Kurt S.; Wilch, Thomas I.; Dunbar, Nelia; McIntosh, William; Tripati, Aradhna; Bindeman, Ilya; Blusztajn, Jerzy</t>
  </si>
  <si>
    <t>Alteration of volcaniclastic deposits at Minna Bluff: Geochemical insights on mineralizing environment and climate during the Late Miocene in Antarctica</t>
  </si>
  <si>
    <t>GEOCHEMISTRY GEOPHYSICS GEOSYSTEMS</t>
  </si>
  <si>
    <t>alteration minerals; hyaloclastite; paleoenvironment; isotopes; geochemistry</t>
  </si>
  <si>
    <t>MCMURDO ICE SHELF; OXYGEN-ISOTOPE; STRONTIUM ISOTOPES; CLUMPED-ISOTOPE; EREBUS VOLCANO; DRILL CORE; EVOLUTION; CALCITE; MANTLE; PARAGENESIS</t>
  </si>
  <si>
    <t>Secondary minerals in volcaniclastic deposits at Minna Bluff, a 45 km long peninsula in the Ross Sea, are used to infer processes of alteration and environmental conditions in the Late Miocene. Glassy volcaniclastic deposits are altered and contain phillipsite and chabazite, low to high-Mg carbonates, chalcedony, and clay. The O-18 of carbonates and chalcedony is variable, ranging from -0.50 to 21.53 and 0.68 to 10.37, respectively, and D for chalcedony is light (-187.8 to -220.6), corresponding to Antarctic meteoric water. A mean carbonate Sr-87/Sr-86 ratio of 0.703270.0009 (1 sigma, n=12) is comparable to lava and suggests freshwater, as opposed to seawater, caused the alteration. Minerals were precipitated at elevated temperatures (91 and 104 degrees C) based on quartz-calcite equilibrium, carbonate C-13-C-18 thermometry ((47) derived temperature=5 degrees to 43 degrees C) and stability of zeolites in geothermal systems (&gt;10 to approximate to 100 degrees C). The alteration was a result of isolated, ephemeral events involving the exchange between heated meteoric water and glass during or soon after the formation of each deposit. Near-surface evaporative distillation can explain O-18-enriched compositions for some Mg-rich carbonates and chalcedony. The O-18(water) calculated for carbonates (-15.8 to -22.9 parts per thousand) reveals a broad change, becoming heavier between approximate to 12 and approximate to 7 Ma, consistent with a warming climate. These findings are independently corroborated by the interpretation of Late Miocene sedimentary sequences recovered from nearby sediment cores. However, in contrast to a cold-based thermal regime proposed for ice flow at core sites, wet-based conditions prevailed at Minna Bluff; a likely consequence of high heat flow associated with an active magma system.</t>
  </si>
  <si>
    <t>[Antibus, Joanne V.; Panter, Kurt S.] Bowling Green State Univ, Dept Geol, Bowling Green, OH 43403 USA; [Wilch, Thomas I.] Albion Coll, Dept Geol Sci, Albion, MI 49224 USA; [Dunbar, Nelia; McIntosh, William] New Mexico Inst Min &amp; Technol, Socorro, NM 87801 USA; [Tripati, Aradhna] Univ Calif Los Angeles, Inst Environm &amp; Sustainabil, Inst Geophys &amp; Planetary Phys, Dept Earth Planetary &amp; Space Sci,Calif Nanosyst I, Los Angeles, CA USA; [Tripati, Aradhna] Univ Calif Los Angeles, Inst Environm &amp; Sustainabil, Inst Geophys &amp; Planetary Phys, Dept Atmospher &amp; Ocean Sci,Calif Nanosyst Inst, Los Angeles, CA USA; [Bindeman, Ilya] Univ Oregon, Dept Geol Sci, Eugene, OR 97403 USA; [Blusztajn, Jerzy] Woods Hole Oceanog Inst, Dept Geol &amp; Geophys, Woods Hole, MA 02543 USA</t>
  </si>
  <si>
    <t>University System of Ohio; Bowling Green State University; Albion College; New Mexico Institute of Mining Technology; University of California System; University of California Los Angeles; University of California System; University of California Los Angeles; University of Oregon; Woods Hole Oceanographic Institution</t>
  </si>
  <si>
    <t>Panter, KS (corresponding author), Bowling Green State Univ, Dept Geol, Bowling Green, OH 43403 USA.</t>
  </si>
  <si>
    <t>kpanter@bgsu.edu</t>
  </si>
  <si>
    <t>Dunbar, Nelia W./HZL-8693-2023; Panter, Kurt S/B-4486-2010; Tripati, Aradhna/C-9419-2011; Bindeman, Ilya/D-2497-2012</t>
  </si>
  <si>
    <t>Dunbar, Nelia W./0000-0002-5181-937X; Tripati, Aradhna/0000-0002-1695-1754; Bindeman, Ilya/0000-0003-2778-9083; Panter, Kurt S./0000-0002-0990-5880</t>
  </si>
  <si>
    <t>UNED/NSF [250550001146]; NSF [EAR-0949191, ARC-1215551, EAR-1325054, EAR-1352212, EAR-1049351]; ACS [51182-DNI2]; DOE [DE-FG02-13ER16402, DE-SC0010288]; Hellman Fellowship; Katzner grant (BGSU); [NSF OPP 05-38033]; U.S. Department of Energy (DOE) [DE-SC0010288] Funding Source: U.S. Department of Energy (DOE); Division Of Earth Sciences; Directorate For Geosciences [1049351] Funding Source: National Science Foundation; Office of Polar Programs (OPP); Directorate For Geosciences [1141906] Funding Source: National Science Foundation</t>
  </si>
  <si>
    <t>UNED/NSF; NSF(National Science Foundation (NSF)); ACS(American Cancer Society); DOE(United States Department of Energy (DOE)); Hellman Fellowship; Katzner grant (BGSU); ; U.S. Department of Energy (DOE)(United States Department of Energy (DOE)); Division Of Earth Sciences; Directorate For Geosciences(National Science Foundation (NSF)NSF - Directorate for Geosciences (GEO)); Office of Polar Programs (OPP); Directorate For Geosciences(National Science Foundation (NSF)NSF - Directorate for Geosciences (GEO))</t>
  </si>
  <si>
    <t>We would like to thank John Farver and Jeff Snyder (BGSU thesis committee) for contributing their time, effort, and expertise to this project. We would also like to thank David Mogk for the use of his lab and hospitality at Montana State University and Lora Wingate for technical guidance at the University of Michigan. We are grateful to two anonymous reviewers for their useful and constructive comments and for editorial handling by Cin-Ty Lee. This research was funded by a collaborative grant NSF OPP 05-38033. It also was supported by UNED/NSF 250550001146, NSF grants EAR-0949191, ARC-1215551, EAR-1325054, EAR-1352212, EAR-1049351, ACS grant 51182-DNI2, DOE grants DE-FG02-13ER16402, and DE-SC0010288, a Hellman Fellowship, and a Katzner grant (BGSU). Data supporting Figure 4 are available in Table S1 of supporting information and data supporting Figure 7 are available in Table S2 of supporting information.</t>
  </si>
  <si>
    <t>1525-2027</t>
  </si>
  <si>
    <t>GEOCHEM GEOPHY GEOSY</t>
  </si>
  <si>
    <t>Geochem. Geophys. Geosyst.</t>
  </si>
  <si>
    <t>10.1002/2014GC005422</t>
  </si>
  <si>
    <t>AQ3KY</t>
  </si>
  <si>
    <t>WOS:000342693400011</t>
  </si>
  <si>
    <t>Matsumoto, H; Bohnenstiehl, DR; Tournadre, J; Dziak, RP; Haxel, JH; Lau, TKA; Fowler, M; Salo, SA</t>
  </si>
  <si>
    <t>Matsumoto, Haru; Bohnenstiehl, DelWayne R.; Tournadre, Jean; Dziak, Robert P.; Haxel, Joseph H.; Lau, T. -K. A.; Fowler, Matt; Salo, Sigrid A.</t>
  </si>
  <si>
    <t>Antarctic icebergs: A significant natural ocean sound source in the Southern Hemisphere</t>
  </si>
  <si>
    <t>Antarctica; iceberg; ocean noise; seasonality; trend</t>
  </si>
  <si>
    <t>INDIAN-OCEAN; NOISE; INCREASES; TRENDS; WEST</t>
  </si>
  <si>
    <t>In late 2007, two massive icebergs, C19a and B15a, drifted into open water and slowly disintegrated in the southernmost Pacific Ocean. Archived acoustic records show that the high-intensity underwater sounds accompanying this breakup increased ocean noise levels at mid-to-equatorial latitudes over a period of approximate to 1.5 years. More typically, seasonal variations in ocean noise, which are characterized by austral summer-highs and winter-lows, appear to be modulated by the annual cycle of Antarctic iceberg drift and subsequent disintegration. This seasonal pattern is observed in all three Oceans of the Southern Hemisphere. The life cycle of Antarctic icebergs affects not only marine ecosystem but also the sound environment in far-reaching areas and must be accounted for in any effort to isolate anthropogenic or climate-induced noise contributions to the ocean soundscape.</t>
  </si>
  <si>
    <t>[Matsumoto, Haru; Dziak, Robert P.; Haxel, Joseph H.; Lau, T. -K. A.; Fowler, Matt] Oregon State Univ, Cooperat Inst Marine Resources Studies, Newport, OR 97365 USA; [Matsumoto, Haru; Dziak, Robert P.; Haxel, Joseph H.; Lau, T. -K. A.; Fowler, Matt; Salo, Sigrid A.] NOAA, Pacific Marine Environm Lab, Acoust Program, Seattle, WA 98115 USA; [Bohnenstiehl, DelWayne R.] N Carolina State Univ, Dept Marine Earth &amp; Atmospher Sci, Raleigh, NC 27695 USA; [Tournadre, Jean] IFREMER, Lab Oceanog Spatiale, Plousane, France</t>
  </si>
  <si>
    <t>Oregon State University; National Oceanic Atmospheric Admin (NOAA) - USA; North Carolina State University; Ifremer</t>
  </si>
  <si>
    <t>Matsumoto, H (corresponding author), Oregon State Univ, Cooperat Inst Marine Resources Studies, Newport, OR 97365 USA.</t>
  </si>
  <si>
    <t>haru.matsumoto@oregonstate.edu</t>
  </si>
  <si>
    <t>Matsumoto, Haru/J-6812-2017; tournadre, jean/F-8402-2010; Dziak, Robert/AAC-6107-2020</t>
  </si>
  <si>
    <t>Matsumoto, Haru/0000-0002-0202-4060;</t>
  </si>
  <si>
    <t>NOAA, Pacific Marine Environmental Laboratory Acoustics Program; Department of Energy [DE-A152-08NA28654]</t>
  </si>
  <si>
    <t>NOAA, Pacific Marine Environmental Laboratory Acoustics Program; Department of Energy(United States Department of Energy (DOE))</t>
  </si>
  <si>
    <t>This work was supported by the NOAA, Pacific Marine Environmental Laboratory Acoustics Program and the Department of Energy (Contract number: DE-A152-08NA28654). The authors thank the CTBTO for providing hydroacoustic data and the Air Force Technical Applications Center and U.S. National Data Center for their assistance in obtaining the IMS data, and Brigham Young University Center for Remote Sensing for providing the QuickSCAT iceberg tracking data. We are grateful to the crew of the R/V Ka'imimoana and Tropical Ocean Global Atmosphere group for many deployments and recoveries for AUHs. We also owe thanks to C. G. Fox who led the EEP AUH project in its early stage. PMEL contribution number 4159. We are also appreciative of discussion with M. Park and W. Lee at Korea Polar Research Institute on ice noise.</t>
  </si>
  <si>
    <t>10.1002/2014GC005454</t>
  </si>
  <si>
    <t>WOS:000342693400020</t>
  </si>
  <si>
    <t>Kosempa, M; Chambers, DP</t>
  </si>
  <si>
    <t>Kosempa, Michael; Chambers, Don P.</t>
  </si>
  <si>
    <t>Southern Ocean velocity and geostrophic transport fields estimated by combining Jason altimetry and Argo data</t>
  </si>
  <si>
    <t>ANTARCTIC CIRCUMPOLAR CURRENT; GENERAL-CIRCULATION; DRAKE PASSAGE; VARIABILITY; SATELLITE; HEMISPHERE; PRECISION; SURFACE; TRENDS; MODEL</t>
  </si>
  <si>
    <t>Zonal geostrophic velocity fields above 1975 dbar have been estimated for the Southern Ocean from 2004 into 2011 based on sea surface topography observed by Jason altimetry and temperature/salinity measured by Argo autonomous floats. The velocity at 1000 dbar estimated with the method has been compared to Argo drift trajectory at the same pressure level available from the Asia Pacific Data Research Center (APDRC). The inferred velocities agree with those from the Argo drift within the estimated sampling error of the latter, but have fewer gaps in space and time. The velocity has also been integrated from depth to surface to determine the mean and time-variable zonal geostrophic transport in the Southern Ocean between 29.5 degrees S and 58.5 degrees S, primarily in the South Atlantic and South Indian Ocean basins, due to limitations in coverage of Argo. Analysis shows errors can be reduced by &gt;70% by averaging gridded results over wide areas. Zonal transport averaged over the entire Indian Ocean basin shows a significant correlation with the Antarctic Oscillation (AAO) at low frequencies: transport is higher than normal during a positive phase of the AAO, and lower during the negative phase.</t>
  </si>
  <si>
    <t>[Kosempa, Michael; Chambers, Don P.] Univ S Florida, Coll Marine Sci, St Petersburg, FL 33701 USA</t>
  </si>
  <si>
    <t>State University System of Florida; University of South Florida</t>
  </si>
  <si>
    <t>Kosempa, M (corresponding author), Univ S Florida, Coll Marine Sci, St Petersburg, FL 33701 USA.</t>
  </si>
  <si>
    <t>mkosempa@mail.usf.edu</t>
  </si>
  <si>
    <t>NASA Ocean Surface Topography Science Team [NNX13AG98G]</t>
  </si>
  <si>
    <t>NASA Ocean Surface Topography Science Team(National Aeronautics &amp; Space Administration (NASA))</t>
  </si>
  <si>
    <t>This research was carried out under grant NNX13AG98G from the NASA Ocean Surface Topography Science Team. The Argo data were collected and made freely available by the International Argo Program and the national programs that contribute to it. The Argo program is part of the Global Ocean Observing System. Jason-1 and Jason-2 GDR-C records were downloaded from the AVISO data archive at http://www.aviso.oceanobs.com. The EGM-08 1'x1' geoid was downloaded from http://earth-info.nga.mil/GandG/wgs84/gravitymod/egm2008/oceano.html. The Danish Space Center Mean Sea Surface 2008 (DNSCMSS08) at 1'x1' was downloaded from http://www.space.dtu.dk/english/Research/Scientific_data_and_models/downloaddata. The SOSE output was downloaded from http://sose.ucsd.edu/sose_stateestimation_data_08.html. The AAO index is from the NOAA Climate Prediction Center and downloaded from http://www.cpc.ncep.noaa.gov/products/precip/CWlink/daily_ao_index/aao/aao.shtml. The authors would like to thank M. Mazloff for his help in using the SOSE data, and three anonymous reviewers and the Editor for their helpful comments on earlier drafts of this paper.</t>
  </si>
  <si>
    <t>10.1002/2014JC009853</t>
  </si>
  <si>
    <t>AQ1CR</t>
  </si>
  <si>
    <t>WOS:000342519500005</t>
  </si>
  <si>
    <t>Xu, XX; Chassignet, EP; Johns, WE; William, JS; Metzger, EJ</t>
  </si>
  <si>
    <t>Xu, Xiaobiao; Chassignet, Eric P.; Johns, William E.; Schmitz, William J., Jr.; Metzger, E. Joseph</t>
  </si>
  <si>
    <t>Intraseasonal to interannual variability of the Atlantic meridional overturning circulation from eddy-resolving simulations and observations</t>
  </si>
  <si>
    <t>TROPICAL NORTH-ATLANTIC; HEAT-TRANSPORT; THERMOHALINE CIRCULATION; DEEP-WATER; SEA-ICE; CURRENTS; MODEL; 26-DEGREES-N; PERFORMANCE; COHERENCE</t>
  </si>
  <si>
    <t>Results from two 1/12 degrees eddy-resolving simulations, together with data-based transport estimates at 26.5 degrees N and 41 degrees N, are used to investigate the temporal variability of the Atlantic meridional overturning circulation (AMOC) during 2004-2012. There is a good agreement between the model and the observation for all components of the AMOC at 26.5 degrees N, whereas the agreement at 41 degrees N is primarily due to the Ekman transport. We found that (1) both observations and model results exhibit higher AMOC variability on seasonal and shorter time scales than on interannual and longer time scales; (2) on intraseasonal and interannual time scales, the AMOC variability is often coherent over a wide latitudinal range, but lacks an overall consistent coherent pattern over the entire North Atlantic; and (3) on seasonal time scales, the AMOC variability exhibits two distinct coherent regimes north and south of 20 degrees N, due to different wind stress variability in the tropics and subtropics. The high AMOC variability south of 20 degrees N in the tropical Atlantic comes primarily from the Ekman transport of the near-surface water, and is modulated to some extent by the transport of the Antarctic Intermediate water below the thermocline. These results highlight the importance of the surface wind in driving the AMOC variability.</t>
  </si>
  <si>
    <t>[Xu, Xiaobiao; Chassignet, Eric P.] Florida State Univ, Ctr Ocean Atmospher Predict Studies, Tallahassee, FL 32306 USA; [Johns, William E.] Univ Miami, Rosenstiel Sch Marine &amp; Atmospher Sci, Miami, FL 33149 USA; [Schmitz, William J., Jr.] Texas A&amp;M Univ, Harte Res Inst, Corpus Christi, TX USA; [Metzger, E. Joseph] Naval Res Lab, Oceanog Div, Stennis Space Ctr, MS USA</t>
  </si>
  <si>
    <t>State University System of Florida; Florida State University; University of Miami; Texas A&amp;M University System; United States Department of Defense; United States Navy; Naval Research Laboratory</t>
  </si>
  <si>
    <t>Xu, XX (corresponding author), Florida State Univ, Ctr Ocean Atmospher Predict Studies, Tallahassee, FL 32306 USA.</t>
  </si>
  <si>
    <t>xxu@coaps.fsu.edu</t>
  </si>
  <si>
    <t>William, James/JHT-8876-2023</t>
  </si>
  <si>
    <t>ONR award [N00014-09-1-0587]; Natural Environment Research Council (NERC); National Science Foundation (NSF); Division Of Ocean Sciences; Directorate For Geosciences [1332978] Funding Source: National Science Foundation</t>
  </si>
  <si>
    <t>ONR award; Natural Environment Research Council (NERC)(UK Research &amp; Innovation (UKRI)Natural Environment Research Council (NERC)); National Science Foundation (NSF)(National Science Foundation (NSF)); Division Of Ocean Sciences; Directorate For Geosciences(National Science Foundation (NSF)NSF - Directorate for Geosciences (GEO))</t>
  </si>
  <si>
    <t>This work is supported by ONR award N00014-09-1-0587. Data from the RAPID/MOCHA monitoring project are funded by the Natural Environment Research Council (NERC) and National Science Foundation (NSF) and are available at http://www.rapid.ac.uk/rapidmoc. We thank Josh Willis and Will Hobbs for providing the 41 degrees N results. The simulations are performed on supercomputers at the Navy DoD Supercomputing Resource Center (DSRC), Stennis Space Center, MS, using computer time provided by the U.S. DoD High Performance Computing Modernization Program. The model details and output are securely stored in the Navy DSRC archive server. Special thanks to Alan J. Wallcraft (NRL/SSC) for help in configuring the numerical experiments. This is NRL contribution NRL/JA/7320-14-2122, which is approved for public release and distribution is unlimited.</t>
  </si>
  <si>
    <t>10.1002/2014JC009994</t>
  </si>
  <si>
    <t>WOS:000342519500025</t>
  </si>
  <si>
    <t>Lacarra, M; Houssais, MN; Herbaut, C; Sultan, E; Beauverger, M</t>
  </si>
  <si>
    <t>Lacarra, Maite; Houssais, Marie-Noelle; Herbaut, Christophe; Sultan, Emmanuelle; Beauverger, Mickael</t>
  </si>
  <si>
    <t>Dense shelf water production in the Adelie Depression, East Antarctica, 2004-2012: Impact of the Mertz Glacier calving</t>
  </si>
  <si>
    <t>LAND BOTTOM WATER; SEA-ICE; CIRCULATION; OCEANOGRAPHY; POLYNYAS; REGION; MASSES; EXPORT; FRONT; SLOPE</t>
  </si>
  <si>
    <t>Summer repeated hydrographic surveys and 4 years of mooring observations are used to characterize for the first time the interannual variability of the bottom water in the Mertz Glacier Polynya (MGP) on the East Antarctic shelf (142 degrees E-146 degrees E). Until 2010, large interannual variability was observed in the summer bottom salinity with year-to-year changes reaching 0.12 in Commonwealth Bay, the region with the highest sea ice production. The summer variability was shown to be linked to the efficiency of the convection during the preceding winter. The recent freshening of the bottom waters subsequent to the Mertz Glacier calving was well beyond the range of the precalving interannual variability. Within 2 years after the event, the bottom water of the shelf became too light to possibly contribute to renewal of the Antarctic Bottom Water. Rough estimates of the freshwater budget of the Adelie Depression indicate that the freshening necessary to compensate for net sea ice production in the MGP did not change drastically after the Mertz calving. The year-to-year salinity changes appeared to respond to the MGP activity. Yet, prior to the calving, the convective system in the polynya was also partly controlled by the late winter bottom salinity through a mechanism leading to a sequence of alternatively fresher and more saline bottom waters over the period 2007-2010. Exceptional events like the Mertz calving seem to be able to switch over the system into a less stratified state where convection responds more directly to changes in the surface forcing.</t>
  </si>
  <si>
    <t>[Lacarra, Maite; Houssais, Marie-Noelle; Herbaut, Christophe; Sultan, Emmanuelle; Beauverger, Mickael] Univ Paris 06, Sorbonne Univ, CNRS, IRD,MNHN,LOCEAN Lab, Paris, France; [Beauverger, Mickael] IFREMER, LM2E, Plouzane, France</t>
  </si>
  <si>
    <t>Institut de Recherche pour le Developpement (IRD); Museum National d'Histoire Naturelle (MNHN); Sorbonne Universite; Centre National de la Recherche Scientifique (CNRS); Universite de Bretagne Occidentale; Ifremer</t>
  </si>
  <si>
    <t>Lacarra, M (corresponding author), Univ Paris 06, Sorbonne Univ, CNRS, IRD,MNHN,LOCEAN Lab, Paris, France.</t>
  </si>
  <si>
    <t>maite.lacarra@locean-ipsl.upmc.fr</t>
  </si>
  <si>
    <t>CNRS; French Polar Institute (IPEV) [452]</t>
  </si>
  <si>
    <t>CNRS(Centre National de la Recherche Scientifique (CNRS)); French Polar Institute (IPEV)</t>
  </si>
  <si>
    <t>This work has been supported by CNRS in the context of the INSU/LEFE program. The ALBION project is also supported by the French Polar Institute (IPEV) under project 452. The lead author was funded through a doctoral fellowship from the French Minister of Education and Research (MESR). The authors are very grateful to Gunnar Spreen for providing them with the unmasked version of the AMSRE sea ice concentrations. The authors wish to thank the IPEV staff for their efficient technical support on board the Astrolabe, the Division Technique of INSU (C. Marec and A. Royer) for their assistance with the CTD and mooring equipment, and the crew of the SV Astrolabe for their involvement on board during the ALBION cruises. Initiation of the mooring program would not have been possible without the highly valuable help of J. Lanoiselle during the early stages of the ALBION experiment. Fruitful discussions with A. Martin are greatly acknowledged.</t>
  </si>
  <si>
    <t>10.1002/2013JC009124</t>
  </si>
  <si>
    <t>WOS:000342519500029</t>
  </si>
  <si>
    <t>Phillips, HE; Bindoff, NL</t>
  </si>
  <si>
    <t>Phillips, H. E.; Bindoff, N. L.</t>
  </si>
  <si>
    <t>On the nonequivalent barotropic structure of the Antarctic Circumpolar Current: An observational perspective</t>
  </si>
  <si>
    <t>POLEWARD HEAT-FLUX; GULF-STREAM; VERTICAL MOTION; FRONT SOUTH; MEAN FLOW; VELOCITY; TEMPERATURE; CIRCULATION; MODEL</t>
  </si>
  <si>
    <t>We examine the vertical structure of the horizontal flow and diagnose vertical velocities in the Antarctic Circumpolar Current (ACC) near the Kerguelen Plateau using EM-APEX profiling floats. Eight floats measured horizontal velocity, temperature, and salinity profiles to 1600 dbar, with a vertical spacing of 3-5 dbar four times per day over a period of approximately 3 months. Horizontal velocity profiles show a complex vertical structure with strong rotation of the velocity vector through the water column. The distribution of rotation angles from 1247 profiles is approximately Gaussian and rotations of either sign are equally likely. Forty percent of profiles with speed greater than 5 cm s(-1) have a depth-integrated rotation of less than 15 degrees over 1300 dbar, while the other 60% demonstrate significantly stronger rotation. Consequently, most profiles do not conform to the equivalent barotropic model (deep flow parallel and proportional to the surface flow) used in simplified dynamical models and in Gravest Empirical Mode climatologies of the ACC. Nevertheless, since we find the mean rotation to be zero, an equivalent barotropic assumption is valid to first order. Vertical velocities inferred using conservation of mass and a gradient wind balance in natural coordinates have magnitudes on the order of 100 m/day. We find robust patterns of upwelling and downwelling phase-locked to meanders in the flow, as found in earlier studies. With the advent of high-resolution observations such as those presented here, and high-resolution models, we can advance to a more complete understanding of the rich variability in ACC structure that is neglected in the equivalent barotropic model.</t>
  </si>
  <si>
    <t>[Phillips, H. E.; Bindoff, N. L.] Univ Tasmania, Inst Marine &amp; Antarctic Studies, Hobart, Tas, Australia; [Phillips, H. E.; Bindoff, N. L.] ARC Ctr Excellence Climate Syst Sci, Hobart, Tas, Australia; [Bindoff, N. L.] Antarctic Climate &amp; Ecosyst Cooperat Res Ctr, Hobart, Tas, Australia; [Bindoff, N. L.] CSIRO Marine &amp; Atmospher Res, Hobart, Tas, Australia</t>
  </si>
  <si>
    <t>University of Tasmania; ARC Centre of Excellence for Climate System Science; Antarctic Climate &amp; Ecosystems Cooperative Research Centre (ACE CRC); Commonwealth Scientific &amp; Industrial Research Organisation (CSIRO)</t>
  </si>
  <si>
    <t>Phillips, HE (corresponding author), Univ Tasmania, Inst Marine &amp; Antarctic Studies, Hobart, Tas, Australia.</t>
  </si>
  <si>
    <t>h.e.phillips@utas.edu.au</t>
  </si>
  <si>
    <t>Phillips, Helen/I-3761-2013; Bindoff, Nathaniel Lee/IVV-0333-2023; Bindoff, Nathaniel Lee/C-8050-2011</t>
  </si>
  <si>
    <t>Phillips, Helen/0000-0002-2941-7577; Bindoff, Nathaniel Lee/0000-0001-5662-9519; Bindoff, Nathaniel Lee/0000-0001-5662-9519</t>
  </si>
  <si>
    <t>Australian Research Council [DP0877098, DP130102088]; Australian Government DEWHA Projects [3002, 3228]; Australian Research Council [DP0877098] Funding Source: Australian Research Council</t>
  </si>
  <si>
    <t>Australian Research Council(Australian Research Council); Australian Government DEWHA Projects(Australian Government); Australian Research Council(Australian Research Council)</t>
  </si>
  <si>
    <t>We received extraordinary assistance from many people to mount the field program that collected this EM-APEX data. We thank John Dunlap (for sharing his EM-APEX expertise night and day), Steve Rintoul, Susan Wijffels, and the Australian Argo team, Breck Owens and the WHOI float group, the officers and crew of RRS James Cook V29, Amelie Meyer, the SOFINE team, James Girton, Andrew Meijers, Sergei Sokolov, Jamie Stevens, Leigh Gordon, Pauline Mak, Madeleine Cahill, David Griffin, John Wilkin and Dave Stevens. Discussions with Harry Bryden were helpful and encouraging. Comments from James Girton and an anonymous reviewer led to substantial improvements in this paper. This work was supported by Australian Research Council Discovery Projects DP0877098 and DP130102088, and Australian Government DEWHA Projects 3002 and 3228. The EM-APEX data used in this study are available from the Australian Antarctic Data Centre (doi: http://dx.doi.org/10.4225/15/514BE5251FE4F).</t>
  </si>
  <si>
    <t>10.1002/2013JC009516</t>
  </si>
  <si>
    <t>WOS:000342519500030</t>
  </si>
  <si>
    <t>Koenig, Z; Provost, C; Ferrari, R; Sennéchael, N; Rio, MH</t>
  </si>
  <si>
    <t>Koenig, Zoe; Provost, Christine; Ferrari, Ramiro; Sennechael, Nathalie; Rio, Marie-Helene</t>
  </si>
  <si>
    <t>Volume transport of the Antarctic Circumpolar Current: Production and validation of a 20 year long time series obtained from in situ and satellite observations</t>
  </si>
  <si>
    <t>DRAKE PASSAGE; CLIMATE-CHANGE; VARIABILITY; CIRCULATION; FRONTS; WIND; EDDIES</t>
  </si>
  <si>
    <t>A 20 year long volume transport time series of the Antarctic Circumpolar Current across the Drake Passage is estimated from the combination of information from in situ current meter data (2006-2009) and satellite altimetry data (1992-2012). A new method for transport estimates had to be designed. It accounts for the dependence of the vertical velocity structure on surface velocity and latitude. Yet unpublished velocity profile time series from Acoustic Doppler Current Profilers are used to provide accurate vertical structure estimates in the upper 350 m. The mean cross-track surface geostrophic velocities are estimated using an iterative error/correction scheme to the mean velocities deduced from two recent mean dynamic topographies. The internal consistency and the robustness of the method are carefully assessed. Comparisons with independent data demonstrate the accuracy of the method. The full-depth volume transport has a mean of 141 Sv (standard error of the mean 2.7 Sv), a standard deviation (std) of 13 Sv, and a range of 110 Sv. Yearly means vary from 133.6 Sv in 2011 to 150 Sv in 1993 and standard deviations from 8.8 Sv in 2009 to 17.9 Sv in 1995. The canonical ISOS values (mean 133.8 Sv, std 11.2 Sv) obtained from a year-long record in 1979 are very similar to those found here for year 2011 (133.6 Sv and 12 Sv). Full-depth transports and transports over 3000 m barely differ as in that particular region of Drake Passage the deep recirculations in two semiclosed basins have a close to zero net transport.</t>
  </si>
  <si>
    <t>[Koenig, Zoe; Provost, Christine; Ferrari, Ramiro; Sennechael, Nathalie] Univ Paris 06, Sorbonne Univ, CNRS, Lab LOCEAN IPSL,IRD,MNHN, Paris, France; [Rio, Marie-Helene] CLS Argos, Ramonville St Agne, Saint Agne, France</t>
  </si>
  <si>
    <t>Sorbonne Universite; Centre National de la Recherche Scientifique (CNRS); Institut de Recherche pour le Developpement (IRD); Museum National d'Histoire Naturelle (MNHN)</t>
  </si>
  <si>
    <t>Koenig, Z (corresponding author), Univ Paris 06, Sorbonne Univ, CNRS, Lab LOCEAN IPSL,IRD,MNHN, Paris, France.</t>
  </si>
  <si>
    <t>zklod@locean-ipsl.upmc.fr</t>
  </si>
  <si>
    <t>Provost, Christine/0000-0003-4693-3685</t>
  </si>
  <si>
    <t>CNES (Centre National d'Etudes Spatiales) through the OST/ST altimetric program; CNRS-INSU (Institut des Sciences de l'Univers) through the LEFE program; UK Natural Environment Research Council through research programme at the National Oceanography Centre; UK Natural Environment Research Council through research programme at the British Antarctic Survey</t>
  </si>
  <si>
    <t>This paper is a contribution to the DRAKE project that was funded both by CNES (Centre National d'Etudes Spatiales) through the OST/ST altimetric program and by CNRS-INSU (Institut des Sciences de l'Univers) through the LEFE program. We gratefully acknowledge Eberhard Fahrbach and AWI staff for their support for sea-going operations and the captains and crews of the RV Polarstern. We thank Annie Kartavtseff for the ADCP data processing and Pr. Young-Hyang Park for most valuable comments on the manuscript. The current meter data and the LADCP hydrographic sections are available at LOCEAN, the SR1B hydrographic transects at NOC, and the altimetry data at AVISO (CLS Argos). The SR1b hydrographic transects used in this work were funded by the UK Natural Environment Research Council through research programmes at the National Oceanography Centre and the British Antarctic Survey.</t>
  </si>
  <si>
    <t>10.1002/2014JC009966</t>
  </si>
  <si>
    <t>WOS:000342519500040</t>
  </si>
  <si>
    <t>Stopa, JE; Cheung, KF</t>
  </si>
  <si>
    <t>Stopa, Justin E.; Cheung, Kwok Fai</t>
  </si>
  <si>
    <t>Periodicity and patterns of ocean wind and wave climate</t>
  </si>
  <si>
    <t>FORECAST SYSTEM REANALYSIS; NCEP-NCAR REANALYSIS; ANTARCTIC SEA-ICE; NORTH-ATLANTIC; SOUTHERN-OSCILLATION; SURFACE-TEMPERATURE; ARCTIC OSCILLATION; INDIAN-OCEAN; VARIABILITY; PACIFIC</t>
  </si>
  <si>
    <t>The Climate Forecast System Reanalysis (CFSR) provides a wealth of information spanning 1979-2009 for investigation of ocean wind and wave climate. Preprocessing of the data is necessary to remove the dominant seasonal signals and to create time series of semimonthly averaged wind speed and significant wave height over a 0.5 degrees global grid. We perform an empirical orthogonal function (EOF) analysis to extract the dominant space-time patterns. The results for the three major ocean basins show strong zonal structures in the winds and saturation of the swells corroborating prior works with various data sets. We reexamine the CFSR data in the frequency domain to identify periodic signals associated with published climate indices. The Fourier transform of the preprocessed time series generates spectra ranging from 1 month to 15 years period for an EOF analysis. The results demonstrate the spatial structures and periods of climate phenomena. The Arctic Oscillation dominates the Atlantic basin with a broad range of intra-annual signals off the European coasts. The Indian and Pacific Oceans are strongly influenced by inter-annual cycles of the El Nino Southern Oscillation (ENSO) and the Antarctica Oscillation. The Indian Ocean also has strong intra-annual components ranging from 50 to 80 days period. The ENSO proves to be a ubiquitous signal around the globe, and in particular, saturates the Pacific with strong influences in the equatorial region and the Southern Hemisphere Westerlies. A commonality of all basins is that the magnitude and the spatial structure of the intra-annual and inter-annual signals are similar suggesting a wide range of periods in each of the climate cycles examined.</t>
  </si>
  <si>
    <t>[Stopa, Justin E.; Cheung, Kwok Fai] Univ Hawaii Manoa, Dept Ocean &amp; Resources Engn, Honolulu, HI 96822 USA</t>
  </si>
  <si>
    <t>University of Hawaii System; University of Hawaii Manoa</t>
  </si>
  <si>
    <t>Cheung, KF (corresponding author), Univ Hawaii Manoa, Dept Ocean &amp; Resources Engn, Honolulu, HI 96822 USA.</t>
  </si>
  <si>
    <t>cheung@hawaii.edu</t>
  </si>
  <si>
    <t>Department of Energy via the National Marine Renewable Energy Center [DE-FG-08G018180]; NOAA through the Pacific Island Ocean Observing System program [NA11-NOS0120039]</t>
  </si>
  <si>
    <t>Department of Energy via the National Marine Renewable Energy Center(United States Department of Energy (DOE)); NOAA through the Pacific Island Ocean Observing System program(National Oceanic Atmospheric Admin (NOAA) - USA)</t>
  </si>
  <si>
    <t>The Department of Energy funded this study through grant DE-FG-08G018180 via the National Marine Renewable Energy Center. Additional support is provided by NOAA grant NA11-NOS0120039 through the Pacific Island Ocean Observing System program. The CFSR wind and wave data sets and the climate indices are assessable through NOAA National Centers for Environmental Prediction and National Climate Prediction Center. We would like to thank the three anonymous reviewers for their comments and suggestions that have greatly improved this paper. SOEST contribution 9094.</t>
  </si>
  <si>
    <t>10.1002/2013JC009729</t>
  </si>
  <si>
    <t>Green Submitted, Green Published</t>
  </si>
  <si>
    <t>WOS:000342519500050</t>
  </si>
  <si>
    <t>Dixit, MM; Kumar, S; Catchings, RD; Suman, K; Sarkar, D; Sen, MK</t>
  </si>
  <si>
    <t>Dixit, Madan M.; Kumar, Sanjay; Catchings, R. D.; Suman, K.; Sarkar, Dipankar; Sen, M. K.</t>
  </si>
  <si>
    <t>Seismicity, faulting, and structure of the Koyna-Warna seismic region, Western India from local earthquake tomography and hypocenter locations</t>
  </si>
  <si>
    <t>JOURNAL OF GEOPHYSICAL RESEARCH-SOLID EARTH</t>
  </si>
  <si>
    <t>3-DIMENSIONAL VELOCITY STRUCTURE; CENTRAL CALIFORNIA; CRUSTAL STRUCTURE; TRIGGERED EARTHQUAKES; SOURCE PARAMETERS; SPECIAL EMPHASIS; POISSONS RATIO; HAYWARD FAULT; ARRIVAL TIMES; DECEMBER 10</t>
  </si>
  <si>
    <t>Although seismicity near Koyna Reservoir (India) has persisted for similar to 50 years and includes the largest induced earthquake (M 6.3) reported worldwide, the seismotectonic framework of the area is not well understood. We recorded similar to 1800 earthquakes from 6 January 2010 to 28 May 2010 and located a subset of 343 of the highest-quality earthquakes using the tomoDD code of Zhang and Thurber (2003) to better understand the framework. We also inverted first arrivals for 3-D Vp, Vs, and Vp/Vs and Poisson's ratio tomography models of the upper 12km of the crust. Epicenters for the recorded earthquakes are located south of the Koyna River, including a high-density cluster that coincides with a shallow depth (&lt;1.5 km) zone of relatively high Vp and low Vs (also high Vp/Vs and Poisson's ratios) near Warna Reservoir. This anomalous zone, which extends near vertically to at least 8 km depth and laterally northward at least 15 km, is likely a water-saturated zone of faults under high pore pressures. Because many of the earthquakes occur on the periphery of the fault zone, rather than near its center, the observed seismicity-velocity correlations are consistent with the concept that many of the earthquakes nucleate in fractures adjacent to the main fault zone due to high pore pressure. We interpret our velocity images as showing a series of northwest trending faults locally near the central part of Warna Reservoir and a major northward trending fault zone north of Warna Reservoir.</t>
  </si>
  <si>
    <t>[Dixit, Madan M.; Kumar, Sanjay; Sarkar, Dipankar; Sen, M. K.] Natl Geophys Res Inst, CSIR, Hyderabad 500007, Andhra Pradesh, India; [Catchings, R. D.] US Geol Survey, Earthquake Sci Ctr, Menlo Pk, CA 94025 USA; [Suman, K.] Natl Ctr Antarctic &amp; Ocean Res, Headland Sada, India</t>
  </si>
  <si>
    <t>Council of Scientific &amp; Industrial Research (CSIR) - India; CSIR - National Geophysical Research Institute (NGRI); United States Department of the Interior; United States Geological Survey; Ministry of Earth Sciences (MoES) - India; National Centre for Polar and Ocean Research (NCPOR)</t>
  </si>
  <si>
    <t>Dixit, MM (corresponding author), Natl Geophys Res Inst, CSIR, Hyderabad 500007, Andhra Pradesh, India.</t>
  </si>
  <si>
    <t>m2dixit1@gmail.com</t>
  </si>
  <si>
    <t>Catchings, Rufus/0000-0002-5191-6102</t>
  </si>
  <si>
    <t>2169-9313</t>
  </si>
  <si>
    <t>2169-9356</t>
  </si>
  <si>
    <t>J GEOPHYS RES-SOL EA</t>
  </si>
  <si>
    <t>J. Geophys. Res.-Solid Earth</t>
  </si>
  <si>
    <t>10.1002/2014JB010950</t>
  </si>
  <si>
    <t>AQ1AD</t>
  </si>
  <si>
    <t>WOS:000342512900016</t>
  </si>
  <si>
    <t>Goli, A; Pandey, DK</t>
  </si>
  <si>
    <t>Goli, Anitha; Pandey, Dhananjai K.</t>
  </si>
  <si>
    <t>Structural Characteristics of the Andaman Forearc Inferred from Interpretation of Multichannel Seismic Reflection Data</t>
  </si>
  <si>
    <t>ACTA GEOLOGICA SINICA-ENGLISH EDITION</t>
  </si>
  <si>
    <t>Structural geology; tectonics; Tertiary hydrocarbon potential; upwarp; Andaman; Indian Ocean</t>
  </si>
  <si>
    <t>NORTHEASTERN INDIAN-OCEAN; TECTONICS; INDONESIA; BASIN; EVOLUTION; GEOMETRY; HISTORY; REGION; MARGIN</t>
  </si>
  <si>
    <t>The Andaman Forearc Basin (AFB) is asymmetric in configuration and filled with a approximate to 6 km-thick pile of Neogene to Recent sediments (approximate to 4 s in two-way travel time: TWT) with distinct zonation. It shows gradual thinning up to approximate to 3 km (0.8 s in TWT) towards the eastern end with a seabed gradient of 1:30. Thick deformed sediments approximate to 2 s (TWT) of the Outerarc are associated with intense faulting and occasional folding caused by recent tectonics. Development of a series of faults within the upwarped sedimentary column of Oligocene top to Recent is observed with a rotated fault block. These features are manifestations of Recent igneous intrusion, and reveal the presence of a mild N-S compressional regime. Its effect on the AFB resulted in further uplift of sediments, which can now be seen as the Invisible Bank. Forward gravity modelling supporting our seismic interpretation reveals that it is associated with igneous intrusion from the Moho (approximate to 9 km depth), and also suggests that continental crust underlies the AFB. Strong Bottom Simulating Reflector (BSR)-like features in the Miocene sediments of Outerarc and Forearc basin at a depth of 0.6 s below the seabed suggest the inferred probable occurrence of gas hydrates in the AFB.</t>
  </si>
  <si>
    <t>[Goli, Anitha; Pandey, Dhananjai K.] Natl Ctr Antarctic &amp; Ocean Res, Vasco Da Gama 403804, Goa, India</t>
  </si>
  <si>
    <t>Goli, A (corresponding author), Natl Ctr Antarctic &amp; Ocean Res, Vasco Da Gama 403804, Goa, India.</t>
  </si>
  <si>
    <t>anitha.mahesh24@gmail.com</t>
  </si>
  <si>
    <t>Pandey, Dhananjai/S-3843-2019</t>
  </si>
  <si>
    <t>Pandey, Dhananjai/0000-0001-6899-8995</t>
  </si>
  <si>
    <t>1000-9515</t>
  </si>
  <si>
    <t>1755-6724</t>
  </si>
  <si>
    <t>ACTA GEOL SIN-ENGL</t>
  </si>
  <si>
    <t>Acta Geol. Sin.-Engl. Ed.</t>
  </si>
  <si>
    <t>10.1111/1755-6724.12279</t>
  </si>
  <si>
    <t>AO8CN</t>
  </si>
  <si>
    <t>WOS:000341580300015</t>
  </si>
  <si>
    <t>Cursach, JA; Suazo, CG; Rau, JR; Niklitschek, E; Vilugrón, J</t>
  </si>
  <si>
    <t>Cursach, Jaime A.; Suazo, Cristian G.; Rau, Jaime R.; Niklitschek, Edwin; Vilugron, Jonnathan</t>
  </si>
  <si>
    <t>Observations on the Southern Rockhopper penguin Eudyptes c. chrysocome in Gonzalo Island, Diego Ramirez archipelago, Chile</t>
  </si>
  <si>
    <t>REVISTA DE BIOLOGIA MARINA Y OCEANOGRAFIA</t>
  </si>
  <si>
    <t>Breeding; conservation; seabird; sub-Antarctic Islands</t>
  </si>
  <si>
    <t>BREEDING SUCCESS; NEST LOCATION; POPULATION SIZES; BIOLOGY; COLONY</t>
  </si>
  <si>
    <t>The globally population decline of Southern Rockhopper penguins does considered this species as vulnerable. However, in the Diego Ramirez archipelago (southern Chile) during the recent years the breeding population has been increased. We describe the nesting of Southern Rockhopper penguins in two sub-colonies of recent conformation in Gonzalo Island, Diego Ramirez. Variables such as sub-colony size and location of the nest within this not explain the hatching success of eggs and survival of chicks. The nesting population of Southern Rockhopper penguin in Gonzalo Island has a pattern of expansion in its colony, explained by a local increase in population abundance and protection generated by the vegetation coverage as tussock for their nests, which acting as an forming expansive colonial frontier.</t>
  </si>
  <si>
    <t>[Cursach, Jaime A.; Rau, Jaime R.; Niklitschek, Edwin] Univ Lagos, Programa Doctorado Ciencias Menc Conservac &amp; Mane, Puerto Montt, Chile; [Cursach, Jaime A.; Rau, Jaime R.; Vilugron, Jonnathan] Univ Lagos, Ecol Lab, Dept Ciencias Biol &amp; Biodiversidad, Osorno, Chile; [Cursach, Jaime A.] Univ Lagos, Lab Invest Socioambiental, Programa ATLAS, Dept Ciencias Sociales, Osorno, Chile; [Suazo, Cristian G.] BirdLife Int, Albatross Task Force, Valdivia, Chile; [Rau, Jaime R.] Univ Lagos, Programa IBAM, Osorno, Chile; [Niklitschek, Edwin] Univ Lagos, Ctr I Mar, Puerto Montt, Chile</t>
  </si>
  <si>
    <t>Universidad de Los Lagos; Universidad de Los Lagos; Universidad de Los Lagos; BirdLife International; Universidad de Los Lagos; Universidad de Los Lagos</t>
  </si>
  <si>
    <t>Cursach, JA (corresponding author), Univ Lagos, Programa Doctorado Ciencias Menc Conservac &amp; Mane, Casilla 557, Puerto Montt, Chile.</t>
  </si>
  <si>
    <t>jcurval@gmail.com</t>
  </si>
  <si>
    <t>Niklitschek, Edwin/A-7066-2008; Rau, Jaime/A-4922-2012</t>
  </si>
  <si>
    <t>Niklitschek, Edwin/0000-0001-5561-3494; Suazo, Cristian/0000-0003-3336-3660</t>
  </si>
  <si>
    <t>UNIV VALPARAISO, Faculty Marine Sciences and Natural Resources</t>
  </si>
  <si>
    <t>CASILLA 5080 - RENACA, VINA DEL MAR, 00000, CHILE</t>
  </si>
  <si>
    <t>0717-3326</t>
  </si>
  <si>
    <t>0718-1957</t>
  </si>
  <si>
    <t>REV BIOL MAR OCEANOG</t>
  </si>
  <si>
    <t>Rev. Biol. Mar. Oceanogr.</t>
  </si>
  <si>
    <t>10.4067/S0718-19572014000200014</t>
  </si>
  <si>
    <t>AO8GM</t>
  </si>
  <si>
    <t>gold, Green Submitted</t>
  </si>
  <si>
    <t>WOS:000341591700014</t>
  </si>
  <si>
    <t>Cursach, JA; Suazo, CG; Rau, JR</t>
  </si>
  <si>
    <t>Cursach, Jaime A.; Suazo, Cristian G.; Rau, Jaime R.</t>
  </si>
  <si>
    <t>Predation of South American sea lion Otaria flavescens on Southern Rockhopper penguin Eudyptes c. chrysocome in Gonzalo Island, Diego Ramirez, southernmost Chile</t>
  </si>
  <si>
    <t>Attacks; behavior; sub-Antarctic Islands</t>
  </si>
  <si>
    <t>During the summer season 2010-2011 was studied the predation of Otaria flavescens on Eudyptes chrysocome chrysocome in Gonzalo Island (56 degrees 31'S; 68 degrees 42'W), Diego Ramirez archipelago, southern Chile. In total, 75 attacks of sea lion on penguins were recorded, from which 34 (45.3%) corresponded to successful attacks and kill of penguins. Among recorded behaviors during attacks, we highlight: i) persecutions during penguin's swimming, ii) persecutions at land and iii) surprise attacks under water. We identified a bird assemblage associated to predation events, dominated by Macronectes giganteus.</t>
  </si>
  <si>
    <t>[Cursach, Jaime A.; Rau, Jaime R.] Univ Lagos, Programa Doctorado Ciencias Menc Conservac &amp; Mane, Puerto Montt, Chile; [Cursach, Jaime A.; Rau, Jaime R.] Univ Lagos, Ecol Lab, Dept Ciencias Biol &amp; Biodiversidad, Osorno, Chile; [Cursach, Jaime A.] Univ Lagos, Dept Ciencias Sociales, Programa ATLAS, Lab Invest Socioambiental, Osorno, Chile; [Suazo, Cristian G.] BirdLife Int, Albatross Task Force Chile, Valdivia, Chile; [Rau, Jaime R.] Univ Lagos, Programa IBAM, Osorno, Chile</t>
  </si>
  <si>
    <t>Universidad de Los Lagos; Universidad de Los Lagos; Universidad de Los Lagos; BirdLife International; Universidad de Los Lagos</t>
  </si>
  <si>
    <t>Rau, Jaime/A-4922-2012</t>
  </si>
  <si>
    <t>Suazo, Cristian/0000-0003-3336-3660</t>
  </si>
  <si>
    <t>UNIV VALPARAISO</t>
  </si>
  <si>
    <t>FACULTAD CIENCIAS MAR RECURSOS NATURALES, CASILLA 5080 - RENACA, VINA DEL MAR, 00000, CHILE</t>
  </si>
  <si>
    <t>10.4067/S0718-19572014000200016</t>
  </si>
  <si>
    <t>WOS:000341591700016</t>
  </si>
  <si>
    <t>Yadav, AP; Chaturvedi, S; Mishra, KP; Pal, S; Ganju, L; Singh, SB</t>
  </si>
  <si>
    <t>Yadav, Anand Prakash; Chaturvedi, Shubhra; Mishra, Kamla Prasad; Pal, Sunil; Ganju, Lilly; Singh, Shashi Bala</t>
  </si>
  <si>
    <t>Evidence for altered metabolic pathways during environmental stress: 1H-NMR spectroscopy based metabolomics and clinical studies on subjects of sea-voyage and Antarctic-stay</t>
  </si>
  <si>
    <t>PHYSIOLOGY &amp; BEHAVIOR</t>
  </si>
  <si>
    <t>Stress response; H-1 NMR; Environmental stress; Antarctica; Metabonomics</t>
  </si>
  <si>
    <t>PATTERN-RECOGNITION; SPACE ANALOG; CHOLINE; METABONOMICS; DISEASE; SERUM; MEN; AGE</t>
  </si>
  <si>
    <t>The Antarctic context is an analogue of space travel, with close similarity in ambience of extreme climate, isolation, constrained living spaces, disrupted sleep cycles, and environmental stress. The present study examined the impact of the harsh habitat of Antarctica on human physiology and its metabolic pathways, by analyzing human serum samples, using H-1-NMR spectroscopy for identification of metabolites; and quantifying other physiological and clinical parameters for correlation between expression data and metabolite data. Sera from seven adult males (of median age 36 years) who participated in this study, from the 28th Indian Expeditionary group to the Antarctica station Maitri, were collected in chronological sequence. These included: i) baseline control; ii) during ship journey; iii) at Antarctica, in the months of March, May, August and November; to enable study of temporal evolution of monitored physiological states. 29 metabolites in serum were identified from the 400 MHz H-1-NMR spectra. Out of these, 19 metabolites showed significant variations in levels, during the ship journey and the stay at Maitri, compared to the base-line levels. Further biochemical analysis also supported these results, indicating that the ship journey, and the long-term Antarctic exposure, affected kidney and liver functioning. Our metabolite data highlights for the first time the effect of environmental stress on the patho-physiology of the human system. Multivariate analysis tools were employed for this metabonomics study, using H-1-NMR spectroscopy. (C) 2014 Elsevier Inc. All rights reserved.</t>
  </si>
  <si>
    <t>[Yadav, Anand Prakash; Mishra, Kamla Prasad; Ganju, Lilly; Singh, Shashi Bala] Def Inst Physiol &amp; Allied Sci, Immunomodulat Lab, Delhi 110054, India; [Chaturvedi, Shubhra; Pal, Sunil] Inst Nucl Med &amp; Allied Sci, Cyclotron &amp; Radiopharmaceut Sci Div, Delhi 110054, India</t>
  </si>
  <si>
    <t>Defence Research &amp; Development Organisation (DRDO); Defence Institute of Physiology &amp; Allied Sciences (DIPAS); Defence Research &amp; Development Organisation (DRDO); Institute of Nuclear Medicine &amp; Allied Sciences (INMAS)</t>
  </si>
  <si>
    <t>Ganju, L (corresponding author), Def Inst Physiol &amp; Allied Sci, Immunomodulat Lab, Lucknow Rd, Delhi 110054, India.</t>
  </si>
  <si>
    <t>lilly.ganju65@gmail.com</t>
  </si>
  <si>
    <t>Singh, Shashi Bala/AAS-9889-2021; Chaturvedi, Shubhra/AAS-9170-2020</t>
  </si>
  <si>
    <t>Chaturvedi, Shubhra/0000-0003-0285-2111; Mishra, KP/0000-0002-8371-3772</t>
  </si>
  <si>
    <t>0031-9384</t>
  </si>
  <si>
    <t>PHYSIOL BEHAV</t>
  </si>
  <si>
    <t>Physiol. Behav.</t>
  </si>
  <si>
    <t>10.1016/j.physbeh.2014.05.045</t>
  </si>
  <si>
    <t>Psychology, Biological; Behavioral Sciences</t>
  </si>
  <si>
    <t>Psychology; Behavioral Sciences</t>
  </si>
  <si>
    <t>AO7TZ</t>
  </si>
  <si>
    <t>WOS:000341556800010</t>
  </si>
  <si>
    <t>Uglietti, C; Gabrielli, P; Olesik, JW; Lutton, A; Thompson, LG</t>
  </si>
  <si>
    <t>Uglietti, Chiara; Gabrielli, Paolo; Olesik, John W.; Lutton, Anthony; Thompson, Lonnie G.</t>
  </si>
  <si>
    <t>Large variability of trace element mass fractions determined by ICP-SFMS in ice core samples from worldwide high altitude glaciers</t>
  </si>
  <si>
    <t>APPLIED GEOCHEMISTRY</t>
  </si>
  <si>
    <t>ANTARCTIC SNOW; HEAVY-METALS; CLIMATE VARIABILITY; GREENLAND; RECORDS; PARTICLES; CYCLE; DUST; LEAD</t>
  </si>
  <si>
    <t>We quantified leaching and mass fractions of trace elements in melted acidified ice core samples measured by Inductively Coupled Plasma Sector Field Mass Spectrometry (ICP-SFMS). This assessment was conducted using nine ice core sections retrieved from various high-altitude drilling sites in South America, Africa, Asia and Europe. Twenty trace elements (Ag, Al, As, Bi, Cd, Co, Cr, Cu, Fe, Mn, Mo, Pb, Rb, Sb, Sn, Ti, TI, U, V and Zn) were determined. During a 11/2 month acid leaching period our assessment shows distinct increases in the concentration of various trace elements (10% for Cd; 30% for Pb; 50-80% for As, Cu, Mo, Mn, Ti and U; 80-90% for Bi, Rb, Sb, Sn and Zn; 100-160% for Al, Cr, Co, Ti and V; 200% for Fe). The exception is Ag, which shows a 50% decrease. We found that the observed relative increases in trace element concentrations are: (i) independent of the absolute trace element concentrations and micro-particle levels/size of the samples, and (ii) unlikely to affect reconstructions of the crustal/non-crustal origin of trace elements based on the use of the crustal enrichment factor. After 11/2 months of leaching, the measured trace element concentrations were found to be only a fraction of the estimated total concentration and that the mass fractions determined vary largely from element to element (on average 80-90% for As and Mn; 50-70% for U, Fe, Ti and Ti; 20-50% for Al, Cd, Co, Cr, Cu, Mo, Pb, Rb, V and Zn; 15% for Bi and 2% for Ag). These observations imply: (i) a significant underestimation of the mass fluxes of these trace elements to high altitude glaciers and (ii) a likely dependency of the mass fractions on the typical crystallographic position of each trace element within the micro-particles contained in the ice core samples. Published by Elsevier Ltd.</t>
  </si>
  <si>
    <t>[Uglietti, Chiara; Gabrielli, Paolo; Thompson, Lonnie G.] Ohio State Univ, Byrd Polar Res Ctr, Columbus, OH 43210 USA; [Gabrielli, Paolo; Olesik, John W.; Lutton, Anthony; Thompson, Lonnie G.] Ohio State Univ, Sch Earth Sci, Columbus, OH 43210 USA</t>
  </si>
  <si>
    <t>University System of Ohio; Ohio State University; University System of Ohio; Ohio State University</t>
  </si>
  <si>
    <t>Gabrielli, P (corresponding author), Ohio State Univ, Byrd Polar Res Ctr, 108 Scott Hall,1090 Carmack Rd, Columbus, OH 43210 USA.</t>
  </si>
  <si>
    <t>gabrielli.1@osu.edu</t>
  </si>
  <si>
    <t>uglietti, chiara/0000-0002-9390-5946</t>
  </si>
  <si>
    <t>Ohio State University; NSF-GSS [1060115]; NSF-ACP [1149239]; Div Atmospheric &amp; Geospace Sciences; Directorate For Geosciences [1149239] Funding Source: National Science Foundation; Division Of Behavioral and Cognitive Sci; Direct For Social, Behav &amp; Economic Scie [1060115] Funding Source: National Science Foundation</t>
  </si>
  <si>
    <t>Ohio State University(Ohio State University); NSF-GSS(National Science Foundation (NSF)NSF - Directorate for Social, Behavioral &amp; Economic Sciences (SBE)); NSF-ACP; Div Atmospheric &amp; Geospace Sciences; Directorate For Geosciences(National Science Foundation (NSF)NSF - Directorate for Geosciences (GEO)); Division Of Behavioral and Cognitive Sci; Direct For Social, Behav &amp; Economic Scie(National Science Foundation (NSF)NSF - Directorate for Social, Behavioral &amp; Economic Sciences (SBE))</t>
  </si>
  <si>
    <t>This work was supported by The Ohio State University as part of the Byrd Polar Research Fellowship 2011-2013 and by the awards NSF-GSS # 1060115 and NSF-ACP #1149239. This is Byrd Polar Research Center contribution no. 1450. We are very grateful to Mary Davis for valuable lab assistance and for reviewing early drafts of this manuscript. Finally we are indebted to many colleagues who participated over the years in the retrieval of ice cores from high altitude-drilling sites at mid and tropical latitudes.</t>
  </si>
  <si>
    <t>0883-2927</t>
  </si>
  <si>
    <t>APPL GEOCHEM</t>
  </si>
  <si>
    <t>Appl. Geochem.</t>
  </si>
  <si>
    <t>10.1016/j.apgeochem.2014.05.019</t>
  </si>
  <si>
    <t>AO4VT</t>
  </si>
  <si>
    <t>WOS:000341340200011</t>
  </si>
  <si>
    <t>Austrheim, G; Speed, JDM; Martinsen, V; Mulder, J; Mysterud, A</t>
  </si>
  <si>
    <t>Austrheim, Gunnar; Speed, James D. M.; Martinsen, Vegard; Mulder, Jan; Mysterud, Atle</t>
  </si>
  <si>
    <t>Experimental effects of herbivore density on aboveground plant biomass in an alpine grassland ecosystem</t>
  </si>
  <si>
    <t>ARCTIC ANTARCTIC AND ALPINE RESEARCH</t>
  </si>
  <si>
    <t>GRAZING OPTIMIZATION; SHEEP; PRODUCTIVITY; COMMUNITIES; VEGETATION; NITROGEN; SOILS; COMPETITION; REINDEER; TRAITS</t>
  </si>
  <si>
    <t>Herbivores may increase or decrease aboveground plant productivity depending on factors such as herbivore density and habitat productivity. The grazing optimization hypothesis predicts a peak in plant production at intermediate herbivore densities, but has rarely been tested experimentally in an alpine field setting. In an experimental design with three densities of sheep (high, low, and no sheep), we harvested aboveground plant biomass in alpine grasslands prior to treatment and after five years of grazing. Biomass of vascular plants decreased at high sheep density, and marginally increased at low sheep density. The ungrazed treatment was found to be intermediate. Companion studies conducted at the same site suggest, (1) that changes in soil N-mineralization and plant community patterns are contributing to the herbivore-induced effects on plant productivity in alpine grasslands, (2) that herbivore-driven changes in plant productivity feed into the future performance for the herbivore as the marginal increase in productivity at low density corresponds with a temporal increase in lamb growth. Our study provides experimental evidence for a nonlinear effect of increased grazing on plant productivity as predicted by the grazing optimization hypothesis. This has important repercussions for ecosystem function and management, as it demonstrates how herbivore density can either increase or decrease ecosystem productivity over time.</t>
  </si>
  <si>
    <t>[Austrheim, Gunnar; Speed, James D. M.] Norwegian Univ Sci &amp; Technol, Museum Nat Hist &amp; Archeol, Sect Nat Hist, NO-7491 Trondheim, Norway; [Martinsen, Vegard; Mulder, Jan] Norwegian Univ Life Sci, NMBU, Dept Environm Sci, NO-1432 As, Norway; [Mysterud, Atle] Univ Oslo, CEES, Dept Biosci, NO-0316 Oslo, Norway</t>
  </si>
  <si>
    <t>Norwegian University of Science &amp; Technology (NTNU); Norwegian University of Life Sciences; University of Oslo</t>
  </si>
  <si>
    <t>Austrheim, G (corresponding author), Norwegian Univ Sci &amp; Technol, Museum Nat Hist &amp; Archeol, Sect Nat Hist, NO-7491 Trondheim, Norway.</t>
  </si>
  <si>
    <t>gunnar.austrheim@vm.ntnu.no</t>
  </si>
  <si>
    <t>Mysterud, Atle/AAQ-2864-2020; austrheim, gunnar/KHC-8698-2024; Mysterud, Atle/AFL-1958-2022; Martinsen, Vegard/H-9406-2014; Speed, James D. M./C-1099-2009</t>
  </si>
  <si>
    <t>Mysterud, Atle/0000-0001-8993-7382; Martinsen, Vegard/0000-0002-7096-1806; Speed, James D. M./0000-0002-0633-5595</t>
  </si>
  <si>
    <t>Research Council of Norway [183268/S30]</t>
  </si>
  <si>
    <t>This experiment was founded by the Research Council of Norway (Project 183268/S30) and the Norwegian Environmental Agency. Two anonymous reviewers provided valuable comments to an earlier version of this paper.</t>
  </si>
  <si>
    <t>INST ARCTIC ALPINE RES</t>
  </si>
  <si>
    <t>UNIV COLORADO, BOULDER, CO 80309 USA</t>
  </si>
  <si>
    <t>1523-0430</t>
  </si>
  <si>
    <t>1938-4246</t>
  </si>
  <si>
    <t>ARCT ANTARCT ALP RES</t>
  </si>
  <si>
    <t>Arct. Antarct. Alp. Res.</t>
  </si>
  <si>
    <t>10.1657/1938-4246-46.3.535</t>
  </si>
  <si>
    <t>Environmental Sciences; Geography, Physical</t>
  </si>
  <si>
    <t>AO4BY</t>
  </si>
  <si>
    <t>WOS:000341282400001</t>
  </si>
  <si>
    <t>McGraw, JB; Turner, JB; Chandler, JL; Vavrek, MC</t>
  </si>
  <si>
    <t>McGraw, James B.; Turner, Jessica B.; Chandler, Jennifer L.; Vavrek, Milan C.</t>
  </si>
  <si>
    <t>Disturbances as hot spots of ecotypic variation: a case study with Dryas octopetala</t>
  </si>
  <si>
    <t>EXPERIMENTAL ECOLOGY; CLIMATE-CHANGE; ANTHROPOGENIC DISTURBANCE; ADAPTIVE RESPONSES; LOCAL ADAPTATION; PLANT MIGRATION; TUNDRA; DIFFERENTIATION; AVAILABILITY; IMPACTS</t>
  </si>
  <si>
    <t>Ecotypic specialization among populations within plant species can result in adaptational lag when the climate changes directionally. However, disturbances, whether caused by direct effects of human activities or indirect effects such as climate change, may represent zones within which natural selection is relaxed. We compared the genetically based variation in leaf morphology in Dryas octopetala within three natural populations arrayed along a snowbank gradient, to that found in a recently colonized gravel pad less than 100 m away (1600 total leaf lengths measured; 4 sites x 10 transects/site x 4 plants/transect x 10 leaves/plant). Elevated among-clone leaf length variation within the disturbed site supported the idea that disturbances may represent hotspots of evolutionarily significant genetic variation. In the Arctic, where colonization of disturbances is primarily by native species, adaptive evolution may be more rapid than previously thought due to relaxation of selection and subsequent mixing of previously isolated gene pools in such areas.</t>
  </si>
  <si>
    <t>[McGraw, James B.; Turner, Jessica B.; Chandler, Jennifer L.] W Virginia Univ, Dept Biol, Morgantown, WV 26506 USA; [Vavrek, Milan C.] Glenville State Coll, Dept Land Resources, Glenville, WV 26351 USA</t>
  </si>
  <si>
    <t>West Virginia University</t>
  </si>
  <si>
    <t>McGraw, JB (corresponding author), W Virginia Univ, Dept Biol, POB 6057, Morgantown, WV 26506 USA.</t>
  </si>
  <si>
    <t>jmcgraw56@gmail.com</t>
  </si>
  <si>
    <t>Turner-Skoff, Jessica/0000-0002-1032-0986</t>
  </si>
  <si>
    <t>National Science Foundation [ARC-0908936]; Division Of Environmental Biology; Direct For Biological Sciences [1026843] Funding Source: National Science Foundation</t>
  </si>
  <si>
    <t>National Science Foundation(National Science Foundation (NSF)); Division Of Environmental Biology; Direct For Biological Sciences(National Science Foundation (NSF)NSF - Directorate for Biological Sciences (BIO))</t>
  </si>
  <si>
    <t>The authors thank Ned Fetcher and Cynthia Bennington for discussions and comments on this manuscript. We are grateful for financial support from National Science Foundation grant ARC-0908936 to McGraw.</t>
  </si>
  <si>
    <t>10.1657/1938-4246-46.3.542</t>
  </si>
  <si>
    <t>WOS:000341282400002</t>
  </si>
  <si>
    <t>Bhattacharyya, S; Adhikari, BS; Rawat, GS</t>
  </si>
  <si>
    <t>Bhattacharyya, Sabuj; Adhikari, Bhupendra Singh; Rawat, Gopal Singh</t>
  </si>
  <si>
    <t>Influence of snow, food, and rock cover on Royle's pika abundance in western Himalaya</t>
  </si>
  <si>
    <t>INTERANNUAL CLIMATE VARIATION; OCHOTONA-PRINCEPS; AMERICAN PIKAS; COMMUNITIES; DEMOGRAPHY; PHENOLOGY; DYNAMICS; BEHAVIOR; PLATEAU; DENSITY</t>
  </si>
  <si>
    <t>Knowledge on demographic responses to environmental and microhabitat factors are crucial to understand the ecological consequences of climate change predictions for species that live in isolated mountainous habitat, such as the Royle's pika. We examined the influence of snow attributes, food availability, and rock cover on adult and juvenile pika counts and juvenile emergence date based on spatiotemporal variation in these parameters at 10 permanent plots (0.25 ha squares) along an attitudinal gradient of Kedarnath Wildlife Sanctuary during the predispersal period spanning four years. Pika count and its interannual variability at plots were estimated at 4.06(Mean) +/-- 0.21(SE) and 19.65 +/- 1.71% (CV) over bar respectively. Regression analysis showed that spatiotemporal variation in adult counts was related to the interactive effect of snow-cover period and altitude wherein counts increased with snow-cover period only in lower altitudes (beta = 0.26 +/- 0.08). Juvenile count was related to spring snow-depth (beta = 0.074 +/- 0.037). Litter number was typically one. Our results confirm the influence of snow as thermal insulator (to pika and their food plants) on population dynamics of small mammals. We also highlight that adult and juvenile populations might be governed by different factors, invoking further studies on age-stratified assessment of population responses to climate change.</t>
  </si>
  <si>
    <t>[Bhattacharyya, Sabuj; Adhikari, Bhupendra Singh; Rawat, Gopal Singh] Wildlife Inst India, Dept Habitat Ecol, Dehra Dun, India; [Rawat, Gopal Singh] Int Ctr Integrated Mt Dev, Kathmandu, Nepal</t>
  </si>
  <si>
    <t>Wildlife Institute of India</t>
  </si>
  <si>
    <t>Bhattacharyya, S (corresponding author), Indian Inst Sci, Ctr Ecol Sci, Bangalore 560012, Karnataka, India.</t>
  </si>
  <si>
    <t>bhattacharyyasabuj@gmail.com</t>
  </si>
  <si>
    <t>bhattacharyya, Sabuj/AAC-9799-2020</t>
  </si>
  <si>
    <t>bhattacharyya, Sabuj/0000-0002-4335-0751; Adhikari, Bhupendra Singh/0000-0001-5632-0044</t>
  </si>
  <si>
    <t>Wildlife Institute of India, Dehradun, Uttarakhand; State Forest Department and Council of Scientific and Industrial Research (CSIR)</t>
  </si>
  <si>
    <t>We are thankful to the director and dean, Wildlife Institute of India, Dehradun, Uttarakhand, and the State Forest Department and Council of Scientific and Industrial Research (CSIR) for providing the funds, necessary facilities, and support for the smooth conduct of this project. We thank Gabbar Singh Bisth and Pankaj Bisth, who helped in the field work. We are also grateful to Dr. Sutirtha Dutta for helping with data analysis, Dr. Daniel Scot, Prof. Anthony Chapman, and AuthorAID for language corrections.</t>
  </si>
  <si>
    <t>10.1657/1938-4246-46.3.558</t>
  </si>
  <si>
    <t>WOS:000341282400004</t>
  </si>
  <si>
    <t>Makarov, MI; Onipchenko, VG; Malysheva, TI; van Logtestijn, RSP; Soudzilovskaia, NA; Comelissen, JHC</t>
  </si>
  <si>
    <t>Makarov, M. I.; Onipchenko, V. G.; Malysheva, T. I.; van Logtestijn, R. S. P.; Soudzilovskaia, N. A.; Comelissen, J. H. C.</t>
  </si>
  <si>
    <t>Determinants of 15N natural abundance in leaves of co-occurring plant species and types within an alpine lichen heath in the Northern Caucasus</t>
  </si>
  <si>
    <t>ARBUSCULAR MYCORRHIZAL FUNGI; SUB-ARCTIC PLANTS; NORTHWESTERN CAUCASUS; NITROGEN DYNAMICS; SOIL; TUNDRA; ECTOMYCORRHIZAL; DELTA-N-15; FIXATION; PATTERNS</t>
  </si>
  <si>
    <t>Several factors may have interactive effects on natural N-15 abundance of plant species. Some of these effects could be associated with different plant functional types, including mycorrhizal association type. Due to its high taxonomic and functional diversity, the alpine heath community in the Caucasus is a suitable object for studying N-15 natural abundance of plants in relation to different functional/mycorrhizal groups, contrasting with the limited numbers of plant groups or species considered in previous studies of individual communities. The N concentration and delta N-15 were determined in leaves of 25 plant species from 8 functional/mycorrhizal groups from an alpine lichen heath in the Teberda Reserve, Northern Caucasus, Russia. Functional groups were represented by ericoid mycorrhizal species (ERI), ectomycorrhizal species (ECT), arbuscular mycorrhizal forbs (AM-FORB), arbuscular mycorrhizal grasses (AM- GRA), arbuscular mycorrhizal nodulated legumes (FAB-N), non-mycorrhizal graminoids (sedges and rushes) (NOM-GRA), non-mycorrhizal hemiparasites (NOM-SP), and orchids (ORC). We can summarize our results in two rankings for leaf N concentration (FAB-N &gt; ORC &gt; AM-FORB, ECT &gt; NOM-SP, ERI &gt;= NOM-GRA, AM-GRA) and leaf delta N-15 signature (ORC &gt; NOM-GRA, FAB-N &gt; ECT &gt;= ERI &gt;= AM-FORB, NOM-SP, AM-GRA) of alpine heath species. We conclude that, within the alpine lichen heath in the Northern Caucasus, the delta N-15 signature of plant foliage is a relevant indicator of plant functional groups with relatively high N-15 content (ORC, FAB-N, NOM-GRA), while the absence of a significant difference between relatively N-15-depleted groups (AM, ERI, and ECT species) isn't clear and may result from both processes, as the increased N isotope fractionation by arbuscular mycorrhizal fungi as the decreased role of ecto- and ericoid mycorrhizal fungi in the flux of N.</t>
  </si>
  <si>
    <t>[Makarov, M. I.; Malysheva, T. I.] Moscow MV Lomonosov State Univ, Fac Soil Sci, Moscow 119991, Russia; [Onipchenko, V. G.] Moscow MV Lomonosov State Univ, Fac Biol, Moscow 119991, Russia; [van Logtestijn, R. S. P.; Soudzilovskaia, N. A.; Comelissen, J. H. C.] Vrije Univ Amsterdam, Fac Earth &amp; Life Sci, Inst Ecol Sci, Dept Syst Ecol, NL-1081 HV Amsterdam, Netherlands</t>
  </si>
  <si>
    <t>Lomonosov Moscow State University; Lomonosov Moscow State University; Vrije Universiteit Amsterdam</t>
  </si>
  <si>
    <t>Makarov, MI (corresponding author), Moscow MV Lomonosov State Univ, Fac Soil Sci, Leninskie Gory 1-12, Moscow 119991, Russia.</t>
  </si>
  <si>
    <t>mikhail_makarov@mail.ru</t>
  </si>
  <si>
    <t>Onipchenko, Vladimir G./V-4244-2018; Makarov, Mikhail I/A-7945-2014; van Logtestijn, Richardus SP/B-9680-2009; Soudzilovskaia, Nadejda A./N-4140-2015; Malysheva, Tatiana/ABD-3628-2020</t>
  </si>
  <si>
    <t>Onipchenko, Vladimir/0000-0002-4930-3112; van Logtestijn, Richardus/0000-0001-9063-2180</t>
  </si>
  <si>
    <t>Netherlands Organization for Scientific Research (NWO) [047.011.2004.005, 047.017.010, 047.018.003]; Russian Foundation for Basic Research [10-04-00780, 11-04-01215]</t>
  </si>
  <si>
    <t>Netherlands Organization for Scientific Research (NWO)(Netherlands Organization for Scientific Research (NWO)); Russian Foundation for Basic Research(Russian Foundation for Basic Research (RFBR)Spanish Government)</t>
  </si>
  <si>
    <t>This work was sponsored by the Netherlands Organization for Scientific Research (NWO grants 047.011.2004.005, 047.017.010, and 047.018.003) and the Russian Foundation for Basic Research (10-04-00780 and 11-04-01215).</t>
  </si>
  <si>
    <t>10.1657/1938-4246-46.3.581</t>
  </si>
  <si>
    <t>WOS:000341282400006</t>
  </si>
  <si>
    <t>Seniczak, S; Seniczak, A; Gwiazdowicz, DJ; Coulson, SJ</t>
  </si>
  <si>
    <t>Seniczak, Stanislaw; Seniczak, Anna; Gwiazdowicz, Dariusz J.; Coulson, Stephen J.</t>
  </si>
  <si>
    <t>Community structure of oribatid and gamasid mites (Acari) in moss-grass tundra in Svalbard (Spitsbergen, Norway)</t>
  </si>
  <si>
    <t>PROGLACIAL CHRONOSEQUENCES; LIFE-HISTORY; SOIL MITES; VEGETATION; MICROFLORA</t>
  </si>
  <si>
    <t>The mite fauna of patches of High Arctic moss-grass tundra of Svalbard in Petuniabukta, Billefjord (moss, grasses, Salix polaris, bare soil), and adjacent to Vestpynten, Adventfjord (moss, moss mixed with grasses, Cassiope tetragona, S. polaris), were investigated. Our aim was to describe the mite fauna of this tundra with particular focus on the stage structure that is rarely investigated. We observed that the oribatid mites were distinctly more abundant and richer in species (22) than the gamasid mites (7) and their density and diversity varied between vegetation and location. Species diversity of Oribatida and Gamasida and the Shannon H' index of mite communities were low, and Liochthonius sellnicki or Tectocepheus velatus dominated the Oribatida and Oppiella translamellata and Diapterobates notatus were relatively abundant, while the Gamasida were dominated by Arctoseius multidentatus, with Zercon forsslundi and Z. solenites relatively abundant. The juvenile densities of the Oribatida were usually greater than adults. Eniochthonius minutissimus and Metabelba sp. are new records for Svalbard.</t>
  </si>
  <si>
    <t>[Seniczak, Stanislaw] Kazhnierz Wielki Univ, Dept Zool, PL-85092 Bydgoszcz, Poland; [Seniczak, Anna] Univ Technol &amp; Life Sci, Dept Ecol, PL-85225 Bydgoszcz, Poland; [Gwiazdowicz, Dariusz J.] Univ Life Sci, Dept Forest Protect, PL-60625 Poznan, Poland; [Coulson, Stephen J.] Univ Ctr Svalbard, N-9171 Longyearbyen, Norway</t>
  </si>
  <si>
    <t>Kazimierz Wielki University; Bydgoszcz University of Science &amp; Technology; Poznan University of Life Sciences; University Centre Svalbard (UNIS)</t>
  </si>
  <si>
    <t>Seniczak, S (corresponding author), Kazhnierz Wielki Univ, Dept Zool, Ossolinskich 12, PL-85092 Bydgoszcz, Poland.</t>
  </si>
  <si>
    <t>stseni@ukw.edu.pl</t>
  </si>
  <si>
    <t>Seniczak, Stanislaw/0000-0001-7393-5606; Coulson, Stephen James/0000-0003-0935-959X; Gwiazdowicz, Dariusz/0000-0002-0064-2316</t>
  </si>
  <si>
    <t>10.1657/1938-4246-46.3.591</t>
  </si>
  <si>
    <t>WOS:000341282400007</t>
  </si>
  <si>
    <t>Reinemann, SA; Porinchu, DE; Mark, BG</t>
  </si>
  <si>
    <t>Reinemann, Scott A.; Porinchu, David E.; Mark, Bryan G.</t>
  </si>
  <si>
    <t>Regional climate change evidenced by recent shifts in chironomid community composition in subalpine and alpine lakes in the Great Basin of the United States</t>
  </si>
  <si>
    <t>HIGH-ELEVATION LAKES; SIERRA-NEVADA; ENVIRONMENTAL-CHANGE; NITROGEN DEPOSITION; ANOXIC SEEBERGSEE; AIR-TEMPERATURE; INFERENCE MODEL; MOUNTAIN LAKES; NATIONAL-PARKS; MULTI-PROXY</t>
  </si>
  <si>
    <t>Chironomids (nonbiting midges) are used to develop centennial length temperature reconstructions for six subalpine and alpine lakes in the central Great Basin of the United States. Faunal turnover, assessed by detrended correspondence analysis (DCA), indicate that substantial compositional change in the midge communities has occurred during the past 100 years. Although the changes in composition are site-specific, increases in Dicrotendipes and decreases in Procladius characterize the late 20th century at a majority of the sites. Notable faunal turnover in midge community composition is observed at five of the six sites beginning at approximately A.D. 1970. Application of a chironomid-based mean July air temperature inference model (r(jack)(2) = 0.55, RMSEP = 0.9 degrees C) to the sub-fossil chironomid assemblages provides site-specific quantitative reconstructions of past temperature variability for the 20th and 21st centuries. Midge-inferred temperature estimates indicate that four of the six lakes were characterized by above average air temperatures during the post A.D. 1980 interval and below average temperatures during the early 20th century. The rate of temperature change between A.D. 1920 and A.D. 2010 for these four lakes are: Smith Lake = 0.6 degrees C 100 yr(-1); Birdeye Lake = 0.7 degrees C 100 yr(-1); Cold Lake = 1.2 degrees C 100 yr(-1); Stella Lake = 0.4 degrees C 100 yr(-1). Correspondence between fluctuations in the midge-inferred temperature and instrumental measures of mean July air temperature for Nevada Climate Division #2 is also documented. This study adds to the growing body of evidence that subalpine and alpine lakes in the Intermountain West of the United States have been and are increasingly being affected by anthropogenic climate change in the early 21st century.</t>
  </si>
  <si>
    <t>[Reinemann, Scott A.; Mark, Bryan G.] Ohio State Univ, Dept Geog, Columbus, OH 43210 USA; [Porinchu, David E.] Univ Georgia, Dept Geog, Athens, GA 30602 USA</t>
  </si>
  <si>
    <t>University System of Ohio; Ohio State University; University System of Georgia; University of Georgia</t>
  </si>
  <si>
    <t>Reinemann, SA (corresponding author), Ohio State Univ, Dept Geog, Columbus, OH 43210 USA.</t>
  </si>
  <si>
    <t>reinemann.2@osu.edu</t>
  </si>
  <si>
    <t>Mark, Bryan G./HMD-9537-2023; Porinchu, DF/S-4360-2019; Mark, Bryan/AAD-6137-2022; /AAD-1453-2020; Reinemann, Scott/ABD-1503-2021</t>
  </si>
  <si>
    <t>Mark, Bryan G./0000-0002-4500-7957; /0000-0002-4500-7957; Porinchu, David/0000-0002-0495-3082</t>
  </si>
  <si>
    <t>Western National Park Association (WPNA); Department of Geography at the Ohio State University; National Science Foundation (NSF) [BCS-1130340]</t>
  </si>
  <si>
    <t>Western National Park Association (WPNA); Department of Geography at the Ohio State University(Ohio State University); National Science Foundation (NSF)(National Science Foundation (NSF))</t>
  </si>
  <si>
    <t>We thank Gretchen Baker (staff ecologist, Great Basin National Park), Andrew J. Ferguson (superintendent, Great Basin National Park), and the United States Forest Service (USFS) for providing access to the research sites and facilitating our research. We also thank Paul Soltesz, Jim DeGrand, Christina Zerda, Brian Shell, and Nate Patrick for their unyielding assistance in the field. We acknowledge the Western National Park Association (WPNA), the Department of Geography at the Ohio State University, and a National Science Foundation (NSF) Doctoral Dissertation Improvement Grant to D. F. Porinchu and S. A. Reinemann (BCS-1130340) for funding this research.</t>
  </si>
  <si>
    <t>10.1657/1938-4246-46.3.600</t>
  </si>
  <si>
    <t>WOS:000341282400008</t>
  </si>
  <si>
    <t>Geiger, ST; Daniels, JM; Miller, SN; Nicholas, JW</t>
  </si>
  <si>
    <t>Geiger, Stuart T.; Daniels, J. Michael; Miller, Scott N.; Nicholas, Joseph W.</t>
  </si>
  <si>
    <t>Influence of rock glaciers on stream hydrology in the La Sal Mountains, Utah</t>
  </si>
  <si>
    <t>ACTIVE ROCKGLACIERS; CLIMATE-CHANGE; RATES</t>
  </si>
  <si>
    <t>While valley glaciers have received considerable attention for their contributions to summer runoff during the past decade, the contributions of rock glaciers to summer runoff patterns have largely been ignored, especially in the western United States. This article examines summer runoff from two basins in the La Sal Mountains, Utah: the non rock glaciated Wet Fork and rock glaciated Gold Basin. Runoff events were analyzed for volume of stormflow, stormflow duration, and peak flow duration. Four events were recorded in Wet Fork (n=4), five events were recorded in Gold Basin (n = 5), and six events at a flume immediately adjacent to the Gold Basin rock glacier (n = 6). Wet Fork hydrographs are dominated by baseflow throughout the summer and a small proportion (0.13%-0.31%) of precipitation leaves the basin as stormflow during storms. Gold Basin hydrographs are characterized by early season snowmelt with flood peaks associated with summer storms. Runoff from the gaged rock glacier represents 15%-30% of total basin runoff and is inversely related to precipitation and directly related to rainfall intensity. Removal of rock glacier hydrographs from total basin hydrographs indicates that there is increased surface runoff from alpine drainage basins that contain rock glaciers, suggesting rock glaciers act as impervious surfaces. This short-term study in Utah suggests that alpine drainage basins with rock glaciers could have greater surface runoff and higher flood peaks than drainage basins that lack rock glaciers. While the long-term effects of rock glaciers on summer water resources is still unknown, this investigation demonstrates rock glaciers may profoundly influence hydrographs in alpine drainage basins.</t>
  </si>
  <si>
    <t>[Geiger, Stuart T.] Univ Wyoming, Dept Geog, Laramie, WY 82071 USA; [Daniels, J. Michael] Univ Denver, Dept Geog &amp; Environm, Denver, CO 80208 USA; [Miller, Scott N.] Univ Wyoming, Laramie, WY 82071 USA; [Nicholas, Joseph W.] Univ Mary Washington, Dept Geog, Fredericksburg, VA 22401 USA</t>
  </si>
  <si>
    <t>University of Wyoming; University of Denver; University of Wyoming</t>
  </si>
  <si>
    <t>Geiger, ST (corresponding author), Dewberry, Water Resources Consulting, 990 South Broadway,Suite 400, Denver, CO 80209 USA.</t>
  </si>
  <si>
    <t>sgeiger@dewberry.com</t>
  </si>
  <si>
    <t>Daniels, J. Michael/F-1117-2013</t>
  </si>
  <si>
    <t>Daniels, J. Michael/0000-0002-1673-4231</t>
  </si>
  <si>
    <t>Haub School of Environment and Natural Resources at the University of Wyoming; University of Wyoming Department of Geography; University of Wyoming Water Resources Degree Program; University of Mary Washington</t>
  </si>
  <si>
    <t>This research was supported by a Research and Creative Activities Grant and Plummer Scholarship from the Haub School of Environment and Natural Resources at the University of Wyoming, a General Scholarship from the University of Wyoming Department of Geography, a Willard C. and Elaine N. Rhoads Scholarship from the University of Wyoming Water Resources Degree Program, and an Undergraduate Research Grant from the University of Mary Washington. The authors thank Gerald R. Webster and Jacqueline J. Shinker of the University of Wyoming as well as three anonymous reviewers for their thoughtful comments on earlier versions of the manuscript.</t>
  </si>
  <si>
    <t>10.1657/1938-4246-46.3.645</t>
  </si>
  <si>
    <t>WOS:000341282400011</t>
  </si>
  <si>
    <t>Young, AB; Cairns, DM; Lafon, CW; Moen, J</t>
  </si>
  <si>
    <t>Young, Amanda B.; Cairns, David M.; Lafon, Charles W.; Moen, Jon</t>
  </si>
  <si>
    <t>Geometrid moth outbreaks and their climatic relations in northern Sweden</t>
  </si>
  <si>
    <t>EPIRRITA-AUTUMNATA LEPIDOPTERA; OPEROPHTERA-BRUMATA OUTBREAKS; ATLANTIC OSCILLATION; MOUNTAIN BIRCH; INSECT OUTBREAKS; FORESTS; SYNCHRONY; WAVES; PERFORMANCE; HISTORY</t>
  </si>
  <si>
    <t>The alpine treeline in northern Fennoscandia is composed primarily of mountain birch (Betula pubescens ssp. czerepanovii), a deciduous tree that experiences episodic defoliation due to outbreaks of the autumnal moth (Epirrita autumnata) and winter moth (Operophtera brumata). Here, we use an extensive dendroecological data set to reconstruct historic defoliating outbreaks and relate them to climatic conditions. Our data are from 25 sites in eight valleys in northern Sweden. We used the computer program OUTBREAK to reconstruct moth outbreaks. The reconstructed outbreak record matches the historical record well. There is a significant, but weak relationship between the outbreak severity and temperatures in February, April, July, and August of the outbreak year. Temperatures in the previous May and November were also positively correlated with outbreak severity. For seasonally aggregated temperatures, only autumn temperatures are correlated with outbreak severity. There was no significant correlation between NAO index and outbreak severity. A spatiotemporal semivariogram analysis showed that sites within approximately 100 km of each other show similar patterns in outbreak severity. Our analyses suggest that moths are affected by climatic variations. The influence of climate on outbreaks is weak because background climatic conditions alone cannot induce an outbreak. Outbreaks also depend on nonclimatic factors, such as tree age, and the outbreak status of neighboring areas.</t>
  </si>
  <si>
    <t>[Young, Amanda B.] Penn State Univ, Dept Geog, University Pk, PA 16802 USA; [Cairns, David M.; Lafon, Charles W.] Texas A&amp;M Univ, Dept Geog, TAMU 3147, College Stn, TX 77843 USA; [Moen, Jon] Umea Univ, Dept Ecol &amp; Environm Sci, KBC Huset, S-90187 Umea, Sweden</t>
  </si>
  <si>
    <t>Pennsylvania Commonwealth System of Higher Education (PCSHE); Pennsylvania State University; Pennsylvania State University - University Park; Texas A&amp;M University System; Texas A&amp;M University College Station; Umea University</t>
  </si>
  <si>
    <t>Cairns, DM (corresponding author), Texas A&amp;M Univ, Dept Geog, TAMU 3147, College Stn, TX 77843 USA.</t>
  </si>
  <si>
    <t>cairns@tamu.edu</t>
  </si>
  <si>
    <t>Young, Amanda B/L-5692-2013</t>
  </si>
  <si>
    <t>Young, Amanda/0000-0002-3580-8603</t>
  </si>
  <si>
    <t>National Science Foundation [BCS-0525203, BCS-0924521]</t>
  </si>
  <si>
    <t>This research was supported by the National Science Foundation (BCS-0525203, BCS-0924521). It is a contribution of the International Polar Year core project PPS Arctic (http://ppsarctic.nina.no). We thank L. B. Martin for help in the field and with preparing and analyzing the Scots pine samples.</t>
  </si>
  <si>
    <t>10.1657/1938-4246-46.3.659</t>
  </si>
  <si>
    <t>WOS:000341282400012</t>
  </si>
  <si>
    <t>Sweet, SK; Gough, L; Griffin, KL; Boelman, NT</t>
  </si>
  <si>
    <t>Sweet, Shannan K.; Gough, Laura; Griffin, Kevin L.; Boelman, Natalie T.</t>
  </si>
  <si>
    <t>Tall deciduous shrubs offset dellayed start of growing season through rapid leaf development in the Alaskan arctic tundra</t>
  </si>
  <si>
    <t>SIMULATED CLIMATE-CHANGE; NITROGEN MINERALIZATION; NORTHERN ALASKA; PLANT PHENOLOGY; SNOW-DEPTH; TUSSOCK TUNDRA; USE EFFICIENCY; CO2 FLUX; RESPONSES; VEGETATION</t>
  </si>
  <si>
    <t>Increasing temperatures in arctic regions are causing earlier spring snowmelt, leading to earlier plant emergence, which could lengthen the period of carbon uptake. Warming is also leading to a shift from graminoid to deciduous shrub-dominated tundra, and in many areas deciduous shrubs are becoming taller. As taller shrubs become increasingly dominant, arctic landscapes may retain more snow, which could lengthen spring snow cover duration and offset advances in the start of the growing season that are expected as a result of earlier spring snowmelt. As a consequence, deeper snow and later snowmelt in taller shrub tundra could delay plant emergence and shorten the period of carbon uptake. This study tracked leaf development of two abundant deciduous shrubs, Betula nana and Salix pulchra, and compared individuals along a natural shrub height gradient on the North Slope of Alaska. We measured spring snow depth and snow cover duration, bud and developing leaf nitrogen content, as well as the timing of budburst and leaf expansion. Taller deciduous shrubs in shrub-dominated communities had deeper snow surrounding them, and became snow-free 1 to 6 days later, delaying budburst by 2 to 12 days relative to shorter deciduous shrubs in graminoid-dominated communities. However, leaf development of tall shrubs caught up to that of short shrubs; occasionally, tall shrubs reached full leaf expansion 1 to 4 days before short shrubs, indicating more rapid leaf development. This convergence in the timing of later leaf development stages is potentially enabled by approximately 16% to 25% greater nitrogen in buds and developing leaves of taller shrubs compared with shorter shrubs. Our findings suggest that delayed snowmelt in areas dominated by taller shrubs may have a short-lived impact on the timing of leaf development, likely resulting in no difference in duration of peak photosynthetic period between tall and short stature shrubs.</t>
  </si>
  <si>
    <t>[Sweet, Shannan K.; Griffin, Kevin L.; Boelman, Natalie T.] Columbia Univ, Dept Earth &amp; Environm Sci, New York, NY 10027 USA; [Griffin, Kevin L.] Columbia Univ, Dept Ecol Evolut &amp; Environm Biol, New York, NY 10027 USA; [Sweet, Shannan K.; Griffin, Kevin L.; Boelman, Natalie T.] Columbia Univ, Lamont Doherty Earth Observ, Palisades, NY 10964 USA; [Gough, Laura] Univ Texas Arlington, Dept Biol, Arlington, TX 76019 USA</t>
  </si>
  <si>
    <t>Columbia University; Columbia University; Columbia University; University of Texas System; University of Texas Arlington</t>
  </si>
  <si>
    <t>Sweet, SK (corresponding author), Columbia Univ, Dept Earth &amp; Environm Sci, 557 Schermerhorn Extens,1200 Amsterdam Ave, New York, NY 10027 USA.</t>
  </si>
  <si>
    <t>ssweet@ldeo.columbia.edu</t>
  </si>
  <si>
    <t>Griffin, Kevin L./B-2629-2013; boelman, natalie t/K-9789-2015; Griffin, Kevin Lee/GWZ-4828-2022</t>
  </si>
  <si>
    <t>Griffin, Kevin L./0000-0003-4124-3757; Boelman, Natalie/0000-0003-3716-2372</t>
  </si>
  <si>
    <t>Institute of Arctic Biology; Toolik Field Station (University of Alaska, Fairbanks); Arctic Long-Term Ecological Research project (National Science Foundation [NSF]) [DEB 1026843]; NSF grant from the Office of Polar Programs [ARC 0908444, ARC 0908602]; James D. Hays Graduate Student Research Award from the Department of Earth and Environmental Science, Columbia University; Arctic Long-Term Ecological Research project (Marine Biological Laboratory); Direct For Biological Sciences; Division Of Environmental Biology [1026843] Funding Source: National Science Foundation; Division Of Polar Programs; Directorate For Geosciences [0908444] Funding Source: National Science Foundation</t>
  </si>
  <si>
    <t>Institute of Arctic Biology; Toolik Field Station (University of Alaska, Fairbanks); Arctic Long-Term Ecological Research project (National Science Foundation [NSF])(National Science Foundation (NSF)); NSF grant from the Office of Polar Programs(National Science Foundation (NSF)NSF - Directorate for Geosciences (GEO)); James D. Hays Graduate Student Research Award from the Department of Earth and Environmental Science, Columbia University; Arctic Long-Term Ecological Research project (Marine Biological Laboratory); Direct For Biological Sciences; Division Of Environmental Biology(National Science Foundation (NSF)NSF - Directorate for Biological Sciences (BIO)); Division Of Polar Programs; Directorate For Geosciences(National Science Foundation (NSF)NSF - Directorate for Geosciences (GEO))</t>
  </si>
  <si>
    <t>We would like to thank Jennie McLaren and Adam Formica for field assistance and data collection. We thank all of Team Bird 2011 and 2012 for their support during the field season and beyond, and Jose Luciani for his photo contributions. We thank the Institute of Arctic Biology and Toolik Field Station (University of Alaska, Fairbanks) for support and logistics, as well as the Arctic Long-Term Ecological Research project (National Science Foundation [NSF] Grant DEB 1026843 to G. R. Shaver, Marine Biological Laboratory). This project has been funded by a collaborative NSF grant from the Office of Polar Programs (ARC 0908444 to N. T. Boelman and ARC 0908602 to L. Gough) and the James D. Hays Graduate Student Research Award from the Department of Earth and Environmental Science, Columbia University.</t>
  </si>
  <si>
    <t>10.1657/1938-4246-46.3.682</t>
  </si>
  <si>
    <t>WOS:000341282400014</t>
  </si>
  <si>
    <t>Trueblood, LA; Seibel, BA</t>
  </si>
  <si>
    <t>Trueblood, Lloyd A.; Seibel, Brad A.</t>
  </si>
  <si>
    <t>Slow swimming, fast strikes: effects of feeding behavior on scaling of anaerobic metabolism in epipelagic squid</t>
  </si>
  <si>
    <t>Tentacles; Glycolitic scaling; Metabolic capacity</t>
  </si>
  <si>
    <t>GULF-OF-CALIFORNIA; DEEP-SEA ANIMALS; DOSIDICUS-GIGAS; ESCAPE RESPONSE; JUMBO SQUID; STIMULUS DIRECTION; ANTARCTIC PTEROPOD; AEROBIC CAPACITY; CEPHALOPODS; PREY</t>
  </si>
  <si>
    <t>Many pelagic fishes engage prey at high speeds supported by high metabolic rates and anaerobic metabolic capacity. Epipelagic squids are reported to have among the highest metabolic rates in the oceans as a result of demanding foraging strategies and the use of jet propulsion, which is inherently inefficient. This study examined enzymatic proxies of anaerobic metabolism in two species of pelagic squid, Dosidicus gigas and Doryteuthis pealeii (Lesueur 1821), over a size range of six orders of magnitude. We hypothesized that activity of the anaerobically poised enzymes would be high and increase with size as in ecologically similar fishes. In contrast, we demonstrate that anaerobic metabolic capacity in these organisms scales negatively with body mass. We explored several cephalopod-specific traits, such as the use of tentacles to capture prey, body morphology and reduced relative prey size of adult squids, that may create a diminished reliance on anaerobically fueled burst activity during prey capture in large animals.</t>
  </si>
  <si>
    <t>[Trueblood, Lloyd A.] La Sierra Univ, Dept Biol Sci, Riverside, CA 92505 USA; [Trueblood, Lloyd A.; Seibel, Brad A.] Univ Rhode Isl, Dept Biol Sci, Kingston, RI 02881 USA</t>
  </si>
  <si>
    <t>University of Rhode Island</t>
  </si>
  <si>
    <t>Trueblood, LA (corresponding author), La Sierra Univ, Dept Biol Sci, Riverside, CA 92505 USA.</t>
  </si>
  <si>
    <t>Lloyd.Trueblood@LaSierra.edu</t>
  </si>
  <si>
    <t>Seibel, Brad/0000-0002-5391-0492</t>
  </si>
  <si>
    <t>National Science Foundation [0851043, 0526493]; Directorate For Geosciences; Division Of Ocean Sciences [0851043] Funding Source: National Science Foundation; Directorate For Geosciences; Division Of Ocean Sciences [0526493] Funding Source: National Science Foundation</t>
  </si>
  <si>
    <t>National Science Foundation(National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</si>
  <si>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This work was supported by the National Science Foundation [0851043, 0526493 to B.S.].</t>
  </si>
  <si>
    <t>COMPANY OF BIOLOGISTS LTD</t>
  </si>
  <si>
    <t>BIDDER BUILDING CAMBRIDGE COMMERCIAL PARK COWLEY RD, CAMBRIDGE CB4 4DL, CAMBS, ENGLAND</t>
  </si>
  <si>
    <t>10.1242/jeb.106872</t>
  </si>
  <si>
    <t>AO2XA</t>
  </si>
  <si>
    <t>WOS:000341189200020</t>
  </si>
  <si>
    <t>Santora, JA</t>
  </si>
  <si>
    <t>Santora, Jarrod A.</t>
  </si>
  <si>
    <t>Environmental determinants of top predator distribution within the dynamic winter pack ice zone of the northern Antarctic Peninsula</t>
  </si>
  <si>
    <t>Antarctic Peninsula; Fur seals; Pack ice; Polynya; Seabirds; Winter; Spatial regression</t>
  </si>
  <si>
    <t>SEA-ICE; SOUTHERN-OCEAN; CLIMATE-CHANGE; FUR SEALS; CIRCUMPOLAR CURRENT; AUSTRAL WINTER; MARGUERITE BAY; KRILL; EXTENT; EDGE</t>
  </si>
  <si>
    <t>Global warming is predicted to reduce the amount of sea ice concentration in polar environments, thus presenting profound changes for populations of seabirds and marine mammals dependent on sea ice. Using data from a shipboard survey during August 2012, I test the hypothesis that relative abundance of seabird and marine mammals reflects environmental variability associated with the dynamic pack ice zone. Using environmental data and observations of sea ice concentration, I quantified an environmental gradient that describes the spatial organization of the dynamic pack ice zone. The relationship of top predators to this environmental gradient revealed three important aspects: (1) an open water and pack ice community is present with some top predator species exhibiting higher abundance associated with moderate sea ice concentration (40-60 %) as opposed to the pack ice edge (10 %), (2) Antarctic fur seals (Arctocephalus gazella) were the most abundant pinniped and they were observed resting on ice floes and foraging within leads and polynyas, and (3) for the most abundant species, spatial regression models indicate that latitude and sea ice concentration (a principal north/south gradient) are the most important environmental determinants. Winter ocean conditions may strongly influence population dynamics of top predators; therefore, information regarding their habitat use during winter is needed for understanding ecosystem dynamics.</t>
  </si>
  <si>
    <t>Univ Calif Santa Cruz, Ctr Stock Assessment Res, Santa Cruz, CA 95060 USA</t>
  </si>
  <si>
    <t>University of California System; University of California Santa Cruz</t>
  </si>
  <si>
    <t>Santora, JA (corresponding author), Univ Calif Santa Cruz, Ctr Stock Assessment Res, 110 Shaffer Rd, Santa Cruz, CA 95060 USA.</t>
  </si>
  <si>
    <t>jsantora@ucsc.edu</t>
  </si>
  <si>
    <t>10.1007/s00300-014-1502-1</t>
  </si>
  <si>
    <t>AO5IO</t>
  </si>
  <si>
    <t>WOS:000341378000003</t>
  </si>
  <si>
    <t>Barrera-Oro, E; La Mesa, M; Moreira, E</t>
  </si>
  <si>
    <t>Barrera-Oro, Esteban; La Mesa, Mario; Moreira, Eugenia</t>
  </si>
  <si>
    <t>Early life history timings in marbled rockcod (Notothenia rossii) fingerlings from the South Shetland Islands as revealed by otolith microincrement</t>
  </si>
  <si>
    <t>Daily rings; Notothenioidei; Juvenile stages; Hatching; Spawning time</t>
  </si>
  <si>
    <t>POTTER COVE; GOBIONOTOTHEN-GIBBERIFRONS; AGE; FISH; CORIICEPS; REPRODUCTION; VALIDATION; PRECISION; BIOLOGY; ICEFISH</t>
  </si>
  <si>
    <t>Although it has been reported that Notothenia rossii elsewhere hatches in spring, our daily increment back-counting from the capture date in otoliths of fingerlings caught in Potter Cove, South Shetland Islands, in the 2000s, showed two main periods of larval hatching, one in summer (February-March) and another in winter (July). In concordance, the simultaneous presence of two cohorts born the same year was identified in the age/length frequency distribution of fish sampled in spring 2010, which belonged to biological ages 0+ and 1+ and hatched, respectively, in summer and winter-spring. Maximum and minimum ages of pelagic blue-phase and demersal brown-phase fingerlings were, respectively, 227 and 240 days, indicating a demersal settlement after about 8 months from hatching. The estimated growth rate was 0.23-0.33 mm/day, equivalent to that of South Georgia fingerlings and higher than those of other nototheniids of similar size range. Based on early life events associated with the hatching periods, two types of life cycles are hypothesised for South Shetland fingerlings. The pelagic blue-phase fingerlings (6.5-7.6 cm TL, age group 0+) hatched in July (winter cohort), entering in Potter Cove in February-March. The brown-phase fingerlings (6.3-10.6 cm, mostly of age group 0+) hatched in February-March (summer cohort) and were collected in the cove in spring (the smaller specimens) or in summer (the larger ones). Finally, early juveniles (10.7-15.5 cm, age group 1+) hatched in winter, mainly in July (winter cohort), entering in the cove the following year to spend the second winter inshore.</t>
  </si>
  <si>
    <t>[Barrera-Oro, Esteban; Moreira, Eugenia] Inst Antartico Argentino, RA-1010 Buenos Aires, DF, Argentina; [Barrera-Oro, Esteban; Moreira, Eugenia] Consejo Nacl Invest Cient &amp; Tecn, RA-1010 Buenos Aires, DF, Argentina; [La Mesa, Mario] Ist Sci Marine, ISMAR CNR, I-60125 Ancona, Italy</t>
  </si>
  <si>
    <t>Instituto Antartico Argentino; Consejo Nacional de Investigaciones Cientificas y Tecnicas (CONICET); Consiglio Nazionale delle Ricerche (CNR); Istituto di Scienze Marine (ISMAR-CNR)</t>
  </si>
  <si>
    <t>Barrera-Oro, E (corresponding author), Inst Antartico Argentino, Cerrito 1248, RA-1010 Buenos Aires, DF, Argentina.</t>
  </si>
  <si>
    <t>ebarreraoro@dna.gov.ar</t>
  </si>
  <si>
    <t>CNR, Ismar/P-1247-2014</t>
  </si>
  <si>
    <t>CNR, Ismar/0000-0001-5351-1486; MOREIRA, EUGENIA/0000-0002-3704-1696</t>
  </si>
  <si>
    <t>PNRA (Italian National Antarctic Research Program)</t>
  </si>
  <si>
    <t>We thank C. Bellisio and L. Vila for their cooperation in the fishing tasks and technical support. This study was partially supported by the PNRA (Italian National Antarctic Research Program). We are grateful to three anonymous referees, whose critical comments improved the quality of this paper.</t>
  </si>
  <si>
    <t>10.1007/s00300-014-1503-0</t>
  </si>
  <si>
    <t>WOS:000341378000004</t>
  </si>
  <si>
    <t>Vollú, RE; Jurelevicius, D; Ramos, LR; Peixoto, RS; Rosado, AS; Seldin, L</t>
  </si>
  <si>
    <t>Vollu, Renata E.; Jurelevicius, Diogo; Ramos, Larissa R.; Peixoto, Raquel S.; Rosado, Alexandre S.; Seldin, Lucy</t>
  </si>
  <si>
    <t>Aerobic endospore-forming bacteria isolated from Antarctic soils as producers of bioactive compounds of industrial interest</t>
  </si>
  <si>
    <t>Antarctic soils; Aerobic endospore-forming bacteria; Extracellular enzymes; Biosurfactants; Antimicrobial substances</t>
  </si>
  <si>
    <t>NORTHERN VICTORIA LAND; ROSS SEA REGION; MICROBIAL DIVERSITY; SP-NOV.; BACILLUS; ISLAND; CLASSIFICATION; ENZYMES</t>
  </si>
  <si>
    <t>Spore-forming bacteria are known to produce various enzymes and bioproducts valuable to different industries and to bear the harsh conditions found in the Antarctic environment. However, aerobic or facultative spore-forming bacterial communities found in maritime Antarctic soils yet remain poorly studied. In this study, 80 spore-forming and cold-adapted bacterial strains were isolated from nine different soil samples of King George Island, in maritime Antarctica, and further clustered into amplified ribosomal DNA restriction analysis groups within each soil. Representative strains were then identified as belonging to Bacillus, Rummeliibacillus, Paenibacillus and Sporosarcina by 16S rRNA gene sequencing. The ability to produce extracellular enzymes, antimicrobial substances and biosurfactants was determined in all isolates. The enzymatic activities most frequently found among the isolates were as follows: esterase (45 %), caseinase (30 %), amylase (16.2 %) and gelatinase (15 %). Biosurfactant production was detected in 25 % of the isolates. The growth inhibition of methicillin-resistant Staphylococcus aureus was observed in 13.7 % of the strains tested, but only two strains inhibited the growth of Candida albicans. The isolated spore-forming bacterial species were also compared with the characteristics of the different Antarctic soils sampled based on their physicochemical properties, showing that pH, C and P were the main factors correlated with the distribution of this group of bacteria in the Antarctic soils studied. These Antarctic endospore-forming bacterial strains may have a potential for industrial processes occurring at low temperatures.</t>
  </si>
  <si>
    <t>[Vollu, Renata E.; Jurelevicius, Diogo; Ramos, Larissa R.; Seldin, Lucy] Univ Fed Rio de Janeiro, Lab Genet Microbiana, Dept Microbiol Geral, Inst Microbiol Paulo Goes,Ctr Ciencias Saude,Ilha, BR-21941590 Rio De Janeiro, RJ, Brazil; [Peixoto, Raquel S.; Rosado, Alexandre S.] Univ Fed Rio de Janeiro, Lab Ecol Mol Microbiana, Inst Microbiol Paulo Goes, BR-21941590 Rio De Janeiro, RJ, Brazil</t>
  </si>
  <si>
    <t>Universidade Federal do Rio de Janeiro; Universidade Federal do Rio de Janeiro</t>
  </si>
  <si>
    <t>Seldin, L (corresponding author), Univ Fed Rio de Janeiro, Lab Genet Microbiana, Dept Microbiol Geral, Inst Microbiol Paulo Goes,Ctr Ciencias Saude,Ilha, Bloco 1, BR-21941590 Rio De Janeiro, RJ, Brazil.</t>
  </si>
  <si>
    <t>lseldin@micro.ufrj.br</t>
  </si>
  <si>
    <t>Seldin, Lucy/S-2530-2019; Peixoto, Raquel/V-2554-2019; Jurelevicius, Diogo A/I-8235-2014; Rosado, Alexandre Soares/G-1955-2012</t>
  </si>
  <si>
    <t>Seldin, Lucy/0000-0002-4992-6395; Rosado, Alexandre Soares/0000-0001-5135-1394; Peixoto, Raquel/0000-0002-9536-3132</t>
  </si>
  <si>
    <t>Conselho Nacional de Desenvolvimento Cientifico e Tecnologico (CNPq); Coordenacao de Aperfeicoamento de Pessoal de Nivel Superior (CAPES); Fundacao de Amparo a Pesquisa do Estado do Rio de Janeiro (FAPERJ)</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</si>
  <si>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t>
  </si>
  <si>
    <t>This study was supported by grants from Conselho Nacional de Desenvolvimento Cientifico e Tecnologico (CNPq), Coordenacao de Aperfeicoamento de Pessoal de Nivel Superior (CAPES) and Fundacao de Amparo a Pesquisa do Estado do Rio de Janeiro (FAPERJ). Thanks are due to the Brazilian Antarctic Program, PROANTAR, for the logistic support and to Fatima Regina de Vasconcelos Goulart for her help with the growth inhibition tests against different bacterial and fungal strains.</t>
  </si>
  <si>
    <t>10.1007/s00300-014-1505-y</t>
  </si>
  <si>
    <t>WOS:000341378000006</t>
  </si>
  <si>
    <t>Liu, SH; Wang, J; Cong, BL; Huang, XH; Chen, KS; Zhang, PY</t>
  </si>
  <si>
    <t>Liu, Shenghao; Wang, Jing; Cong, Bailin; Huang, Xiaohang; Chen, Kaoshan; Zhang, Pengying</t>
  </si>
  <si>
    <t>Characterization and expression analysis of a mitochondrial heat-shock protein 70 gene from the Antarctic moss Pohlia nutans</t>
  </si>
  <si>
    <t>Cold adaptation; Pohlia nutans; HSP70; Psychrophile; Abiotic stress</t>
  </si>
  <si>
    <t>MOLECULAR-CLONING; HSP70 CHAPERONES; PROTEIN IMPORT; SHOCK-PROTEIN; STRESS; ACCUMULATION; TOLERANCE; ACCLIMATION; ENVIRONMENT; SYSTEM</t>
  </si>
  <si>
    <t>Under stress conditions, the mitochondrial respiratory chain generates reactive oxygen species that cause oxidative damage to lipids, proteins and nucleic acids. Mitochondrial chaperones are essential for repairing denatured proteins in plants confronted with diverse stresses. However, their functions have not been well characterized in lower plants such as bryophytes. Here, we cloned a heat-shock 70 protein gene (designated PnHSP70) from the Antarctic moss Pohlia nutans and investigated its transcription levels under stress conditions. The PnHSP70 cDNA encoded a polypeptide of 678 amino acids with an ATPase domain, a substrate peptide-binding domain and a C-terminal domain. Sequence alignment and phylogenetic analysis showed that PnHSP70 was homologous to other known mitochondrial HSP70 proteins. In addition, subcellular localization analysis in which the transient expression of PnHSP70-green fluorescent protein was observed in Arabidopsis thaliana mesophyll protoplasts revealed that PnHSP70 was targeted to mitochondria. Real-time PCR analysis showed that low or high temperature, salinity, drought or PEG treatments as well as UV-B radiation could induce up-regulation of PnHSP70 expression levels. The plant hormones abscisic acid and jasmonic acid also up-regulated the expression levels of PnHSP70. Together, our results revealed that PnHSP70, as a mitochondrial chaperone, might play an important role in the adaptation of the Antarctic moss P. nutans to the polar environment.</t>
  </si>
  <si>
    <t>[Liu, Shenghao; Wang, Jing; Chen, Kaoshan; Zhang, Pengying] Shandong Univ, Natl Glycoengn Res Ctr, Coll Life Sci, Jinan 250100, Peoples R China; [Liu, Shenghao; Cong, Bailin; Huang, Xiaohang] State Ocean Adm, Key Lab Marine Bioact Subst, Inst Oceanog 1, Qingdao 266061, Peoples R China</t>
  </si>
  <si>
    <t>Shandong University; First Institute of Oceanography, Ministry of Natural Resources</t>
  </si>
  <si>
    <t>Zhang, PY (corresponding author), Shandong Univ, Natl Glycoengn Res Ctr, Coll Life Sci, 27 Shandanan Rd, Jinan 250100, Peoples R China.</t>
  </si>
  <si>
    <t>zhangpy888@126.com</t>
  </si>
  <si>
    <t>Liu, Shenghao/ISU-3076-2023; jing, wang/KCZ-2144-2024</t>
  </si>
  <si>
    <t>Liu, Shenghao/0000-0002-1449-3526;</t>
  </si>
  <si>
    <t>National Natural Science Foundation of China [41206176, 40906103]; Chinese Polar Environment Comprehensive Investigation and Assessment Programmes [CHINARE2012-01-06]</t>
  </si>
  <si>
    <t>National Natural Science Foundation of China(National Natural Science Foundation of China (NSFC)); Chinese Polar Environment Comprehensive Investigation and Assessment Programmes</t>
  </si>
  <si>
    <t>We thank Mr. Robbie Lewis for assistance in the manuscript editing. This work was financially supported by the National Natural Science Foundation of China (41206176 and 40906103), Chinese Polar Environment Comprehensive Investigation and Assessment Programmes (CHINARE2012-01-06).</t>
  </si>
  <si>
    <t>10.1007/s00300-014-1508-8</t>
  </si>
  <si>
    <t>WOS:000341378000008</t>
  </si>
  <si>
    <t>Tamini, LL; Chavez, LN</t>
  </si>
  <si>
    <t>Luis Tamini, Leandro; Nahuel Chavez, Leandro</t>
  </si>
  <si>
    <t>First record of Buller's Albatross (Thalassarche bulleri) from a fishing vessel in the south-western Atlantic Ocean off Southern Patagonia (Argentina)</t>
  </si>
  <si>
    <t>Buller's Albatross; Thalassarche bulleri; Patagonian Continental Shelf; Hoki fishery</t>
  </si>
  <si>
    <t>SEABIRD MORTALITY; TRAWLERS; SHELF</t>
  </si>
  <si>
    <t>Buller's Albatross, Thalassarche bulleri, is a New Zealand breeding endemic that is frequently observed in the subtropical and sub-Antarctic South Pacific Ocean between Australia and Peru. However, in the South Atlantic Ocean, it is a vagrant, as information on its presence in this region is limited to only a few sightings. Here, we report a new record of T. bulleri in the south-western Atlantic Ocean off Argentina (55A degrees 06'13aEuro(3)S, 66A degrees 06'44aEuro(3)W) while investigating interactions between commercial fisheries and seabirds. This record provides new information about the distribution of this albatross species and its relation with fisheries outside of its regular range.</t>
  </si>
  <si>
    <t>[Luis Tamini, Leandro; Nahuel Chavez, Leandro] Aves Argentinas AOP, Albatross Task Force Argentina, Programa Marino, Buenos Aires, DF, Argentina</t>
  </si>
  <si>
    <t>Tamini, LL (corresponding author), Aves Argentinas AOP, Albatross Task Force Argentina, Programa Marino, Matheu 1246-8,C1219AAL, Buenos Aires, DF, Argentina.</t>
  </si>
  <si>
    <t>tamini@avesargentinas.org.ar</t>
  </si>
  <si>
    <t>Albatross Task Force through Royal Society for the Protection of Birds and BirdLife International; Consejo Federal Pesquero; Fundacion Vida Silvestre Argentina, Instituto de Investigaciones Marinas y Costeras (UNMdP-CONICET); Instituto Nacional de Investigacion y Desarrollo Pesquero</t>
  </si>
  <si>
    <t>We thank Isaac Forster, Graham Parker and Andy Black for their invaluable comments, Oliver Yates for reviewing and criticizing an early draft and Steven Copsey for providing us articles of Sea Swallow. Thanks to Dieter Piepenburg and two anonymous referees for helping improve the final version. The Albatross Task Force is funded through The Royal Society for the Protection of Birds and BirdLife International. This record was possible thanks to a partial funding by the Consejo Federal Pesquero through the project Reducir la mortalidad incidental de albatros y petreles en pesquerias de arrastre en el Mar Argentino, executed in association with Fundacion Vida Silvestre Argentina, Instituto de Investigaciones Marinas y Costeras (UNMdP-CONICET) and Instituto Nacional de Investigacion y Desarrollo Pesquero. Special thanks to the company San Arawa S. A. and the captain and crew of the F/V San Arawa II.</t>
  </si>
  <si>
    <t>10.1007/s00300-014-1506-x</t>
  </si>
  <si>
    <t>WOS:000341378000013</t>
  </si>
  <si>
    <t>Harada, E; Lee, RE; Denlinger, DL; Goto, SG</t>
  </si>
  <si>
    <t>Harada, Eri; Lee, Richard E., Jr.; Denlinger, David L.; Goto, Shin G.</t>
  </si>
  <si>
    <t>Life history traits of adults and embryos of the Antarctic midge Belgica antarctica</t>
  </si>
  <si>
    <t>Adult emergence; Longevity; Preoviposition period; Embryogenesis; Belgica antarctica</t>
  </si>
  <si>
    <t>FREEZING TOLERANCE; DIPTERA; CHIRONOMIDAE; LARVAE; MECHANISMS; PHYSIOLOGY; STRESS; FROZEN</t>
  </si>
  <si>
    <t>Although larvae of the Antarctic midge, Belgica antarctica, live for more than 2 years, the adult and embryonic stages are brief and are less well known than the larvae. In this report, we provide additional details of these understudied life stages with laboratory observation on adult emergence, longevity, preoviposition period and embryonic development. Male adults emerged slightly earlier than females, and they also lived longer. More than a half (57 %) of the adults that emerged in the laboratory were males. Females produced only a single egg mass and died within a day after oviposition. Embryonic development required 16 days at 4 A degrees C, and prior to hatching, the pharate larvae perform a distinct sequence of behaviors that include drinking and peristaltic movement. We also discuss points that need to be resolved for laboratory propagation of this species.</t>
  </si>
  <si>
    <t>[Harada, Eri; Goto, Shin G.] Osaka City Univ, Grad Sch Sci, Sumiyoshi Ku, Osaka 5588585, Japan; [Lee, Richard E., Jr.] Miami Univ, Dept Biol, Oxford, OH 45056 USA; [Denlinger, David L.] Ohio State Univ, Dept Entomol, Columbus, OH 43210 USA; [Denlinger, David L.] Ohio State Univ, Dept Ecol Evolut &amp; Organismal Biol, Columbus, OH 43210 USA</t>
  </si>
  <si>
    <t>Osaka Metropolitan University; University System of Ohio; Miami University; University System of Ohio; Ohio State University; University System of Ohio; Ohio State University</t>
  </si>
  <si>
    <t>Goto, SG (corresponding author), Osaka City Univ, Grad Sch Sci, Sumiyoshi Ku, 3-3-138 Sugimoto, Osaka 5588585, Japan.</t>
  </si>
  <si>
    <t>leere@miamioh.edu; denlinger.1@osu.edu; shingoto@sci.osaka-cu.ac.jp</t>
  </si>
  <si>
    <t>Goto, Shin G/K-2614-2015</t>
  </si>
  <si>
    <t>Goto, Shin G/0000-0002-4431-7531</t>
  </si>
  <si>
    <t>OCU Oversea Science Mission Program from Osaka City University; NSF [ANT-0837559, 0837613]; Directorate For Geosciences; Office of Polar Programs (OPP) [0837613] Funding Source: National Science Foundation</t>
  </si>
  <si>
    <t>OCU Oversea Science Mission Program from Osaka City University; NSF(National Science Foundation (NSF)); Directorate For Geosciences; Office of Polar Programs (OPP)(National Science Foundation (NSF)NSF - Directorate for Geosciences (GEO))</t>
  </si>
  <si>
    <t>This study was supported by OCU Oversea Science Mission Program from Osaka City University to SGG and by NSF Grants ANT-0837559 and 0837613 to REL and DLD.</t>
  </si>
  <si>
    <t>10.1007/s00300-014-1511-0</t>
  </si>
  <si>
    <t>WOS:000341378000014</t>
  </si>
  <si>
    <t>Pijoan, JL; Altadill, D; Torta, JM; Alsina-Pagés, RM; Marsal, S; Badia, D</t>
  </si>
  <si>
    <t>Lluis Pijoan, Joan; Altadill, David; Miquel Torta, Joan; Ma Alsina-Pages, Rosa; Marsal, Santiago; Badia, David</t>
  </si>
  <si>
    <t>Remote Geophysical Observatory in Antarctica with HF Data Transmission: A Review</t>
  </si>
  <si>
    <t>REMOTE SENSING</t>
  </si>
  <si>
    <t>HF; ionosphere; spread spectrum; channel sounding; geomagnetism; observatories; remote sensors; advanced modulations</t>
  </si>
  <si>
    <t>GEOMAGNETIC SECULAR VARIATION; DRAKE PASSAGE; MODEL; FIELD; STORM; RIDGE; LINK</t>
  </si>
  <si>
    <t>The geophysical observatory in the Antarctic Spanish Station, Juan Carlos I (ASJI), on Livingston Island, has been monitoring the magnetic field in the Antarctic region for more than fifteen years. In 2004, a vertical incidence ionospheric sounder completed the observatory, which brings a significant added value in a region with low density of geophysical data. Although the ASJI is only operative during the austral summer, the geomagnetic station records the data throughout the year. A High Frequency (HF) transmission system was installed in 2004 in order to have the geomagnetic data available during the whole year. As the power supply is very limited when the station is not operative, we had to design a low-power HF transceiver with a very simple antenna, due to environmental aspects. Moreover, the flow of information was unidirectional, so the modulation had to be extremely robust since there is no retransmission in case of error. This led us to study the main parameters of the ionospheric channel and to design new modulations specially adapted to very low signal to noise scenarios with high levels of interference. In this paper, a review of the results of our remote geophysical observatory and associated transmission system in Antarctica during the last decade is presented.</t>
  </si>
  <si>
    <t>[Lluis Pijoan, Joan; Ma Alsina-Pages, Rosa; Badia, David] Univ Ramon Llull, GR SETAD La Salle, Barcelona 08022, Spain; [Altadill, David; Miquel Torta, Joan; Marsal, Santiago] Univ Ramon Llull, Observ Ebre, CSIC, Roquetes 43520, Spain</t>
  </si>
  <si>
    <t>Universitat Ramon Llull; Universitat Ramon Llull; Ebre Observatory; Consejo Superior de Investigaciones Cientificas (CSIC)</t>
  </si>
  <si>
    <t>Pijoan, JL (corresponding author), Univ Ramon Llull, GR SETAD La Salle, Quatre Camins 30, Barcelona 08022, Spain.</t>
  </si>
  <si>
    <t>joanp@salleurl.edu; daltadill@obsebre.es; jmtorta@obsebre.es; ralsina@salleurl.edu; smarsal@obsebre.es; david@salleurl.edu</t>
  </si>
  <si>
    <t>Alsina-Pagès, Rosa Ma/M-6099-2017; Torta, Joan Miquel/C-7614-2014; Altadill, David/K-9309-2014; Badia, David/ABF-4258-2021; Pijoan, Joan Lluis/S-3319-2018; Marsal, Santiago/K-4415-2014</t>
  </si>
  <si>
    <t>Alsina-Pagès, Rosa Ma/0000-0003-2261-5471; Torta, Joan Miquel/0000-0002-4340-7308; Altadill, David/0000-0001-7730-385X; Badia, David/0000-0002-4792-8688; Pijoan, Joan Lluis/0000-0002-1796-8216; Marsal, Santiago/0000-0001-8675-7781</t>
  </si>
  <si>
    <t>[CTM2010-21312-C03]; [CTM2009-13843-C02]; [CGL2006-12437-C02]; [REN2003-08376-C02]</t>
  </si>
  <si>
    <t>; ; ;</t>
  </si>
  <si>
    <t>This research has been supported by the Spanish Projects CTM2010-21312-C03, CTM2009-13843-C02, CGL2006-12437-C02 and REN2003-08376-C02. In addition to the authors of this paper, the following people have been part of the research groups of these projects: Ahmed Ads, Luis Felipe Alberca, Emil Marcel Apostolov, Ricard Aquilue, Raul Bardaji, Cesidio Bianchi, Estefania Blanch, Josep Oriol Cardus, Oscar Cid, Juan Jose Curto, Angelo De Santis, Marc Deumal, Luis Ricardo Gaya-Pique, Simo Graells, Ismael Gutierrez, Marcos Hervas, Miguel Ibanez, Joan Mauricio, David Miralles, Pere Quintana, Joan Ramon Regue, Xavier Rosell, Marti Salvador, Albert Miquel Sanchez, Ernest Sanclement, Jose German Sole, Arantza Ugalde, Carles Vilella. John C. Riddick, retired from the Global Seismology and Geomagnetism Group of the British Geological Survey, deserves special mention. The installation and upgrading of the geomagnetic observatory system would have been impossible without him.</t>
  </si>
  <si>
    <t>MDPI AG</t>
  </si>
  <si>
    <t>POSTFACH, CH-4005 BASEL, SWITZERLAND</t>
  </si>
  <si>
    <t>2072-4292</t>
  </si>
  <si>
    <t>REMOTE SENS-BASEL</t>
  </si>
  <si>
    <t>Remote Sens.</t>
  </si>
  <si>
    <t>10.3390/rs6087233</t>
  </si>
  <si>
    <t>Environmental Sciences; Geosciences, Multidisciplinary; Remote Sensing; Imaging Science &amp; Photographic Technology</t>
  </si>
  <si>
    <t>Environmental Sciences &amp; Ecology; Geology; Remote Sensing; Imaging Science &amp; Photographic Technology</t>
  </si>
  <si>
    <t>AO7FV</t>
  </si>
  <si>
    <t>WOS:000341518700020</t>
  </si>
  <si>
    <t>Teive, HAG; Lima, CFLD; de Lima, PMG; Germiniani, FMB; Munhoz, RP</t>
  </si>
  <si>
    <t>Ghizoni Teive, Helio Afonso; Leite de Souza Lima, Carlos Frederico; Garcia de Lima, Plinio Marcos; Branco Germiniani, Francisco Manoel; Munhoz, Renato Puppi</t>
  </si>
  <si>
    <t>Jean-Baptiste Charcot and Brazil</t>
  </si>
  <si>
    <t>ARQUIVOS DE NEURO-PSIQUIATRIA</t>
  </si>
  <si>
    <t>neurology; maritime; explorer; Antarctic; Brazil</t>
  </si>
  <si>
    <t>Jean-Baptiste Charcot, a neurologist from the famous Salpetriere school and a renowned maritime explorer, visited Brazil twice. The first visit was in 1903, when the first French Antarctic expedition, traveling aboard the ship Fran pals, made a very short stopover in Recife, in the state of Pernambuco. The second took place in 1908, during the famous voyage of the Pourquoi Pas? to the Antarctic, when Charcot and his crew stayed in the city of Rio de Janeiro for eight days.</t>
  </si>
  <si>
    <t>[Ghizoni Teive, Helio Afonso; Garcia de Lima, Plinio Marcos; Branco Germiniani, Francisco Manoel] Univ Fed Parana, Hosp Clin, Dept Clin Med, Serv Neurol, BR-80060000 Curitiba, Parana, Brazil; [Leite de Souza Lima, Carlos Frederico] Univ Fed Pernambuco, Hosp Univ Oswaldo Cruz, Serv Neurol, Recife, PE, Brazil; [Munhoz, Renato Puppi] Univ Toronto, Toronto Western Hosp, Movement Disorders Ctr, Toronto, ON M5T 2S8, Canada</t>
  </si>
  <si>
    <t>Universidade Federal do Parana; Universidade Federal de Pernambuco; University of Toronto; University Health Network Toronto</t>
  </si>
  <si>
    <t>Teive, HAG (corresponding author), Rua Gen Carneiro,1103-102 Ctr, BR-80060150 Curitiba, Parana, Brazil.</t>
  </si>
  <si>
    <t>hagteive@mps.com.br</t>
  </si>
  <si>
    <t>Germiniani, Francisco/KBB-1585-2024</t>
  </si>
  <si>
    <t>ASSOC ARQUIVOS NEURO- PSIQUIATRIA</t>
  </si>
  <si>
    <t>SAO PAULO SP</t>
  </si>
  <si>
    <t>PR AMADEU AMARAL 47/33, 01327-010 SAO PAULO SP, BRAZIL</t>
  </si>
  <si>
    <t>0004-282X</t>
  </si>
  <si>
    <t>1678-4227</t>
  </si>
  <si>
    <t>ARQ NEURO-PSIQUIAT</t>
  </si>
  <si>
    <t>Arq. Neuro-Psiquiatr.</t>
  </si>
  <si>
    <t>10.1590/0004-282X20140086</t>
  </si>
  <si>
    <t>Neurosciences; Psychiatry</t>
  </si>
  <si>
    <t>Neurosciences &amp; Neurology; Psychiatry</t>
  </si>
  <si>
    <t>AO4AU</t>
  </si>
  <si>
    <t>WOS:000341279400015</t>
  </si>
  <si>
    <t>Liu, CL; Kirchengast, G; Zhang, KF; Tan, ZX; Fritzer, J; Sun, YQ</t>
  </si>
  <si>
    <t>Liu Cong-Liang; Kirchengast, Gottfried; Zhang, Kefei; Tan Zhi-Xiang; Fritzer, Johannes; Sun Yue-Qiang</t>
  </si>
  <si>
    <t>The effects of residual ionospheric errors on GPS radio occultation temperature</t>
  </si>
  <si>
    <t>CHINESE JOURNAL OF GEOPHYSICS-CHINESE EDITION</t>
  </si>
  <si>
    <t>Chinese</t>
  </si>
  <si>
    <t>Radio occultation; Temperature; Residual ionosphere errors; Ray tracing</t>
  </si>
  <si>
    <t>ATMOSPHERIC PROFILES; INVERSION; CLIMATE; CHAMP; ORBIT</t>
  </si>
  <si>
    <t>In order to investigate the effects of residual ionospheric errors (RIEs) on radio occultation (RO) temperature profiles due to solar activity, local time and azimuth of occultation plane, two simulation schemes have been conducted using the models of MSIS90 for atmosphere and 3D NeUoG for ionosphere, and a 3D ray tracing approach. The results show that during solar active periods mean temperature errors mainly resulted from RIEs. In the upper stratosphere (35 similar to 50 km) and lower mesosphere (50 similar to 70 km) the statistical errors could reach about 1.8 K and 7 K, respectively, and global mean temperature errors could reach about -0.6 K at the stratopause and about 1.2 K at 70 km altitude. These results suggest that the RIE is a major temperature error at the altitude of 35 similar to 70 km. Hence, developing more effective ionospheric correction approaches is significant for improving the accuracy of RO retrievals and global climate monitoring.</t>
  </si>
  <si>
    <t>[Liu Cong-Liang; Sun Yue-Qiang] Chinese Acad Sci, Ctr Space Sci &amp; Appl Res, Beijing 100190, Peoples R China; [Liu Cong-Liang; Zhang, Kefei; Tan Zhi-Xiang] China Univ Min &amp; Technol, Key Lab Land Environm &amp; Disaster Monitoring SBSM, Xuzhou 221116, Peoples R China; [Liu Cong-Liang; Zhang, Kefei] RMIT Univ, Sch Math &amp; Geospatial Sci, Melbourne, Vic 3001, Australia; [Kirchengast, Gottfried; Fritzer, Johannes] Graz Univ, Wegener Ctr Climate &amp; Global Change, A-8010 Graz, Austria; [Kirchengast, Gottfried; Fritzer, Johannes] Graz Univ, Inst Geophys Astrophys &amp; Meteorol, Inst Phys, A-8010 Graz, Austria</t>
  </si>
  <si>
    <t>Chinese Academy of Sciences; China University of Mining &amp; Technology; Royal Melbourne Institute of Technology (RMIT); University of Graz; University of Graz</t>
  </si>
  <si>
    <t>Liu, CL (corresponding author), Chinese Acad Sci, Ctr Space Sci &amp; Appl Res, Beijing 100190, Peoples R China.</t>
  </si>
  <si>
    <t>liucongliang66@126.com; tan7654321@sina.com</t>
  </si>
  <si>
    <t>zhang, ke/AAH-8217-2019; Zhang, Kefei/R-5239-2019; Kirchengast, Gottfried/D-4990-2016</t>
  </si>
  <si>
    <t>Kirchengast, Gottfried/0000-0001-9187-937X</t>
  </si>
  <si>
    <t>Australian Space Research Program 2 (ASRP2); Australian Antarctic Science Grant Program [4159]; European Space Agency (ESA) project OPSGRAS [4000101628]; Austrian National Science Fund (FWF) project BENCHCLIM [P22293-N21]</t>
  </si>
  <si>
    <t>Australian Space Research Program 2 (ASRP2); Australian Antarctic Science Grant Program; European Space Agency (ESA) project OPSGRAS; Austrian National Science Fund (FWF) project BENCHCLIM</t>
  </si>
  <si>
    <t>Australian Space Research Program 2 (ASRP2) and Australian Antarctic Science Grant Program (Project4159),European Space Agency (ESA) project OPSGRAS (4000101628) and Austrian National Science Fund (FWF) project BENCHCLIM (P22293-N21)</t>
  </si>
  <si>
    <t>SCIENCE PRESS</t>
  </si>
  <si>
    <t>BEIJING</t>
  </si>
  <si>
    <t>16 DONGHUANGCHENGGEN NORTH ST, BEIJING 100717, PEOPLES R CHINA</t>
  </si>
  <si>
    <t>0001-5733</t>
  </si>
  <si>
    <t>CHINESE J GEOPHYS-CH</t>
  </si>
  <si>
    <t>Chinese J. Geophys.-Chinese Ed.</t>
  </si>
  <si>
    <t>10.6038/cjg20140802</t>
  </si>
  <si>
    <t>AO1KE</t>
  </si>
  <si>
    <t>WOS:000341070200002</t>
  </si>
  <si>
    <t>Hawes, TC; Marshall, CJ; Wharton, DA</t>
  </si>
  <si>
    <t>Hawes, T. C.; Marshall, C. J.; Wharton, D. A.</t>
  </si>
  <si>
    <t>A 9 kDa antifreeze protein from the Antarctic springtail, Gomphiocephalus hodgsoni</t>
  </si>
  <si>
    <t>CRYOBIOLOGY</t>
  </si>
  <si>
    <t>Amino acid composition; Antifreeze protein; Collembola; Ice-binding; Springtail</t>
  </si>
  <si>
    <t>ADSORPTION; ICE</t>
  </si>
  <si>
    <t>A 9 kDA antifreeze protein (AFP) was isolated and purified from the Antarctic springtail, Gomphiocephalus hodgsoni. By combining selective sampling procedures and a modified ice affinity purification protocol it was possible to directly isolate a single AFP protein without recourse to chromatographic separation techniques. Mass spectrometry identified a single 9 kDa component in the purified ice fraction. Intramolecular disulphide bonding was suggested by the presence of 12 cysteine residues. The specific amino acid composition is unique, particularly with regard to the presence of histidine (11.5%). But it also shows noticeable commonalities with insect AFPs in the abundance of cysteine (13.8%), while simultaneously hinting, through the presence of glycine (11.5%), that the metabolic building blocks of AFPs in Collembola may have a phylogenetically-determined component. (C) 2014 Elsevier Inc. All rights reserved.</t>
  </si>
  <si>
    <t>[Hawes, T. C.] Asian Univ, Banglamung 20260, Chonburi, Thailand; [Hawes, T. C.; Wharton, D. A.] Univ Otago, Dept Zool, Dunedin, New Zealand; [Marshall, C. J.] Univ Otago, Dept Biochem, Dunedin, New Zealand</t>
  </si>
  <si>
    <t>University of Otago; University of Otago</t>
  </si>
  <si>
    <t>Hawes, TC (corresponding author), Univ Otago, Dept Zool, POB 56, Dunedin, New Zealand.</t>
  </si>
  <si>
    <t>timothyhawes@hotmail.com</t>
  </si>
  <si>
    <t>Marshall, Craig J./C-6668-2009</t>
  </si>
  <si>
    <t>Marshall, Craig J./0000-0003-4186-0368; Wharton, David/0000-0001-6369-4984</t>
  </si>
  <si>
    <t>Antarctica New Zealand [Event KO66]; University of Otago (PBRF)</t>
  </si>
  <si>
    <t>Antarctica New Zealand; University of Otago (PBRF)</t>
  </si>
  <si>
    <t>Antarctica New Zealand (Event KO66) supported fieldwork. Laboratory work was carried out with the financial support of the University of Otago (PBRF allocation to DAW and CJM).</t>
  </si>
  <si>
    <t>0011-2240</t>
  </si>
  <si>
    <t>1090-2392</t>
  </si>
  <si>
    <t>Cryobiology</t>
  </si>
  <si>
    <t>10.1016/j.cryobiol.2014.07.001</t>
  </si>
  <si>
    <t>Biology; Physiology</t>
  </si>
  <si>
    <t>Life Sciences &amp; Biomedicine - Other Topics; Physiology</t>
  </si>
  <si>
    <t>AN6FZ</t>
  </si>
  <si>
    <t>WOS:000340691700029</t>
  </si>
  <si>
    <t>Kawarasaki, Y; Teets, NM; Denlinger, DL; Lee, RE</t>
  </si>
  <si>
    <t>Kawarasaki, Yuta; Teets, Nicholas M.; Denlinger, David L.; Lee, Richard E., Jr.</t>
  </si>
  <si>
    <t>Alternative overwintering strategies in an Antarctic midge: freezing vs. cryoprotective dehydration</t>
  </si>
  <si>
    <t>FUNCTIONAL ECOLOGY</t>
  </si>
  <si>
    <t>adaptations of polar arthropods; cellular dehydration; cold hardiness; cryoprotective dehydration; freeze concentration; freeze tolerance; supercooling</t>
  </si>
  <si>
    <t>ONYCHIURUS-ARCTICUS TULLBERG; EUROSTA-SOLIDAGINIS DIPTERA; BELGICA-ANTARCTICA; SUBZERO TEMPERATURES; COLD-HARDINESS; SUPERCOOLED LARVAE; ICE NUCLEATION; DROSOPHILA-MELANOGASTER; TERRESTRIAL ARTHROPODS; RANA-SYLVATICA</t>
  </si>
  <si>
    <t>1. Cryoprotective dehydration is a relatively new addition to our understanding of freeze avoidance strategies employed by polar invertebrates. Although the underlying cellular processes associated with this strategy are similar to those of freeze tolerance, little is known about potential trade-offs of overwintering in these physiological states. 2. This study compares the potential of larvae of the terrestrial midge Belgica antarctica (Diptera, Chironomidae) to overwinter in these two states. As the only insect with the capacity to tolerate freezing and to cryoprotectively dehydrate, it is an ideal model to compare the benefits and costs of these strategies. 3. Compared to summer-acclimated larvae, supercooling points of winter-acclimatized larvae were significantly depressed and were lower than observed minima for their microhabitat temperatures. Thus, if larvae avoid inoculative freezing from environmental ice, they could remain unfrozen via cryoprotective dehydration. 4. Both frozen and cryoprotectively dehydrated larvae readily survived a 32-day exposure to simulated overwintering temperatures. 5. Freezing had little effect on larval body water content and haemolymph osmolality. In contrast, cryoprotective dehydration at -5 degrees C resulted in a progressive loss of body water, ultimately reducing larval water content by 62%. This level of dehydration corresponded to an increase in haemolymph osmolality to c. 2750 mOsm kg(-1), depressing the haemolymph melting point to -4.9 degrees C. 6. Freezing and cryoprotective dehydration resulted in distinctly different patterns of glycogen breakdown. Whereas the glycogen content decreased only during the first 14 days in cryoprotectively dehydrated larvae, frozen larvae continued to break down glycogen throughout the 32-day subzero exposure. However, after recovery at 0 degrees C for 5 days, glycogen levels were similar in these two groups, as were the levels of total lipids. 7. Our results indicate that freezing and cryoprotective dehydration are both effective in promoting winter survival of larvae, with surprisingly few differences in energetic costs. Whether larvae freeze or become cryoprotectively dehydrated ultimately depends on the hydric condition of their microhabitat. The physiological flexibility of B. antarctica to overwinter in these alternative states likely contributed to its range distribution that extends further south than any other free-living insect.</t>
  </si>
  <si>
    <t>[Kawarasaki, Yuta; Lee, Richard E., Jr.] Miami Univ, Dept Zool, Oxford, OH 45056 USA; [Teets, Nicholas M.; Denlinger, David L.] Ohio State Univ, Dept Entomol, Columbus, OH 43210 USA; [Denlinger, David L.] Ohio State Univ, Dept Evolut Ecol &amp; Organismal Biol, Columbus, OH 43210 USA</t>
  </si>
  <si>
    <t>University System of Ohio; Miami University; University System of Ohio; Ohio State University; University System of Ohio; Ohio State University</t>
  </si>
  <si>
    <t>Kawarasaki, Y (corresponding author), Miami Univ, Dept Zool, Oxford, OH 45056 USA.</t>
  </si>
  <si>
    <t>ykawaras@gustavus.edu</t>
  </si>
  <si>
    <t>Kawarasaki, Yuta/AAD-4032-2019; Teets, Nicholas/IQT-5328-2023; Teets, Nicholas/H-7386-2013</t>
  </si>
  <si>
    <t>Teets, Nicholas/0000-0003-0963-7457</t>
  </si>
  <si>
    <t>National Science Foundation [ANT-0837559, ANT-0837613]</t>
  </si>
  <si>
    <t>This research was supported by the National Science Foundation (ANT-0837559 and ANT-0837613). We are grateful for the hard work and assistance of the support staff at Palmer Station. We also thank Mike Hughes and members of the Statistical Consulting Center at Miami University for their assistance in data analyses. Jon Costanzo, Kathleen Killian, Paul Schaeffer, John Bailer, and two anonymous reviewers provided critical comments and suggestions on this manuscript.</t>
  </si>
  <si>
    <t>0269-8463</t>
  </si>
  <si>
    <t>1365-2435</t>
  </si>
  <si>
    <t>FUNCT ECOL</t>
  </si>
  <si>
    <t>Funct. Ecol.</t>
  </si>
  <si>
    <t>10.1111/1365-2435.12229</t>
  </si>
  <si>
    <t>Ecology</t>
  </si>
  <si>
    <t>AN5ZY</t>
  </si>
  <si>
    <t>WOS:000340673900016</t>
  </si>
  <si>
    <t>Noroozi, A; Abbassi, R; MacKinnon, S; Khan, F; Khakzad, N</t>
  </si>
  <si>
    <t>Noroozi, Alireza; Abbassi, Rouzbeh; MacKinnon, Scott; Khan, Faisal; Khakzad, Nima</t>
  </si>
  <si>
    <t>Effects of Cold Environments on Human Reliability Assessment in Offshore Oil and Gas Facilities</t>
  </si>
  <si>
    <t>HUMAN FACTORS</t>
  </si>
  <si>
    <t>cold regions; human error; maintenance; risk analysis; offshore oil and gas industry</t>
  </si>
  <si>
    <t>HUMAN ERROR; BOW-TIE; MAINTENANCE; PERFORMANCE; EXPOSURE; SYSTEMS; HEART</t>
  </si>
  <si>
    <t>Objective: This paper proposes a new methodology that focuses on the effects of cold and harsh environments on the reliability of human performance. Background: As maritime operations move into Arctic and Antarctic environments, decision makers must be able to recognize how cold weather affects human performance and subsequently adjusts management and operational tools and strategies. Method: In the present work, a revised version of the Human Error Assessment and Reduction Technique (HEART) methodology has been developed to assess the effects of cold on the likelihood of human error in offshore oil and gas facilities. This methodology has been applied to post-maintenance tasks of offshore oil and gas facility pumps to investigate how management, operational, and equipment issues must be considered in risk analysis and prediction of human error in cold environments. Results: This paper provides a proof of concept indicating that the risk associated with operations in cold environments is greater than the risk associated with the same operations performed in temperate climates. It also develops guidelines regarding how this risk can be assessed. The results illustrate that in post-maintenance procedures of a pump, the risk value related to the effect of cold and harsh environments on operator cognitive performance is twice as high as the risk value when performed in normal conditions. Conclusion: The present work demonstrates significant differences between human error probabilities (HEPs) and associated risks in normal conditions as opposed to cold and harsh environments. This study also highlights that the cognitive performance of the human operator is the most important factor affected by the cold and harsh conditions. Application: The methodology developed in this paper can be used for reevaluating the HEPs for particular scenarios that occur in harsh environments since these HEPs may not be comparable to similar scenarios in normal conditions.</t>
  </si>
  <si>
    <t>[Noroozi, Alireza; Khan, Faisal; Khakzad, Nima] Mem Univ Newfoundland, St John, NF A1B 3X5, Canada; [Abbassi, Rouzbeh] Princeton Univ, Princeton, NJ 08544 USA; [MacKinnon, Scott] Mem Univ Newfoundland, Sch Human Kinet, St John, NF A1B 3X5, Canada</t>
  </si>
  <si>
    <t>Memorial University Newfoundland; Princeton University; Memorial University Newfoundland</t>
  </si>
  <si>
    <t>Khan, F (corresponding author), Mem Univ Newfoundland, Fac Engn &amp; Appl Sci, Safety &amp; Risk Engn Grp, St John, NF A1B 3X5, Canada.</t>
  </si>
  <si>
    <t>fikhan@mun.ca</t>
  </si>
  <si>
    <t>Abbassi, Rouzbeh/N-4077-2017; Khan, Faisal I/AAO-6293-2020; Abbassi, Rouzbeh/AAA-2051-2020</t>
  </si>
  <si>
    <t>Abbassi, Rouzbeh/0000-0002-9230-6175; Khan, Faisal I/0000-0002-5638-4299; Abbassi, Rouzbeh/0000-0002-9230-6175; Khakzad, Nima/0000-0002-3899-6830</t>
  </si>
  <si>
    <t>0018-7208</t>
  </si>
  <si>
    <t>1547-8181</t>
  </si>
  <si>
    <t>HUM FACTORS</t>
  </si>
  <si>
    <t>Hum. Factors</t>
  </si>
  <si>
    <t>10.1177/0018720813512328</t>
  </si>
  <si>
    <t>Behavioral Sciences; Engineering, Industrial; Ergonomics; Psychology, Applied; Psychology</t>
  </si>
  <si>
    <t>Behavioral Sciences; Engineering; Psychology</t>
  </si>
  <si>
    <t>AN6RN</t>
  </si>
  <si>
    <t>WOS:000340724100003</t>
  </si>
  <si>
    <t>Friedlaender, AS; Goldbogen, JA; Nowacek, DP; Read, AJ; Johnston, D; Gales, N</t>
  </si>
  <si>
    <t>Friedlaender, A. S.; Goldbogen, J. A.; Nowacek, D. P.; Read, A. J.; Johnston, D.; Gales, N.</t>
  </si>
  <si>
    <t>Feeding rates and under-ice foraging strategies of the smallest lunge filter feeder, the Antarctic minke whale (Balaenoptera bonaerensis)</t>
  </si>
  <si>
    <t>Feeding; Minke whales; Performance</t>
  </si>
  <si>
    <t>MEGAPTERA-NOVAEANGLIAE; RORQUAL WHALES; BODY-SIZE; HUMPBACK; PERFORMANCE; ALLOMETRY; PENINSULA; CAPACITY; BEHAVIOR; DENSITY</t>
  </si>
  <si>
    <t>Body size and feeding mode are two fundamental characteristics that determine foraging performance and ecological niche. As the smallest obligate lunge filter feeders, minke whales represent an ideal system for studying the physical and energetic limits of filter feeding in endotherms. We used multi-sensor suction cup tags to quantify the feeding performance of Antarctic minke whales. Foraging dives around and beneath sea ice contained up to 24 lunges per dive, the highest feeding rates for any lunge-feeding whale. Their small size allows minke whales access to krill in sea-ice environments not easily accessible to larger baleen whales. Furthermore, their ability to filter feed provides an advantage over other smaller sympatric krill predators such as penguins and seals that feed on individual prey. The unique combination of body size, feeding mechanism and sea-ice habitat of Antarctic minke whales defines a previously undocumented energetic niche that is unique among aquatic vertebrates.</t>
  </si>
  <si>
    <t>[Friedlaender, A. S.] Oregon State Univ, Hatfield Marine Sci Ctr, Marine Mammal Inst, Newport, OR 97365 USA; [Goldbogen, J. A.] Stanford Univ, Hopkins Marine Stn, Dept Biol, Pacific Grove, CA 93950 USA; [Nowacek, D. P.; Read, A. J.; Johnston, D.] Duke Univ, Marine Lab, Div Marine Sci &amp; Conservat, Beaufort, NC 28516 USA; [Gales, N.] Australian Antarctic Div, Kingston, Tas 7050, Australia</t>
  </si>
  <si>
    <t>Oregon State University; Stanford University; Duke University; Australian Antarctic Division</t>
  </si>
  <si>
    <t>Friedlaender, AS (corresponding author), Oregon State Univ, Hatfield Marine Sci Ctr, Marine Mammal Inst, Newport, OR 97365 USA.</t>
  </si>
  <si>
    <t>ari.friedlaender@oregonstate.edu</t>
  </si>
  <si>
    <t>Read, Andrew/AAE-8386-2019; Goldbogen, Jeremy A./H-4287-2019; Johnston, David/AAJ-5013-2020</t>
  </si>
  <si>
    <t>Goldbogen, Jeremy A./0000-0002-4170-7294; Johnston, David/0000-0003-2424-036X</t>
  </si>
  <si>
    <t>National Science Foundation Office of Polar Programs RAPID award [1250208]; Office of Polar Programs (OPP); Directorate For Geosciences [1250208] Funding Source: National Science Foundation</t>
  </si>
  <si>
    <t>National Science Foundation Office of Polar Programs RAPID award; Office of Polar Programs (OPP); Directorate For Geosciences(National Science Foundation (NSF)NSF - Directorate for Geosciences (GEO))</t>
  </si>
  <si>
    <t>Support for this research was provided by a National Science Foundation Office of Polar Programs RAPID award to A.S.F. [1250208]</t>
  </si>
  <si>
    <t>10.1242/jeb.106682</t>
  </si>
  <si>
    <t>AO2XI</t>
  </si>
  <si>
    <t>WOS:000341190300010</t>
  </si>
  <si>
    <t>Torre, L; Abele, D; Lagger, C; Momo, F; Sahade, R</t>
  </si>
  <si>
    <t>Torre, Luciana; Abele, Doris; Lagger, Cristian; Momo, Fernando; Sahade, Ricardo</t>
  </si>
  <si>
    <t>When shape matters: Strategies of different Antarctic ascidians morphotypes to deal with sedimentation</t>
  </si>
  <si>
    <t>Ascidia challengeri; Cnemidocarpa verrucosa; Molgula pedunculata; Lactate; Glycogen; Sedimentation; Hypoxia</t>
  </si>
  <si>
    <t>SOUTH SHETLAND ISLANDS; KING GEORGE ISLAND; POTTER COVE; PARTICULATE CONCENTRATIONS; CNEMIDOCARPA-VERRUCOSA; COMMUNITIES; RESPONSES; TUNICATA; COMPETITION; FILTRATION</t>
  </si>
  <si>
    <t>Climate change leads to increased melting of tidewater glaciers in the Western Antarctic Peninsula region and sediment bearing glacial melt waters negatively affects filter feeding species as solitary ascidians. In previous work the erect-forms Molgula pedunculata and Cnemidocarpa verrucosa (Order Stolidobranchiata) appeared more sensitive than the flat form Ascidia challengeri (Order Phlebobranchiata). Sedimentation exposure is expected to induce up-regulation of anaerobic metabolism by obstructing the organs of gas exchange (environmental hypoxia) or causes enhanced squirting activity (functional hypoxia). In this study we evaluated the possible relationship between ascidian morphotype and their physiological response to sedimentation. Together with some behavioural observations, we analysed the response of anaerobic metabolic parameters (lactate formation and glycogen consumption) in different tissues of three Antarctic ascidians, exposed to high sediment concentrations (200 mgL(-1)). The results were compared to experimental hypoxia (10% pO(2)) and exercise (induced muscular contraction) effects, in order to discriminate the effect of sediment on each species and morpho-type (erect vs. flat forms). Our results suggest that the styled (erect) C. verrucosa increases muscular squirting activity in order to expulse excessive material, while the flat-form A. challengeri reacts more passively by down-regulating its aerobic metabolism under sediment exposure. Contrary, the erect ascidian M. pedunculata did not show any measurable response to the treatments, indicating that filtration and ingestion activities were not reduced or altered even under high sedimentation (low energetic material) which could be disadvantageous on the long-term and could explain why M pedunculata densities decline in the study area. (C) 2014 Elsevier Ltd. All rights reserved.</t>
  </si>
  <si>
    <t>[Torre, Luciana; Lagger, Cristian; Sahade, Ricardo] UNC, IDEA, Consejo Nacl Invest Cient &amp; Tecn CONICET, Marine Ecol Dept, Cordoba, Argentina; [Momo, Fernando] Univ Nacl Gen Sarmiento, Inst Ciencias, Buenos Aires, DF, Argentina; [Momo, Fernando] Univ Nacl Lujan, INEDES, RA-6700 Lujan, Argentina; [Abele, Doris] Alfred Wegener Inst, Helmholtz Ctr Polar &amp; Marine Res, D-27570 Bremerhaven, Germany</t>
  </si>
  <si>
    <t>National University of Cordoba; Consejo Nacional de Investigaciones Cientificas y Tecnicas (CONICET); Universidad Nacional de Lujan; Helmholtz Association; Alfred Wegener Institute, Helmholtz Centre for Polar &amp; Marine Research</t>
  </si>
  <si>
    <t>Torre, L (corresponding author), Av Velez Sarsfield 299, RA-5000 Cordoba, Argentina.</t>
  </si>
  <si>
    <t>torreluciana@gmail.com</t>
  </si>
  <si>
    <t>Momo, Fernando/A-5984-2015; Momo, Fernando R/E-3426-2012</t>
  </si>
  <si>
    <t>Momo, Fernando R/0000-0003-0710-1149; Torre, Luciana/0000-0002-2090-1258; Sahade, Ricardo/0000-0001-5650-8135; Abele, Doris/0000-0002-5766-5017</t>
  </si>
  <si>
    <t>Consejo Nacional de Investigaciones Cientificas y Tecnicas (CONICET); Direccion Nacional del Antartico (DNA)/Instituto Antartico Argentino (IAA); Universidad Nacional de Cordoba (UNC); Alfred Wegener Institute (AWI); ANPCyT-DNA [PICTO 2010 - 0019]; PIP CONICET [11220100100089]; SECyT [05/I602]; EU [319718]; ESF-IMCOAST</t>
  </si>
  <si>
    <t>Consejo Nacional de Investigaciones Cientificas y Tecnicas (CONICET)(Consejo Nacional de Investigaciones Cientificas y Tecnicas (CONICET)); Direccion Nacional del Antartico (DNA)/Instituto Antartico Argentino (IAA); Universidad Nacional de Cordoba (UNC); Alfred Wegener Institute (AWI); ANPCyT-DNA; PIP CONICET(Consejo Nacional de Investigaciones Cientificas y Tecnicas (CONICET)); SECyT(Secretaria de Ciencia y Tecnologia (SECYT)); EU(European Union (EU)); ESF-IMCOAST</t>
  </si>
  <si>
    <t>The authors want to particularly thank the members of the Carlini (Jubany) station and to Dr. Tatian for the species illustrations and helpful discussion. We are also grateful to the 3 anonymous reviewers for their valuable suggestions. This study was supported by the Consejo Nacional de Investigaciones Cientificas y Tecnicas (CONICET), Direccion Nacional del Antartico (DNA)/Instituto Antartico Argentino (IAA) and Universidad Nacional de Cordoba (UNC) and Alfred Wegener Institute (AWI). The work was partially funded by PICTO 2010 - 0019 (ANPCyT-DNA), PIP CONICET No 11220100100089, SECyT (05/I602), ESF-IMCOAST associated work package of AP-4 of Dr. Sahade and and the EU project IMCONet (FP7 404 IRSES, action no. 319718).</t>
  </si>
  <si>
    <t>10.1016/j.marenvres.2014.05.014</t>
  </si>
  <si>
    <t>AN6JA</t>
  </si>
  <si>
    <t>WOS:000340699600020</t>
  </si>
  <si>
    <t>Noronha, BA; Friedrich, JM</t>
  </si>
  <si>
    <t>Noronha, Bianca A.; Friedrich, Jon M.</t>
  </si>
  <si>
    <t>Chemical compositions and classification of five thermally altered carbonaceous chondrites</t>
  </si>
  <si>
    <t>METEORITICAL BULLETIN; CK CHONDRITES</t>
  </si>
  <si>
    <t>To establish the chemical group provenance of the five thermally altered carbonaceous chondrites Asuka (A-) 881551, Asuka-882113, Elephant Moraine (EET) 96026, Mulga (west), and Northwest Africa (NWA) 3133, we quantified 44 trace elements in each of them. We also analyzed Larkman Nunatak (LAR) 04318 (CK4), Miller Range (MIL) 090001 (CR2), Roberts Massif (RBT) 03522 (CK5) as reference samples as their chemical group affinity is already recognized. We conclude that Asuka-881551, Asuka-882113, and Mulga (west) are thermally metamorphosed CK chondrites. Compositionally, Elephant Moraine 96026 most resembles the CV chondrites. NWA 3133 is the most significantly thermally altered carbonaceous chondrite in our suite of samples. It is completely recrystallized (no chondrules or matrix remain), but its bulk composition is consistent with a CV-CK clan provenance. The thermally labile element (e. g., Se, Te, Zn, and Bi) depletion in NWA 3133 indicates a chemically open system during the heating episode. It remains unclear if the heat necessary for its thermal alteration of NWA 3133 was due to the decay of Al-26 or was impact related. Finally, we infer that MIL 090001, Mulga (west), and NWA 3133 show occasional compositional signatures indicative of terrestrial alteration. The alteration is especially evident within the elements Sr, Ba, La, Ce, Th, U, and possibly Sb. Despite the alteration, we can still confidently place each of the altered chondrites within an established chemical group or clan.</t>
  </si>
  <si>
    <t>[Noronha, Bianca A.; Friedrich, Jon M.] Fordham Univ, Dept Chem, Bronx, NY 10458 USA; [Friedrich, Jon M.] Amer Museum Nat Hist, Dept Earth &amp; Planetary Sci, New York, NY 10024 USA</t>
  </si>
  <si>
    <t>Fordham University; American Museum of Natural History (AMNH)</t>
  </si>
  <si>
    <t>The authors are grateful to the NIPR of Japan for allocating the two Asuka Antarctic meteorites from their collection. The Meteorite Working Group is thanked for the other Antarctic meteorite allocations. Mulga (west) was provided by the Western Australian Museum with cooperation of Dr. A. W. R. Bevan. Without these allocations, the study would have been impossible. BAN thanks the Fordham College at Rose Hill Deans office for a Fordham Summer Undergraduate Research Fellowship. The authors thank T. Dunn for a constructive review and A. Ruzicka for close reading and prompt editorial handling. An anonymous reviewer also provided comments. Because of their efforts this report was much improved.</t>
  </si>
  <si>
    <t>10.1111/maps.12350</t>
  </si>
  <si>
    <t>AN8SZ</t>
  </si>
  <si>
    <t>WOS:000340875900013</t>
  </si>
  <si>
    <t>Hanada, Y; Nishimiya, Y; Miura, A; Tsuda, S; Kondo, H</t>
  </si>
  <si>
    <t>Hanada, Yuichi; Nishimiya, Yoshiyuki; Miura, Ai; Tsuda, Sakae; Kondo, Hidemasa</t>
  </si>
  <si>
    <t>Hyperactive antifreeze protein from an Antarctic sea ice bacterium Colwellia sp has a compound ice-binding site without repetitive sequences</t>
  </si>
  <si>
    <t>FEBS JOURNAL</t>
  </si>
  <si>
    <t>ice crystal growth; ice-binding protein; mutational analysis; protein crystallography; thermal hysteresis</t>
  </si>
  <si>
    <t>CRYSTAL-STRUCTURE; THERMAL HYSTERESIS; STRUCTURAL BASIS; CRYSTALLOGRAPHY; IDENTIFICATION; INHIBITION; ADSORPTION; MECHANISM; SYSTEM; FUNGI</t>
  </si>
  <si>
    <t>Antifreeze proteins (AFPs) are structurally diverse macromolecules that bind to ice crystals and inhibit their growth to protect the organism from injuries caused by freezing. An AFP identified from the Antarctic bacterium Colwellia sp. strain SLW05 (ColAFP) is homologous to AFPs from a wide variety of psychrophilic microorganisms. To understand the antifreeze function of ColAFP, we have characterized its antifreeze activity and determined the crystal structure of this protein. The recombinant ColAFP exhibited thermal hysteresis activity of approximately 4 degrees C at a concentration of 0.14 mM, and induced rapid growth of ice crystals in the hexagonal direction. Fluorescence-based ice plane affinity analysis showed that ColAFP binds to multiple planes of ice, including the basal plane. These observations show that ColAFP is a hyperactive AFP. The crystal structure of ColAFP determined at 1.6 angstrom resolution revealed an irregular beta-helical structure, similar to known homologs. Mutational and molecular docking studies showed that ColAFP binds to ice through a compound ice-binding site (IBS) located at a flat surface of the beta-helix and the adjoining loop region. The IBS of ColAFP lacks the repetitive sequences that are characteristic of hyperactive AFPs. These results suggest that ColAFP exerts antifreeze activity through a compound IBS that differs from the characteristic IBSs shared by other hyperactive AFPs. This study demonstrates a novel method for protection from freezing by AFPs in psychrophilic microorganisms.</t>
  </si>
  <si>
    <t>[Hanada, Yuichi; Tsuda, Sakae; Kondo, Hidemasa] Hokkaido Univ, Grad Sch Life Sci, Sapporo, Hokkaido, Japan; [Hanada, Yuichi; Nishimiya, Yoshiyuki; Miura, Ai; Tsuda, Sakae; Kondo, Hidemasa] Natl Inst Adv Ind Sci &amp; Technol, Bioprod Res Inst, Sapporo, Hokkaido 0628517, Japan</t>
  </si>
  <si>
    <t>Hokkaido University; National Institute of Advanced Industrial Science &amp; Technology (AIST)</t>
  </si>
  <si>
    <t>Kondo, H (corresponding author), Natl Inst Adv Ind Sci &amp; Technol, Bioprod Res Inst, Toyohira Ku, 2-17-2-1 Tsukisamu Higashi, Sapporo, Hokkaido 0628517, Japan.</t>
  </si>
  <si>
    <t>h.kondo@aist.go.jp</t>
  </si>
  <si>
    <t>Nishimiya, Yoshiyuki/M-4173-2018; Tsuda, Sakae/M-2756-2018; Kondo, Hidemasa/M-7465-2018</t>
  </si>
  <si>
    <t>Nishimiya, Yoshiyuki/0000-0002-0701-7775; Tsuda, Sakae/0000-0002-1399-0619; Kondo, Hidemasa/0000-0003-2799-1775</t>
  </si>
  <si>
    <t>KAKENHI program of the Japan Society for the Promotion of Science [23310171, 20570118]; Grants-in-Aid for Scientific Research [23310171, 20570118] Funding Source: KAKEN</t>
  </si>
  <si>
    <t>KAKENHI program of the Japan Society for the Promotion of Science; Grants-in-Aid for Scientific Research(Ministry of Education, Culture, Sports, Science and Technology, Japan (MEXT)Japan Society for the Promotion of ScienceGrants-in-Aid for Scientific Research (KAKENHI))</t>
  </si>
  <si>
    <t>The experiments using synchrotron radiation were performed with the approval of the Photon Factory Program Advisory Committee (proposal number 2013G183). This work was supported in part by the KAKENHI program of the Japan Society for the Promotion of Science (grant numbers 23310171 and 20570118).</t>
  </si>
  <si>
    <t>1742-464X</t>
  </si>
  <si>
    <t>1742-4658</t>
  </si>
  <si>
    <t>FEBS J</t>
  </si>
  <si>
    <t>FEBS J.</t>
  </si>
  <si>
    <t>10.1111/febs.12878</t>
  </si>
  <si>
    <t>Biochemistry &amp; Molecular Biology</t>
  </si>
  <si>
    <t>AN1PI</t>
  </si>
  <si>
    <t>WOS:000340355400003</t>
  </si>
  <si>
    <t>Gast, RJ; McKie-Krisberg, ZM; Fay, SA; Rose, JM; Sanders, RW</t>
  </si>
  <si>
    <t>Gast, Rebecca J.; McKie-Krisberg, Zaid M.; Fay, Scott A.; Rose, Julie M.; Sanders, Robert W.</t>
  </si>
  <si>
    <t>Antarctic mixotrophic protist abundances by microscopy and molecular methods</t>
  </si>
  <si>
    <t>FEMS MICROBIOLOGY ECOLOGY</t>
  </si>
  <si>
    <t>microbial food web; protistan grazing; quantitative PCR</t>
  </si>
  <si>
    <t>RED-TIDE ALGAE; PREY CONCENTRATION; SEASONAL PATTERNS; BACTERIVORY; PHYTOPLANKTON; SEA; NANOPLANKTON; PHAGOTROPHY; BIOMASS; SUMMER</t>
  </si>
  <si>
    <t>Protists are traditionally described as either phototrophic or heterotrophic, but studies have indicated that mixotrophic species, organisms that combine both strategies, can have significant impacts on prey populations in marine microbial food webs. While estimates of active mixotroph abundances in environmental samples are determined microscopically by fluorescent particle ingestion, species identification is difficult. We developed SYBR-based qPCR strategies for three Antarctic algal species that we identified as mixotrophic. This method and traditional ingestion experiments were applied to determine the total mixotroph abundance in Antarctic water samples, to ascertain the abundance of known mixotrophic species, and to identify environmental variables that impact the distribution and abundance of these species. Despite differences in sampling locations and years, mixotroph distribution was strongly influenced by season. Environmental variables that best explained variation in the individual mixotroph species abundances included temperature, oxygen, date, fluorescence, conductivity, and latitude. Phosphate was identified as an additional explanatory variable when nutrients were included in the analysis. Utilizing culture-based grazing rates and qPCR abundances, the estimated summed impact on bacterial populations by the three mixotrophs was usually &lt; 2% of the overall mixotrophic grazing, but in one sample, Pyramimonas was estimated to contribute up to 80% of mixotrophic grazing.</t>
  </si>
  <si>
    <t>[Gast, Rebecca J.] Woods Hole Oceanog Inst, Woods Hole, MA 02543 USA; [McKie-Krisberg, Zaid M.; Fay, Scott A.; Sanders, Robert W.] Temple Univ, Dept Biol, Philadelphia, PA 19122 USA; [Rose, Julie M.] NOAA Fisheries, Milford Lab, Northeast Fisheries Sci Ctr, Milford, CT USA</t>
  </si>
  <si>
    <t>Woods Hole Oceanographic Institution; Pennsylvania Commonwealth System of Higher Education (PCSHE); Temple University; National Oceanic Atmospheric Admin (NOAA) - USA</t>
  </si>
  <si>
    <t>Gast, RJ (corresponding author), Woods Hole Oceanog Inst, Woods Hole, MA 02543 USA.</t>
  </si>
  <si>
    <t>rgast@whoi.edu</t>
  </si>
  <si>
    <t>Sanders, Robert W./C-1116-2011</t>
  </si>
  <si>
    <t>Sanders, Robert W./0000-0001-7264-1059; McKie-Krisberg, Zaid/0000-0002-8437-0011; Gast, Rebecca J/0000-0003-3875-3975; Rose, Julie/0000-0001-9796-9974</t>
  </si>
  <si>
    <t>National Science Foundation [OPP-0838955, OPP-0838847]</t>
  </si>
  <si>
    <t>We gratefully acknowledge the captains and crews of Nathanial B. Palmer for logistical support, Elizabeth Halliday for assistance during the cruise, and N. Daugbjerg for assistance with identifying species with transmission electron microscopy. This work was supported by National Science Foundation Grants OPP-0838955 (R.J.G.) and OPP-0838847 (R.W.S.). Any opinions, findings, and conclusions or recommendations expressed in this material are those of the authors and do not necessarily reflect the views of the National Science Foundation. The authors state that they have no potential conflict of interests to declare.</t>
  </si>
  <si>
    <t>0168-6496</t>
  </si>
  <si>
    <t>1574-6941</t>
  </si>
  <si>
    <t>FEMS MICROBIOL ECOL</t>
  </si>
  <si>
    <t>FEMS Microbiol. Ecol.</t>
  </si>
  <si>
    <t>10.1111/1574-6941.12334</t>
  </si>
  <si>
    <t>AN4CM</t>
  </si>
  <si>
    <t>WOS:000340535200015</t>
  </si>
  <si>
    <t>Pennel, R; Kamenkovich, I</t>
  </si>
  <si>
    <t>Pennel, Romain; Kamenkovich, Igor</t>
  </si>
  <si>
    <t>On the Factors Controlling the Eddy-Induced Transport in the Antarctic Circumpolar Current</t>
  </si>
  <si>
    <t>SOUTHERN-OCEAN; GENERAL-CIRCULATION; TRACER TRANSPORTS; DIFFUSIVITY; EDDIES; SUPPRESSION; ATLANTIC; FLOWS; MODEL</t>
  </si>
  <si>
    <t>This study examines eddy-driven material transport by analyzing trajectories of Lagrangian particles in an idealized model of the Southern Ocean. The main focus is on the direction of the transport in the latitude- depth plane, as well as on the magnitudes of the vertical and meridional particle dispersion. In particular, this transport is along the mean isopycnals in the control simulation, but changes its direction and intensity in a series of sensitivity experiments with artificially modified currents. The main new conclusion is that the direction of the transport is determined by the three-dimensional interplay between the zonal background flow and the transient eddies; the stationary meanders play a secondary role. The key parameter here is the strength of the zonal advection relative to the eddy magnitudes, whereas the mean vertical shear in the zonal velocity is of secondary importance. In particular, stronger mean zonal advection leads to steeper orientation of the eddy fluxes and deeper penetration of tracer anomalies.</t>
  </si>
  <si>
    <t>[Pennel, Romain; Kamenkovich, Igor] Univ Miami, Rosenstiel Sch Marine &amp; Atmospher Sci, Miami, FL 33149 USA</t>
  </si>
  <si>
    <t>University of Miami</t>
  </si>
  <si>
    <t>Pennel, R (corresponding author), Univ Miami, Rosenstiel Sch Marine &amp; Atmospher Sci, 4600 Rickenbacker Causeway, Miami, FL 33149 USA.</t>
  </si>
  <si>
    <t>romain.pennel@ensta.org</t>
  </si>
  <si>
    <t>Kamenkovich, Igor/AAG-3451-2019</t>
  </si>
  <si>
    <t>Pennel, Romain/0000-0003-4448-4820; Kamenkovich, Igor/0000-0001-6228-5599</t>
  </si>
  <si>
    <t>NSF [OCE-1060163]; Division Of Ocean Sciences; Directorate For Geosciences [1060163] Funding Source: National Science Foundation</t>
  </si>
  <si>
    <t>We are thankful for helpful comments from two anonymous reviewers that helped to improve this manuscript. This work was supported by NSF Grant OCE-1060163.</t>
  </si>
  <si>
    <t>10.1175/JPO-D-13-0256.1</t>
  </si>
  <si>
    <t>AN1NE</t>
  </si>
  <si>
    <t>WOS:000340349800009</t>
  </si>
  <si>
    <t>Chen, R; McClean, JL; Gille, ST; Griesel, A</t>
  </si>
  <si>
    <t>Chen, Ru; McClean, Julie L.; Gille, Sarah T.; Griesel, Alexa</t>
  </si>
  <si>
    <t>Isopycnal Eddy Diffusivities and Critical Layers in the Kuroshio Extension from an Eddying Ocean Model</t>
  </si>
  <si>
    <t>ANTARCTIC CIRCUMPOLAR CURRENT; SOUTHERN-OCEAN; GENERAL-CIRCULATION; GULF-STREAM; MEAN-FLOW; COHERENT STRUCTURES; NORTH-ATLANTIC; TRANSPORT; EDDIES; JET</t>
  </si>
  <si>
    <t>High spatial resolution isopycnal diffusivities are estimated in the Kuroshio Extension (KE) region (28 degrees-40 degrees N, 120 degrees-190 degrees E) from a global 1/10 degrees Parallel Ocean Program (POP) simulation. The numerical float tracks are binned using a clustering approach. The number of tracks in each bin is thus roughly the same leading to diffusivity estimates that converge better than those in bins defined by a regular geographic grid. Cross-stream diffusivities are elevated in the southern recirculation gyre region, near topographic obstacles and downstream in the KE jet, where the flow has weakened. Along-stream diffusivities, which are much larger than cross-stream diffusivities, correlate well with the magnitudes of eddy velocity. The KE jet suppresses cross-stream mixing only in some longitude ranges. This study estimates the critical layer depth both from linear local baroclinic instability analysis and from eddy phase speeds in the POP model using the Radon transform. The latter is a better predictor of large mixing length in the cross-stream direction. Critical layer theory is most applicable in the intense jet regions away from topography.</t>
  </si>
  <si>
    <t>[Chen, Ru; McClean, Julie L.; Gille, Sarah T.] Univ Calif San Diego, Scripps Inst Oceanog, La Jolla, CA 92037 USA; [Griesel, Alexa] Univ Hamburg, Hamburg, Germany</t>
  </si>
  <si>
    <t>University of California System; University of California San Diego; Scripps Institution of Oceanography; University of Hamburg</t>
  </si>
  <si>
    <t>Chen, Ru/A-5681-2015; Gille, Sarah T./B-3171-2012</t>
  </si>
  <si>
    <t>Chen, Ru/0009-0007-6025-6867; Chen, Ru/0000-0002-5017-029X; Gille, Sarah/0000-0001-9144-4368</t>
  </si>
  <si>
    <t>NSF [OCE0850463, OCE0960914, OCE-1234473]; U.S. Department of Energy's Office of Science via Los Alamos National Laboratory (LANL); NASA [NNXBAE446]; NSF XSEDE [TG-OCE100001]; Directorate For Geosciences; Division Of Ocean Sciences [1234473] Funding Source: National Science Foundation; Division Of Ocean Sciences; Directorate For Geosciences [0960914] Funding Source: National Science Foundation</t>
  </si>
  <si>
    <t>NSF(National Science Foundation (NSF)); U.S. Department of Energy's Office of Science via Los Alamos National Laboratory (LANL); NASA(National Aeronautics &amp; Space Administration (NASA)); NSF XSEDE(National Science Foundation (NSF)); Directorate For Geosciences; Division Of Ocean Sciences(National Science Foundation (NSF)NSF - Directorate for Geosciences (GEO)); Division Of Ocean Sciences; Directorate For Geosciences(National Science Foundation (NSF)NSF - Directorate for Geosciences (GEO))</t>
  </si>
  <si>
    <t>R. Chen and J. L. McClean (JLM) were supported by NSF Grants OCE0850463 and OCE0960914. JLM was also supported by U.S. Department of Energy's Office of Science Climate Modeling Programs via a Los Alamos National Laboratory (LANL) subcontract. S. Gille was supported by NASA NNXBAE446 and NSF OCE-1234473. We are grateful to two anonymous reviewers for their helpful comments and to Shafer Smith for sharing the code for the linear instability analysis. We benefited from discussions with Ryan Abernathey, Glenn Flierl, Ayah Lazar, Matthew Mazloff, Andrew Stewart, Lynne Talley, and Andrew Thompson. Many thanks to Mathew Maltrud (LANL) for adapting the online float code to run on the global tripole grid and for explaining the calculation of certain model variables. Elena Yuleava (SIO) is thanked for extracting the POP model output and for discussions about the simulation. Computational resources for the model run were provided by NSF XSEDE Resource Grant TG-OCE100001. Output from this simulation is available at the National Center for Computational Sciences.</t>
  </si>
  <si>
    <t>10.1175/JPO-D-13-0258.1</t>
  </si>
  <si>
    <t>WOS:000340349800014</t>
  </si>
  <si>
    <t>Pandit, MK; de Wall, H</t>
  </si>
  <si>
    <t>Pandit, Manoj K.; de Wall, Helga</t>
  </si>
  <si>
    <t>Preliminary magnetic susceptibility characteristics of the Bharati promontory (Grovness Peninsula), Larsemann Hills, Prydz Bay region, East Antarctica</t>
  </si>
  <si>
    <t>JOURNAL OF THE GEOLOGICAL SOCIETY OF INDIA</t>
  </si>
  <si>
    <t>Gneisses; Magnetic susceptibility; Bharati promontory; Larsemann Hills; East Antarctica</t>
  </si>
  <si>
    <t>GEOLOGICAL RELATIONSHIPS; DISTRIBUTION ANISOTROPY; ANOMALY MAP; RAUER-GROUP; ROCKS; METAMORPHISM; CONSTRAINTS; GRANULITE; AREA; COMPLEX</t>
  </si>
  <si>
    <t>The coastal tract of the Prydz Bay region in the East Antarctica exposes Archean to Late Proterozoic magmatic and medium- to high grade (amphibolite - granulite facies) metamorphic rocks. The para- and ortho gneisses from the Bharati promontory (Grovness Peninsula) forming a part of the Larsemann Hills in the southern segment of Prydz Bay were investigated for magnetic characterization. In this small peninsula the upper amphibolite facies gneisses occur as NE-trending bands. The para-gneisses show a range of mineral assemblages (+/- cordierite +/- sillimanite +/- garnet) while ortho-gneiss mineralogy includes quartz, feldspar, biotite, garnet. All the lithological units in Bharati promontory contain ubiquitous magnetite, however, with wide variation in the volume proportions. This has resulted in a wide range in magnetic susceptibility (10(-4) to 10(-2) SI). Magnetic foliations show a correspondence with the general trend of lithounits (050A degrees NE) and define a resulting geometry of mainly D-1 and D-2 foliations. The magnetic lineations show a preferred orientation with moderate easterly plunge (mean vector 093/36). The findings have implications for the magnetic field survey because such fabrics would impart a strong horizontal component of induced magnetization.</t>
  </si>
  <si>
    <t>[Pandit, Manoj K.] Univ Rajasthan, Dept Geol, Jaipur 302004, Rajasthan, India; [de Wall, Helga] Univ Erlangen Nurnberg, Geozentrum Nordbayern, D-91054 Erlangen, Germany</t>
  </si>
  <si>
    <t>University of Rajasthan; University of Erlangen Nuremberg</t>
  </si>
  <si>
    <t>Pandit, MK (corresponding author), Univ Rajasthan, Dept Geol, Jaipur 302004, Rajasthan, India.</t>
  </si>
  <si>
    <t>manoj.pandit@gmail.com</t>
  </si>
  <si>
    <t>NCAOR; Ministry of Earth Sciences</t>
  </si>
  <si>
    <t>We thank an anonymous reviewer for constructive comments on the earlier version and for useful suggestions that have helped in improving the paper. Field work and sampling was carried out during the 26th Indian Scientific Expedition to Antarctica for which the logistic and other support was provided by the National Centre for Oceanic and Antarctic Research. MKP is particularly thankful to Sh. Rasik Ravindra, Director, NCAOR, for his motivation and for introduction to this mysterious aspect of global earth science. Fellow geologists from GSI, Amit Dharwadkar, Ashish Nath and Prakash Srivastava were a wonderful company and big support who made the field work possible under harsh conditions and also provided an ambient platform for useful academic discussion on regular basis. Thanks to Sh. Jayapaul D. for extending facilities to carry out field studies and to Ajay Dhar for being a source of inspiration and constant support. All the members of the team contributed in some way or the other but it may not be possible to list them all, to name a few; Dr. C. D. Reddy, Dr. A. Bhattacharya, Dr. T. Meloth, Bhaskar Sharma, O.P. Saini, Pawan, Chandrasekhar. Financial assistance for the study was provided by NCAOR and the Ministry of Earth Sciences.</t>
  </si>
  <si>
    <t>SPRINGER INDIA</t>
  </si>
  <si>
    <t>7TH FLOOR, VIJAYA BUILDING, 17, BARAKHAMBA ROAD, NEW DELHI, 110 001, INDIA</t>
  </si>
  <si>
    <t>0016-7622</t>
  </si>
  <si>
    <t>0974-6889</t>
  </si>
  <si>
    <t>J GEOL SOC INDIA</t>
  </si>
  <si>
    <t>J. Geol. Soc. India</t>
  </si>
  <si>
    <t>10.1007/s12594-014-0119-x</t>
  </si>
  <si>
    <t>AN5AH</t>
  </si>
  <si>
    <t>WOS:000340600900004</t>
  </si>
  <si>
    <t>Bordonskiy, GS; Orlov, AO</t>
  </si>
  <si>
    <t>Bordonskiy, G. S.; Orlov, A. O.</t>
  </si>
  <si>
    <t>Investigation of ferroelectric phase transitions of water in nanoporous silicates in simultaneous electrical noise and calorimetric measurements</t>
  </si>
  <si>
    <t>PHYSICS OF THE SOLID STATE</t>
  </si>
  <si>
    <t>ANTARCTIC ICE</t>
  </si>
  <si>
    <t>The phase transitions of water in the nanoporous silicate materials SBA-15 and MCM-41 with an ordered system of cylindrical pores have been investigated. Measurements of low-frequency electrical noises (Barkhausen noises) in the frequency range of 1-100 Hz have been performed simultaneously with relative calorimetric measurements. It has been found that the voltage of electrical fluctuations increases approximately 100 times in the temperature range from -30 to -50A degrees C, which is associated with the first-order and second-order ferroelectric phase transitions. It has been assumed that the ferroelectric ice XI can be formed in capillary pores of the materials under investigations.</t>
  </si>
  <si>
    <t>[Bordonskiy, G. S.; Orlov, A. O.] Russian Acad Sci, Inst Nat Resources Ecol &amp; Cryol, Siberian Branch, Chita 672014, Russia</t>
  </si>
  <si>
    <t>Bordonskiy, GS (corresponding author), Russian Acad Sci, Inst Nat Resources Ecol &amp; Cryol, Siberian Branch, Ul Nedorezova 16a, Chita 672014, Russia.</t>
  </si>
  <si>
    <t>lgc255@mail.ru</t>
  </si>
  <si>
    <t>Bordonskiy, Georgy/S-4780-2017; Orlov, Aleksey O/S-4745-2017</t>
  </si>
  <si>
    <t>Bordonskiy, Georgy/0000-0002-0009-0822;</t>
  </si>
  <si>
    <t>1063-7834</t>
  </si>
  <si>
    <t>1090-6460</t>
  </si>
  <si>
    <t>PHYS SOLID STATE+</t>
  </si>
  <si>
    <t>Phys. Solid State</t>
  </si>
  <si>
    <t>10.1134/S106378341408006X</t>
  </si>
  <si>
    <t>Physics, Condensed Matter</t>
  </si>
  <si>
    <t>AN1YR</t>
  </si>
  <si>
    <t>WOS:000340380400017</t>
  </si>
  <si>
    <t>Ramasco, V; Biuw, M; Nilssen, KT</t>
  </si>
  <si>
    <t>Ramasco, Virginie; Biuw, Martin; Nilssen, Kjell Tormod</t>
  </si>
  <si>
    <t>Improving time budget estimates through the behavioural interpretation of dive bouts in harbour seals</t>
  </si>
  <si>
    <t>ANIMAL BEHAVIOUR</t>
  </si>
  <si>
    <t>activity; drift dive; foraging unit; Phoca vitulina; resting behaviour; surfacing pattern; temporal pattern</t>
  </si>
  <si>
    <t>ANTARCTIC FUR SEALS; MAXIMUM-LIKELIHOOD APPROACH; SPLITTING BEHAVIOR; FORAGING BEHAVIOR; TEMPORAL SCALES; MARINE PREDATOR; PHOCA-VITULINA; MOVEMENT; ECOLOGY; PATTERNS</t>
  </si>
  <si>
    <t>The study of the organization of dives in bouts has provided insights into the foraging ecology of many species of diving animals. In otariids and seabirds, the alternation between dive bouts and periods at the surface has been proved to reflect the distinction between time spent foraging in patches and moving between them, allowing bouts to be interpreted as foraging units. Phocid seals, however, are known to be able to travel and rest while diving, making the interpretation of bouts less straightforward. We investigated the behavioural interpretation of dive bouts and surfacing periods in harbour seals, Phoca vitulina. We propose an approach in which the organization of bouts of dives at different temporal scales is compared with information on the seals' horizontal movements and dive characteristics. We found that prolonged surfacing periods could be generally interpreted as at-sea resting events. We also examined the occurrence of potential resting behaviour while diving and found that harbour seals perform low-activity dives, with different incidence between individuals. We conclude that bout organization in harbour seals mainly reflects the alternation of periods of activity and resting and that harbour seals spend a significant amount of time resting at sea. However, dive bouts cannot be considered as behavioural units, since both movement and some of the resting activity occur within them. This approach highlights the presence in this species of behaviours of similar function (i.e. resting), expressed in different forms (i.e. haul out, prolonged surfacing, low-activity diving), the cumulative patterns of which are well related to the daylight cycle. (C) 2014 The Association for the Study of Animal Behaviour. Published by Elsevier Ltd. All rights reserved.</t>
  </si>
  <si>
    <t>[Ramasco, Virginie; Nilssen, Kjell Tormod] Inst Marine Res, N-9294 Tromso, Norway; [Biuw, Martin] Fram High North Ctr Climate &amp; Environm, Akvaplan Niva, Tromso, Norway</t>
  </si>
  <si>
    <t>Institute of Marine Research - Norway; Akvaplan-niva</t>
  </si>
  <si>
    <t>Ramasco, V (corresponding author), Inst Marine Res, POB 6404, N-9294 Tromso, Norway.</t>
  </si>
  <si>
    <t>virginie.ramasco@imr.no</t>
  </si>
  <si>
    <t>Biuw, Martin/AAF-9895-2021</t>
  </si>
  <si>
    <t>Ramasco, Virginie/0009-0004-6891-2943; Biuw, Martin/0000-0001-8051-3399</t>
  </si>
  <si>
    <t>Institute of Marine Research; Norwegian Research Council</t>
  </si>
  <si>
    <t>Institute of Marine Research; Norwegian Research Council(Research Council of Norway)</t>
  </si>
  <si>
    <t>This study was supported by the Institute of Marine Research and the Norwegian Research Council. We thank N.E. Skavberg and M. Poltermann at the Institute of Marine Research and the veterinarians of the University of Tromso and the Norwegian School of Veterinary Science in Tromso for assistance in the field. We thank T.A. Oigard, U. Lindstom, G. Certain, F. Barraquand, I. Jonsen and Proportion of time resting M.A. Blanchet for discussion on the methodology and B. Grun for help with the betareg package in R. We also thank three anonymous referees for their suggestions and comments that greatly improved the quality of the manuscript.</t>
  </si>
  <si>
    <t>0003-3472</t>
  </si>
  <si>
    <t>1095-8282</t>
  </si>
  <si>
    <t>ANIM BEHAV</t>
  </si>
  <si>
    <t>Anim. Behav.</t>
  </si>
  <si>
    <t>10.1016/j.anbehav.2014.05.015</t>
  </si>
  <si>
    <t>Behavioral Sciences; Zoology</t>
  </si>
  <si>
    <t>AN0BW</t>
  </si>
  <si>
    <t>WOS:000340247900016</t>
  </si>
  <si>
    <t>Ryan, PG; Ortmann, HE; Herian, K</t>
  </si>
  <si>
    <t>Ryan, Peter G.; Ortmann, Heinz E.; Herian, Katrine</t>
  </si>
  <si>
    <t>Cascading effects of introduced scale insects on Nesospiza finches at the Tristan da Cunha archipelago</t>
  </si>
  <si>
    <t>BIOLOGICAL CONSERVATION</t>
  </si>
  <si>
    <t>Coccus hesperidum; Hemiberlesia rapax; Nesospiza; Seiridium phylicae; Wilkins' finch; Inaccessible Island; Nightingale Island</t>
  </si>
  <si>
    <t>ECOLOGICAL SPECIATION; INACCESSIBLE ISLAND; EXTINCTION; CONSERVATION; POPULATIONS; HEMIPTERA; BUNTINGS; BIRDS</t>
  </si>
  <si>
    <t>Three cosmopolitan scale insect pests have been introduced to the Tristan da Cunha archipelago, where their main host species is the island tree Phylica arborea, the only tree native to the islands. This can affect the populations of large-billed forms of Nesospiza finches because they rely on Phylica fruits. We report the distribution of scale insects at Inaccessible and Nightingale Islands, and assess their impact on Phylica fruit production. Hemiberlesia rapax has been recorded from all three islands in the archipelago, Coccus hesperidum from Inaccessible Island and the main island of Tristan, and Pseudococcus longispinus only from Tristan. Hemiberlesia is widespread on Phylica trees at Nightingale Island, but there are no recent records from Inaccessible. It appears to have little impact on Phylica fruit loads. Infestations of Coccus are associated with a sooty mould Seiridium phylicae, and together they significantly reduce Phylica fruit production. Coccus probably is a recent arrival at Inaccessible Island; it is restricted to two areas and infestation rates are quite low. Should it spread and infest a large proportion of trees, consideration should be given to the potential use of biological control agents to limit its impact. Strict quarantine measures should be enforced to prevent the introduction of Coccus and Seiridium to Nightingale Island, where they might threaten the Endangered Wilkins' finch Nesospiza wilkinsi. (C) 2014 Elsevier Ltd. All rights reserved.</t>
  </si>
  <si>
    <t>[Ryan, Peter G.; Ortmann, Heinz E.] Univ Cape Town, DST NRF Ctr Excellence, Percy Fitzpatrick Inst African Ornithol, ZA-7701 Rondebosch, South Africa; [Herian, Katrine] Royal Soc Protect Birds, Sandy SG19 2DL, Beds, England</t>
  </si>
  <si>
    <t>University of Cape Town; National Research Foundation - South Africa; Royal Society for Protection of Birds</t>
  </si>
  <si>
    <t>Ryan, PG (corresponding author), Univ Cape Town, DST NRF Ctr Excellence, Percy Fitzpatrick Inst African Ornithol, ZA-7701 Rondebosch, South Africa.</t>
  </si>
  <si>
    <t>pryan31@gmail.com</t>
  </si>
  <si>
    <t>South African National Antarctic Programme, through the National Research Foundation</t>
  </si>
  <si>
    <t>Steve Chown, Ian Millar and CJ Scheepers kindly assisted with identification of scale insects. We thank Lourens Malan, Martim Melo, Coleen Moloney, Dom Rollinson, Rob Ronconi and Martin Stervander for assistance in the field, and Tim Reid for statistical advice. The personnel of the S.A. Agulhas, S.A. Agulhas II, Titan and Starlite Helicopters, and Andrea Repetto provided logistical support. Tristan's Conservation Department, Island Council and Administrator approved our research at Tristan da Cunha, including providing permission to collect samples of scale insects. Funding was received from the South African National Antarctic Programme, through the National Research Foundation.</t>
  </si>
  <si>
    <t>0006-3207</t>
  </si>
  <si>
    <t>1873-2917</t>
  </si>
  <si>
    <t>BIOL CONSERV</t>
  </si>
  <si>
    <t>Biol. Conserv.</t>
  </si>
  <si>
    <t>10.1016/j.biocon.2014.05.020</t>
  </si>
  <si>
    <t>Biodiversity Conservation; Ecology; Environmental Sciences</t>
  </si>
  <si>
    <t>AM9TI</t>
  </si>
  <si>
    <t>WOS:000340223500006</t>
  </si>
  <si>
    <t>Williams, TJ; Allen, MA; DeMaere, MZ; Kyrpides, NC; Tringe, SG; Woyke, T; Cavicchioli, R</t>
  </si>
  <si>
    <t>Williams, Timothy J.; Allen, Michelle A.; DeMaere, Matthew Z.; Kyrpides, Nikos C.; Tringe, Susannah G.; Woyke, Tanja; Cavicchioli, Ricardo</t>
  </si>
  <si>
    <t>Microbial ecology of an Antarctic hypersaline lake: genomic assessment of ecophysiology among dominant haloarchaea</t>
  </si>
  <si>
    <t>ISME JOURNAL</t>
  </si>
  <si>
    <t>genomics; Antarctic microbial ecology; nutrient cycles; ecophysiology; ecotype</t>
  </si>
  <si>
    <t>DEHYDROGENASE MULTIENZYME COMPLEX; DEEP LAKE; HALOBACTERIUM-SALINARIUM; HALOFERAX-VOLCANII; ABC-TRANSPORTER; VESTFOLD HILLS; SP-NOV; ARCHAEON; EVOLUTION; METABOLISM</t>
  </si>
  <si>
    <t>Deep Lake in Antarctica is a cold, hypersaline system where four types of haloarchaea representing distinct genera comprise &gt;70% of the lake community: strain tADL similar to 44%, strain DL31 similar to 18%, Halorubrum lacusprofundi similar to 10% and strain DL1 similar to 0.3%. By performing comparative genomics, growth substrate assays, and analyses of distribution by lake depth, size partitioning and lake nutrient composition, we were able to infer important metabolic traits and ecophysiological characteristics of the four Antarctic haloarchaea that contribute to their hierarchical persistence and coexistence in Deep Lake. tADL is characterized by a capacity for motility via flagella (archaella) and gas vesicles, a highly saccharolytic metabolism, a preference for glycerol, and photoheterotrophic growth. In contrast, DL31 has a metabolism specialized in processing proteins and peptides, and appears to prefer an association with particulate organic matter, while lacking the genomic potential for motility. H. lacusprofundi is the least specialized, displaying a genomic potential for the utilization of diverse organic substrates. The least abundant species, DL1, is characterized by a preference for catabolism of amino acids, and is the only one species that lacks genes needed for glycerol degradation. Despite the four haloarchaea being distributed throughout the water column, our analyses describe a range of distinctive features, including preferences for substrates that are indicative of ecological niche partitioning. The individual characteristics could be responsible for shaping the composition of the haloarchaeal community throughout the lake by enabling selection of ecotypes and maintaining sympatric speciation.</t>
  </si>
  <si>
    <t>[Williams, Timothy J.; Allen, Michelle A.; DeMaere, Matthew Z.; Cavicchioli, Ricardo] Univ New S Wales, Sch Biotechnol &amp; Biomol Sci, Sydney, NSW 2052, Australia; [Kyrpides, Nikos C.; Tringe, Susannah G.; Woyke, Tanja] Dept Energy Joint Genome Inst, Walnut Creek, CA USA</t>
  </si>
  <si>
    <t>University of New South Wales Sydney; United States Department of Energy (DOE); Lawrence Berkeley National Laboratory</t>
  </si>
  <si>
    <t>Cavicchioli, R (corresponding author), Univ New S Wales, Sch Biotechnol &amp; Biomol Sci, Sydney, NSW 2052, Australia.</t>
  </si>
  <si>
    <t>r.cavicchioli@unsw.edu.au</t>
  </si>
  <si>
    <t>DeMaere, Matthew Zachariah/D-9002-2012; Tringe, Susannah Green/T-9431-2019; Kyrpides, Nikos C./A-6305-2014; Woyke, Tanja/S-7870-2018; Cavicchioli, Ricardo/D-4341-2013</t>
  </si>
  <si>
    <t>DeMaere, Matthew Zachariah/0000-0002-7601-5108; Tringe, Susannah Green/0000-0001-6479-8427; Kyrpides, Nikos C./0000-0002-6131-0462; Williams, Timothy/0000-0002-2738-3019; Woyke, Tanja/0000-0002-9485-5637; Cavicchioli, Ricardo/0000-0001-8989-6402; Allen, Michelle/0000-0002-8852-1454</t>
  </si>
  <si>
    <t>Australian Research Council; Australian Antarctic Science program; Australian Government; Office of Science of the United States Department of Energy [DE-AC02-05CH11231]</t>
  </si>
  <si>
    <t>Australian Research Council(Australian Research Council); Australian Antarctic Science program; Australian Government(Australian Government); Office of Science of the United States Department of Energy(United States Department of Energy (DOE))</t>
  </si>
  <si>
    <t>This work was supported by the Australian Research Council and the Australian Antarctic Science program and undertaken with the assistance of resources provided at the NCI National Facility systems at the Australian National University through the National Computational Merit Allocation Scheme supported by the Australian Government. The work conducted by the United States Department of Energy Joint Genome Institute is supported by the Office of Science of the United States Department of Energy under contract no. DE-AC02-05CH11231. We thank Bernhard Tschitschko for his assistance with growth studies. We warmly acknowledge the positive and constructive comments made by reviewers during the review process.</t>
  </si>
  <si>
    <t>SPRINGERNATURE</t>
  </si>
  <si>
    <t>CAMPUS, 4 CRINAN ST, LONDON, N1 9XW, ENGLAND</t>
  </si>
  <si>
    <t>1751-7362</t>
  </si>
  <si>
    <t>1751-7370</t>
  </si>
  <si>
    <t>ISME J</t>
  </si>
  <si>
    <t>ISME J.</t>
  </si>
  <si>
    <t>10.1038/ismej.2014.18</t>
  </si>
  <si>
    <t>Ecology; Microbiology</t>
  </si>
  <si>
    <t>Environmental Sciences &amp; Ecology; Microbiology</t>
  </si>
  <si>
    <t>AM7FJ</t>
  </si>
  <si>
    <t>WOS:000340029800009</t>
  </si>
  <si>
    <t>Microbial ecology of an Antarctic hypersaline lake: genomic assessment of ecophysiology among dominant haloarchaea (vol 8, pg 1645, 2014)</t>
  </si>
  <si>
    <t>Tringe, Susannah Green/T-9431-2019; Kyrpides, Nikos C./A-6305-2014; DeMaere, Matthew Zachariah/D-9002-2012; Cavicchioli, Ricardo/D-4341-2013</t>
  </si>
  <si>
    <t>Tringe, Susannah Green/0000-0001-6479-8427; Kyrpides, Nikos C./0000-0002-6131-0462; DeMaere, Matthew Zachariah/0000-0002-7601-5108; Allen, Michelle/0000-0002-8852-1454; Cavicchioli, Ricardo/0000-0001-8989-6402; Williams, Timothy/0000-0002-2738-3019</t>
  </si>
  <si>
    <t>10.1038/ismej.2014.65</t>
  </si>
  <si>
    <t>WOS:000340029800019</t>
  </si>
  <si>
    <t>Gardner, JE; Befus, KS; Miller, NR; Monecke, T</t>
  </si>
  <si>
    <t>Gardner, James E.; Befus, Kenneth S.; Miller, Nathan R.; Monecke, Thomas</t>
  </si>
  <si>
    <t>Cooling rates of mid-ocean ridge lava deduced from clinopyroxene spherulites</t>
  </si>
  <si>
    <t>Mid-ocean ridge; Sheet lava; Spherulite; Cooling rate; Glass transition</t>
  </si>
  <si>
    <t>PACIFIC-ANTARCTIC RIDGE; SILICATE MELTS; TRACER-DIFFUSION; ANDESITIC MELT; CRYSTALLIZATION; ALKALI; FLOWS; WATER; GLASS; TEMPERATURE</t>
  </si>
  <si>
    <t>We present a compositional analysis of spherulites and their surrounding groundmass in basaltic andesite lava samples collected from the Pacific-Antarctic Ridge. The spherulites consist of radiating dendritic branches of clinopyroxene, and contain abundant vesicles that are stretched parallel to the branches. Stretched vesicles require that the spherulites grew when the groundmass was liquid, and thus while it was hotter than its glass transition. Although chemical components incompatible in clinopyroxene should have been enriched in the melt by spherulite growth, no compositional variations occur at a scale larger than the 10 pm-wide slit aperture used for laser ablation ICP-MS. The absence of large-scale gradients implies that the spherulites grew faster than the elements could diffuse similar to 10 mu m. Because diffusion is temperature controlled, cooling must have been rapid enough to prevent movement If the spherulites nucleated when the melt was at between 1380 and 1223 K (i.e., undercooled by 0 to 157 K), then the constant concentrations of Li, Na, and K, the fastest diffusing elements analyzed, require temperature to have cooled faster than 10(6-7) K min(-1). If, instead, the spherulites nucleated at undercoolings of 357 to 465 K (or as cold as 915 K, equal to the glass transition temperature), then the cooling rate could have been as slow as those inferred for glassy rinds on submarine lavas by relaxation geospeedometry. At all possible cooling rates, however, the spherulites must have grown as fast as similar to 10(3-5) mu m s(-1) to reach their final sizes of 1.4 to 3.2 mm. We speculate that the rapid growth resulted from low kinetic barriers to clinopyroxene growth in the basaltic andesite melt. (C) 2014 Elsevier B.V. All rights reserved.</t>
  </si>
  <si>
    <t>[Gardner, James E.; Befus, Kenneth S.; Miller, Nathan R.] Univ Texas Austin, Dept Geol Sci, Jackson Sch Geosci, Austin, TX 78705 USA; [Monecke, Thomas] Colorado Sch Mines, Dept Geol &amp; Geol Engn, Golden, CO 80401 USA</t>
  </si>
  <si>
    <t>University of Texas System; University of Texas Austin; Colorado School of Mines</t>
  </si>
  <si>
    <t>Gardner, JE (corresponding author), Univ Texas Austin, Dept Geol Sci, Jackson Sch Geosci, 2275 Speedway,EPS Rm 1-130 C9000, Austin, TX 78705 USA.</t>
  </si>
  <si>
    <t>gardner@mail.utexas.edu</t>
  </si>
  <si>
    <t>Gardner, James/H-1713-2011</t>
  </si>
  <si>
    <t>Miller, Nathan/0000-0002-1677-5594</t>
  </si>
  <si>
    <t>National Science Foundation [EAR-1049829, OCE-1333882]; Jackson School of Geosciences; German Federal Ministry of Education and Research; Directorate For Geosciences; Division Of Ocean Sciences [1333882] Funding Source: National Science Foundation</t>
  </si>
  <si>
    <t>National Science Foundation(National Science Foundation (NSF)); Jackson School of Geosciences; German Federal Ministry of Education and Research(Federal Ministry of Education &amp; Research (BMBF)); Directorate For Geosciences; Division Of Ocean Sciences(National Science Foundation (NSF)NSF - Directorate for Geosciences (GEO))</t>
  </si>
  <si>
    <t>This work was partially supported by grants from the National Science Foundation (EAR-1049829 and OCE-1333882) to J.E.G. and analytical fee support from the Jackson School of Geosciences to K.S.B. R/V Sonne cruise 157 was financially supported by the German Federal Ministry of Education and Research through a grant to P. Stoffers at the Christian-Albrechts-Universitat zu Kiel, Germany. Critical reviews by Jonathan Castro and Bruno Scaillet greatly improved the manuscript.</t>
  </si>
  <si>
    <t>10.1016/j.jvolgeores.2014.05.023</t>
  </si>
  <si>
    <t>AN0YH</t>
  </si>
  <si>
    <t>WOS:000340309400001</t>
  </si>
  <si>
    <t>Alexander, TJ; Johnson, CR; Haddon, M; Barrett, NS; Edgar, GJ</t>
  </si>
  <si>
    <t>Alexander, Timothy J.; Johnson, Craig R.; Haddon, Malcolm; Barrett, Neville S.; Edgar, Graham J.</t>
  </si>
  <si>
    <t>Long-term trends in invertebrate-habitat relationships under protected and fished conditions</t>
  </si>
  <si>
    <t>MARINE BIOLOGY</t>
  </si>
  <si>
    <t>CORAL-REEF FISH; URCHIN PARACENTROTUS-LIVIDUS; PREDATOR-PREY INTERACTIONS; MARINE RESERVES; JASUS-EDWARDSII; HELIOCIDARIS-ERYTHROGRAMMA; SUBSTRATUM COMPLEXITY; COMMUNITY STRUCTURE; MEDITERRANEAN SEA; TROPHIC CASCADE</t>
  </si>
  <si>
    <t>Few studies examine the long-term effects of changing predator size and abundance on the habitat associations of resident organisms despite that this knowledge is critical to understand the ecosystem effects of fishing. Marine reserves offer the opportunity to determine ecosystem-level effects of manipulated predator densities, while parallel monitoring of adjacent fished areas allows separating these effects from regional-scale change. Relationships between two measures of benthic habitat structure (reef architecture and topographic complexity) and key invertebrate species were followed over 17 years at fished and protected subtidal rocky reefs associated with two southern Australian marine reserves. Two commercially harvested species, the southern rock lobster (Jasus edwardsii) and blacklip abalone (Haliotis rubra) were initially weakly associated with habitat structure across all fished and protected sites. The strength of association with habitat for both species increased markedly at protected sites 2 years after marine reserve declaration, and then gradually weakened over subsequent years. The increasing size of rock lobster within reserves apparently reduced their dependency on reef shelters as refuges from predation. Rising predation by fish and rock lobster in the reserves corresponded with weakening invertebrate-habitat relationships for H. rubra and sea urchins (Heliocidaris erythrogramma). These results emphasise that animal-habitat relationships are not necessarily stable through time and highlight the value of marine reserves as reference sites. Our work shows that fishery closures to enhance populations of commercially important and keystone species should be in areas with a range of habitat features to accommodate shifting ecological requirements with ontogenesis.</t>
  </si>
  <si>
    <t>[Alexander, Timothy J.; Johnson, Craig R.; Barrett, Neville S.; Edgar, Graham J.] Univ Tasmania, Inst Marine &amp; Antarctic Studies, Hobart, Tas 7001, Australia; [Alexander, Timothy J.] Univ Bern, Inst Ecol &amp; Evolut, Div Aquat Ecol &amp; Evolut, CH-3012 Bern, Switzerland; [Alexander, Timothy J.] EAWAG Swiss Fed Inst Aquat Sci &amp; Technol, Dept Fish Ecol &amp; Evolut, Ctr Ecol Evolut &amp; Biogeochem, CH-6047 Kastanienbaum, Switzerland; [Haddon, Malcolm] CSIRO Marine &amp; Atmospher Res, Castray Esplanade, Hobart, Tas 7000, Australia</t>
  </si>
  <si>
    <t>University of Tasmania; University of Bern; Swiss Federal Institutes of Technology Domain; Swiss Federal Institute of Aquatic Science &amp; Technology (EAWAG); Commonwealth Scientific &amp; Industrial Research Organisation (CSIRO)</t>
  </si>
  <si>
    <t>Alexander, TJ (corresponding author), Univ Tasmania, Inst Marine &amp; Antarctic Studies, Private Bay 49, Hobart, Tas 7001, Australia.</t>
  </si>
  <si>
    <t>tjalexander001@gmail.com</t>
  </si>
  <si>
    <t>Edgar, Graham/C-8341-2013; Edgar, Graham/AAY-3797-2020; Barrett, Neville/J-7593-2014; Johnson, Craig/E-1788-2013</t>
  </si>
  <si>
    <t>Edgar, Graham/0000-0003-0833-9001; Edgar, Graham/0000-0003-0833-9001; Barrett, Neville/0000-0002-6167-1356; Johnson, Craig/0000-0002-9511-905X; Haddon, Malcolm/0000-0001-6971-7585</t>
  </si>
  <si>
    <t>Australian Research Council; Australian Postgraduate Award; Commonwealth Scientific and Industrial Research Organisation/University of Tasmania scholarship in Quantitative Marine Science</t>
  </si>
  <si>
    <t>Australian Research Council(Australian Research Council); Australian Postgraduate Award(Australian Government); Commonwealth Scientific and Industrial Research Organisation/University of Tasmania scholarship in Quantitative Marine Science</t>
  </si>
  <si>
    <t>This research was supported by funding from the Australian Research Council. TJA was supported by an Australian Postgraduate Award and a Commonwealth Scientific and Industrial Research Organisation/University of Tasmania scholarship in Quantitative Marine Science. The manuscript was improved through constructive comments from two anonymous reviewers.</t>
  </si>
  <si>
    <t>0025-3162</t>
  </si>
  <si>
    <t>1432-1793</t>
  </si>
  <si>
    <t>MAR BIOL</t>
  </si>
  <si>
    <t>Mar. Biol.</t>
  </si>
  <si>
    <t>10.1007/s00227-014-2462-2</t>
  </si>
  <si>
    <t>AM5LQ</t>
  </si>
  <si>
    <t>Green Accepted, Green Published, Green Submitted</t>
  </si>
  <si>
    <t>WOS:000339900700010</t>
  </si>
  <si>
    <t>Subramanian, S; Lingala, SG; Swaminathan, S; Huynen, L; Lambert, D</t>
  </si>
  <si>
    <t>Subramanian, Sankar; Lingala, Syamala Gowri; Swaminathan, Siva; Huynen, Leon; Lambert, David</t>
  </si>
  <si>
    <t>Second generation DNA sequencing of the mitogenome of the Chinstrap penguin and comparative genomics of Antarctic penguins</t>
  </si>
  <si>
    <t>MITOCHONDRIAL DNA</t>
  </si>
  <si>
    <t>Adelie penguin; Chinstrap penguin; mitochondrial genome; natural selection; neutral evolution; phylogenetics</t>
  </si>
  <si>
    <t>The complete mitochondrial genome of the Chinstrap penguin (Pygoscelis antarcticus) was sequenced and compared with other penguin mitogenomes. The genome is 15,972 bp in length with the number and order of protein coding genes and RNAs being very similar to that of other known penguin mitogenomes. Comparative nucleotide analysis showed the Chinstrap mitogenome shares 94% homology with the mitogenome of its sister species, Pygoscelis adelie (Adelie penguin). Divergence at nonsynonymous nucleotide positions was found to be up to 23 times less than that observed in synonymous positions of protein coding genes, suggesting high selection constraints. The complete mitogenome data will be useful for genetic and evolutionary studies of penguins.</t>
  </si>
  <si>
    <t>[Subramanian, Sankar; Lingala, Syamala Gowri; Swaminathan, Siva; Huynen, Leon; Lambert, David] Griffith Univ, Environm Futures Ctr, Nathan, Qld 4111, Australia</t>
  </si>
  <si>
    <t>Griffith University</t>
  </si>
  <si>
    <t>Subramanian, S (corresponding author), 170 Kessels Rd, Nathan, Qld 4105, Australia.</t>
  </si>
  <si>
    <t>s.subramanian@griffith.edu.au; d.lambert@griffith.edu.au</t>
  </si>
  <si>
    <t>; Subramanian, Sankar/B-6647-2008</t>
  </si>
  <si>
    <t>Lambert, David/0000-0002-5821-3637; Subramanian, Sankar/0000-0002-2375-3254</t>
  </si>
  <si>
    <t>Australia India Strategic Research Fund, Griffith University; Australian Research Council</t>
  </si>
  <si>
    <t>Australia India Strategic Research Fund, Griffith University(Griffith University - Gold Coast CampusAustralian GovernmentDepartment of Industry, Innovation and Science); Australian Research Council(Australian Research Council)</t>
  </si>
  <si>
    <t>This work was supported by Australia India Strategic Research Fund, Griffith University and the Australian Research Council. The authors report no conflict of interest. The authors alone are responsible for the content and writing of the paper.</t>
  </si>
  <si>
    <t>1940-1736</t>
  </si>
  <si>
    <t>1940-1744</t>
  </si>
  <si>
    <t>MITOCHONDR DNA</t>
  </si>
  <si>
    <t>Mitochondrial DNA</t>
  </si>
  <si>
    <t>10.3109/19401736.2013.800503</t>
  </si>
  <si>
    <t>Genetics &amp; Heredity</t>
  </si>
  <si>
    <t>AM8OV</t>
  </si>
  <si>
    <t>WOS:000340136500014</t>
  </si>
  <si>
    <t>Rosso, I; Hogg, AM; Strutton, PG; Kiss, AE; Matear, R; Klocker, A; van Sebille, E</t>
  </si>
  <si>
    <t>Rosso, Isabella; Hogg, Andrew McC.; Strutton, Peter G.; Kiss, Andrew E.; Matear, Richard; Klocker, Andreas; van Sebille, Erik</t>
  </si>
  <si>
    <t>Vertical transport in the ocean due to sub-mesoscale structures: Impacts in the Kerguelen region</t>
  </si>
  <si>
    <t>Lagrangian particle; Mesoscales; Vertical velocity; Southern Ocean</t>
  </si>
  <si>
    <t>CALIFORNIA CURRENT SYSTEM; NATURAL IRON FERTILIZATION; PHYTOPLANKTON BLOOM; SUBMESOSCALE TRANSITION; CIRCULATION; PLATEAU; SCALE; REPRESENTATION; VARIABILITY; TOPOGRAPHY</t>
  </si>
  <si>
    <t>The summertime phytoplankton bloom near the Kerguelen Plateau is in marked contrast to the low-chlorophyll conditions typical of the Southern Ocean and is thought to arise from natural iron fertilisation. The mechanisms of iron supply to the euphotic zone in this region are poorly understood, and numerical studies of iron transport have until now omitted fine-scale (sub-mesoscale) dynamics which have been shown to significantly increase vertical transport in other parts of the ocean. We present the first sub-mesoscale-resolving study of the flow and vertical transport in this region. The modelled transport and flow structure agree well with observations. We find that an increase in horizontal resolution from mesoscale-resolving (1/20 degrees) to 1/80 degrees resolves sub-mesoscale filamentary frontal structures in which vertical velocities are dramatically higher and are consistent with available observations. Lagrangian tracking shows that water is advected to the surface from much greater depth in the sub-mesoscale-resolving experiment, and that vertical exchange is far more rapid and frequent. This study of sub-mesoscale vertical velocities sets the foundation for subsequent investigation of iron transport in this environment. (C) 2014 Elsevier Ltd. All rights reserved.</t>
  </si>
  <si>
    <t>[Rosso, Isabella; Hogg, Andrew McC.; Klocker, Andreas] Australian Natl Univ, Res Sch Earth Sci, Canberra, ACT, Australia; [Strutton, Peter G.] Univ Tasmania, Inst Marine &amp; Antarctic Studies, Hobart, Tas, Australia; [Kiss, Andrew E.] Univ New South Wales Canberra, Australian Def Force Acad, Sch Phys Environm &amp; Math Sci, Canberra, ACT, Australia; [Matear, Richard] CSIRO Marine &amp; Atmospher Res, Ctr Australian Weather &amp; Climate Res, Hobart, Tas, Australia; [van Sebille, Erik] Univ New S Wales, Climate Change Res Ctr, Sydney, NSW, Australia; [Rosso, Isabella] CSIRO Wealth Oceans Res Flagship, Hobart, Tas, Australia; [Rosso, Isabella; Hogg, Andrew McC.; Strutton, Peter G.; Kiss, Andrew E.; Matear, Richard; Klocker, Andreas; van Sebille, Erik] Univ New S Wales, ARC Ctr Excellence Climate Syst Sci, Sydney, NSW, Australia</t>
  </si>
  <si>
    <t>Australian National University; University of Tasmania; Australian Defense Force Academy; University of New South Wales Sydney; Commonwealth Scientific &amp; Industrial Research Organisation (CSIRO); University of New South Wales Sydney; Commonwealth Scientific &amp; Industrial Research Organisation (CSIRO); ARC Centre of Excellence for Climate System Science; University of New South Wales Sydney</t>
  </si>
  <si>
    <t>Rosso, I (corresponding author), Australian Natl Univ, Res Sch Earth Sci, Canberra, ACT, Australia.</t>
  </si>
  <si>
    <t>isa.rosso@anu.edu.au</t>
  </si>
  <si>
    <t>van Sebille, Erik/F-6781-2010; Hogg, Andy McC./A-7553-2011; Kiss, Andrew E/E-7733-2016; Hogg, Andy/AAZ-8733-2021; Strutton, Peter/C-4466-2011; matear, richard/C-5133-2011; Klocker, Andreas/E-4632-2011</t>
  </si>
  <si>
    <t>Hogg, Andy McC./0000-0001-5898-7635; Kiss, Andrew E/0000-0001-8960-9557; Hogg, Andy/0000-0001-5898-7635; Strutton, Peter/0000-0002-2395-9471; rosso, isabella/0000-0002-6761-7297; matear, richard/0000-0002-3225-0800; van Sebille, Erik/0000-0003-2041-0704; Klocker, Andreas/0000-0002-2038-7922</t>
  </si>
  <si>
    <t>Australian Research Council [FT120100842]; Australian Research Council [FT120100842] Funding Source: Australian Research Council</t>
  </si>
  <si>
    <t>Australian Research Council(Australian Research Council); Australian Research Council(Australian Research Council)</t>
  </si>
  <si>
    <t>Numerical simulations and analyses were conducted using the National Facility of the Australian National Computational Infrastructure. A. Hogg was supported by Australian Research Council Future Fellowship FT120100842. We want to express our thanks to H. Philips, L. Brannigan and S. Keating for constructive discussions and R. Morrow for providing the altimetry regional-Kerguelen experimental product from AVISO, with support from CNES. SOSE fields used throughout the simulations were provided by M. Mazloff (Scripps Institution of Oceanography, UCSD). We thank both reviewers who helped us to improve this manuscript.</t>
  </si>
  <si>
    <t>10.1016/j.ocemod.2014.05.001</t>
  </si>
  <si>
    <t>AN0YQ</t>
  </si>
  <si>
    <t>WOS:000340310300002</t>
  </si>
  <si>
    <t>Delarue, J; Guriec, N</t>
  </si>
  <si>
    <t>Delarue, Jacques; Guriec, Nathalie</t>
  </si>
  <si>
    <t>Opportunities to enhance alternative sources of long-chain n-3 fatty acids within the diet</t>
  </si>
  <si>
    <t>PROCEEDINGS OF THE NUTRITION SOCIETY</t>
  </si>
  <si>
    <t>n-3 Fatty acids; EPA; DHA; Nutrition; PUFA</t>
  </si>
  <si>
    <t>SALMO-SALAR L.; STEARIDONIC ACID; FISH-OIL; DOCOSAHEXAENOIC ACID; OMEGA-3-FATTY-ACIDS; EPA; DHA; AQUACULTURE; METABOLISM; MICROALGAE</t>
  </si>
  <si>
    <t>Health benefits or advocated health benefits of long-chain (LC) n-3 PUFA are better known by medical doctors as well as by consumers, so that consumption increases. In addition, the development of aquaculture requires more fishmeal and fish oil. Humanisation of care of companion animals is also associated with addition of LC n-3 PUFA in pet foods. The risk of the increased demand for LC n-3 PUFA is the excess harvesting of natural sources, especially of marine origin (oily fishes, krill). In order to improve sustainability, alternative sources of LC n-3 PUFA have been developed. These alternative sources are: (a) terrestrial plants naturally or genetically enriched in stearidonic acid (SDA), which bypasses the first limiting step of (i.e. Delta 6 desaturase) of the biosynthesis of LC n-3 PUFA; (b) single-cell oils rich in LC n-3 PUFA (microalgae, Escherichia coli) and krill. Currently, plants rich in SDA are expensive, metabolic engineering is unfavourably accepted by consumers in many countries, cultivation of microalgae is very expensive even though their ability (for some of them) to synthesise biofuels could induce a decrease in industrial costs, and Antarctic krill harvest must be restricted. Thus, it is difficult to predict their real development in the future.</t>
  </si>
  <si>
    <t>[Delarue, Jacques; Guriec, Nathalie] Univ Brest, Univ Hosp Brest, Breton Federat Food &amp; Human Nutr, Dept Nutr Sci, Brest, France</t>
  </si>
  <si>
    <t>Universite de Bretagne Occidentale; CHU Brest</t>
  </si>
  <si>
    <t>Delarue, J (corresponding author), Univ Brest, Univ Hosp Brest, Breton Federat Food &amp; Human Nutr, Dept Nutr Sci, Brest, France.</t>
  </si>
  <si>
    <t>jacques.delarue@univ-brest.fr</t>
  </si>
  <si>
    <t>la Region Bretagne</t>
  </si>
  <si>
    <t>la Region Bretagne(Region Bretagne)</t>
  </si>
  <si>
    <t>J. Delarue thanks la Region Bretagne for its support of his research.</t>
  </si>
  <si>
    <t>EDINBURGH BLDG, SHAFTESBURY RD, CB2 8RU CAMBRIDGE, ENGLAND</t>
  </si>
  <si>
    <t>0029-6651</t>
  </si>
  <si>
    <t>1475-2719</t>
  </si>
  <si>
    <t>P NUTR SOC</t>
  </si>
  <si>
    <t>Proc. Nutr. Soc.</t>
  </si>
  <si>
    <t>10.1017/S0029665114000123</t>
  </si>
  <si>
    <t>AM9CQ</t>
  </si>
  <si>
    <t>WOS:000340177700003</t>
  </si>
  <si>
    <t>Pedulli, M; Bisagni, JJ; Ducklow, HW; Beardsley, R; Pilskaln, C</t>
  </si>
  <si>
    <t>Pedulli, Marco; Bisagni, James J.; Ducklow, Hugh W.; Beardsley, Robert; Pilskaln, Cynthia</t>
  </si>
  <si>
    <t>Estimates of potential new production (PNP) for the waters off the western Antarctic Peninsula (WAP) region</t>
  </si>
  <si>
    <t>CONTINENTAL SHELF RESEARCH</t>
  </si>
  <si>
    <t>Western Antarctic Peninsula; Palmer Long Term Ecological Research (PAL LTER) Program; Potential new production (PNP); New primary production (nPP); Potential f-ratio</t>
  </si>
  <si>
    <t>NORTHERN MARGUERITE BAY; SOUTHERN-OCEAN; BRANSFIELD STRAIT; ROSS SEA; ICE-ZONE; INTERANNUAL VARIABILITY; NUTRIENT UTILIZATION; CONTINENTAL-SHELF; MARINE ECOSYSTEM; PARTICLE FLUXES</t>
  </si>
  <si>
    <t>Potential new production (PNP) can be used as a proxy for new primary production (nPP) and sets the upper bound limit of nitrate-derived primary production (PP). For this study, we estimate PNP by employing a one-dimensional analytical model using in situ and model data for the waters off the western Antarctica Peninsula (WAP) for midsummer, centered around January. Field observations were made during the Palmer Long Term Ecological Research (Palmer LTER) program. A decade long timeseries of NO3 vertical profile data (1998-2007. N=516) was used for PNP computations. PNP was calculated for the WAP region by subdividing it into three sub-regions i.e. Coastal, Shelf and Slope based on bathymetry and water mass properties. The Coastal sub-region includes waters with bathymetric depths of 450 m or less with Slope water accounting for the oceanic region greater than 750 m water depth, while the extensive Shelf region occupies the area between these depth limits. Mean PNP estimates were computed to be 2482.6 + 197.5, 384.5 + 61.7, and 891.1 + 81.8 mg C m(-2) d(-1) for the Coastal, Shelf and Slope sub-regions, respectively. The estimated overall mean PNP rate for the entire Palmer LTER WAP region during midsummer (January) was 1257.5 + 113.6 mg C m(-2) d(-1). The mean potential f-ratio (PNP:PP) for the WAP region was closer to unity (potential f-ratio =1.2) indicating that nPP (as opposed to recycled production) plays a major role in sustaining this sporadic but highly productive Antarctic ecosystem during mid-summer. We have also analyzed a longer time series from oceanic sampling stations off Palmer Station, Anvers Island. Antarctica spanning yeardays 310-45 (late November-mid February, 1994-2007). Harmonic regression fit of PNP data from all stations within this nearshore sampling grid of the Palmer LTER Program during the growth season provides maximum and minimum PNP rates of 2181.78 and 14.69 mg C m(-2) d(-1) on yeardays 335 (late November) and 43 (mid February), respectively. The overall mean PNP for this region was estimated to be 1040.93 + 764.58 mg C m(-2) d(-1) by employing a constant Kz value of 10(-5) m s(-2). The maximum and minimum PNP values coincide approximately with the onset and demise of annual algal bloom. Analysis of the terms used in the PNP equation indicate that both NO3 drawdown rates (mean=13.25 + 9.57 mmol m(-2) d N=156) and NO3 flux into the euphotic layer (mean=1.36 1.79 mmol m(-2) d(-1), N=156) have high temporal and spatial variability. NO3 drawdown rates were higher than NO3 flux into the control volume by approximately an order of magnitude. Sensitivity analyses of the model using two extreme values of Kz, (10-4 and 10(-5) m s(-2)) that are widely reported in the literature for the WAP region, yielded a PNP range of 97.13 mg C m(-2) d(-1). The latter accounted for approximately 10% of the overall computed PNP. PNP estimates for the coastal subregion which includes Marguerite Bay agreed well with estimates of nPP from north Marguerite Bay in a recent study which employed different datasets and research approach. (C) 2014 Elsevier Ltd. All rights reserved.</t>
  </si>
  <si>
    <t>[Pedulli, Marco; Bisagni, James J.] Univ Massachusetts, Sch Marine Sci &amp; Technol, Fairhaven, MA 02719 USA; [Ducklow, Hugh W.] Columbia Univ, Lamont Doherty Earth Observ, Palisades, NY 10964 USA; [Beardsley, Robert] Woods Hole Oceanog Inst, Dept Phys Oceanog, Woods Hole, MA 02543 USA; [Pilskaln, Cynthia] Univ Massachusetts, Sch Marine Sci &amp; Technol, New Bedford, MA 02744 USA</t>
  </si>
  <si>
    <t>Columbia University; Woods Hole Oceanographic Institution; University of Massachusetts System</t>
  </si>
  <si>
    <t>Pedulli, M (corresponding author), Univ Massachusetts, Sch Marine Sci &amp; Technol, 200 Mill Rd,Ste 325, Fairhaven, MA 02719 USA.</t>
  </si>
  <si>
    <t>mpedulli@umassd.edu</t>
  </si>
  <si>
    <t>U.S. Southern Ocean GLOBEC Pan Regional Synthesis - NSF [OCE 0814391]; NSF [OPP9011927, 9632763, 0823101]; Directorate For Geosciences [9632763] Funding Source: National Science Foundation; Division Of Polar Programs; Directorate For Geosciences [1344502] Funding Source: National Science Foundation; Office of Polar Programs (OPP) [9632763] Funding Source: National Science Foundation</t>
  </si>
  <si>
    <t>U.S. Southern Ocean GLOBEC Pan Regional Synthesis - NSF; NSF(National Science Foundation (NSF)); Directorate For Geosciences(National Science Foundation (NSF)NSF - Directorate for Geosciences (GEO)); Division Of Polar Programs; Directorate For Geosciences(National Science Foundation (NSF)NSF - Directorate for Geosciences (GEO)); Office of Polar Programs (OPP)(National Science Foundation (NSF)NSF - Directorate for Geosciences (GEO))</t>
  </si>
  <si>
    <t>This study is part of the U.S. Southern Ocean GLOBEC Pan Regional Synthesis project funded by the NSF (OCE 0814391). Support for data collection was provided by NSF Awards OPP9011927, 9632763 and 0823101 (Palmer LTER). Massachusetts Space Grant Consortium and School For Marine Science and Technology (SMAST) UMASS Dartmouth are acknowledged for partly sponsoring this research. Special thanks go to Maria Vernet, Oscar Schofield, Walker Smith, Mike Dinniman, Andrea Pinones, Andrew Thomas and Eileen Hofmann for their discussions and input on the study. The authors would also like to acknowledge the anonymous reviewers for their input</t>
  </si>
  <si>
    <t>0278-4343</t>
  </si>
  <si>
    <t>1873-6955</t>
  </si>
  <si>
    <t>CONT SHELF RES</t>
  </si>
  <si>
    <t>Cont. Shelf Res.</t>
  </si>
  <si>
    <t>10.1016/j.csr.2014.05.011</t>
  </si>
  <si>
    <t>AM2QP</t>
  </si>
  <si>
    <t>WOS:000339696200006</t>
  </si>
  <si>
    <t>Coscia, MR; Simoniello, P; Giacomelli, S; Oreste, U; Motta, CM</t>
  </si>
  <si>
    <t>Coscia, Maria Rosaria; Simoniello, Palma; Giacomelli, Stefano; Oreste, Umberto; Motta, Chiara Maria</t>
  </si>
  <si>
    <t>Investigation of immunoglobulins in skin of the Antarctic teleost Trematomus bernacchii</t>
  </si>
  <si>
    <t>FISH &amp; SHELLFISH IMMUNOLOGY</t>
  </si>
  <si>
    <t>Skin immunity; Cutaneous mucus; Teleost IgM; Immunohistochemistry; In situ hybridization</t>
  </si>
  <si>
    <t>CARP CYPRINUS-CARPIO; FLOUNDER PARALICHTHYS-OLIVACEUS; RAINBOW-TROUT; SERUM IMMUNOGLOBULIN; IMMUNE-RESPONSES; ATLANTIC SALMON; CUTANEOUS MUCUS; FOLLICLE CELLS; B-CELLS; FISH</t>
  </si>
  <si>
    <t>The presence and production of IgM in the skin of the Antarctic teleost Trematomus bernacchii were investigated in this study. Immunoglobulins purified from cutaneous mucus and analysed by SDS-PAGE run under non-reducing and reducing conditions, were composed of heavy and light chains of 78 kDa and 25 kDa respectively, with a relative molecular mass of 830 kDa indicating that mucus IgM are tetramers as the serum IgM. Mature transcripts encoding the constant domains of both the secretory and membrane-bound Ig mu chain were seen in T. bernacchii skin using a PCR strategy and the expression of the secretory Ig mu chain in the skin was compared with that in other tissues by Real-time PCR. Cytological investigations revealed the presence of either immunoglobulins or their transcripts in occasional lymphocytes distributed close to the basal membrane. IgM once produced here, enters the filament-containing cells and is released into the mucus when these cells degenerate and detach from the epidermis. Our findings indicate that a cutaneous defence mechanism, functioning as anatomical and physiological barrier under subzero conditions, is present in this Antarctic species as an important component of the immune system. (C) 2014 Elsevier Ltd. All rights reserved.</t>
  </si>
  <si>
    <t>[Coscia, Maria Rosaria; Giacomelli, Stefano; Oreste, Umberto] CNR, Inst Prot Biochem, I-80131 Naples, Italy; [Simoniello, Palma; Motta, Chiara Maria] Univ Naples Federico II, Dept Biol Sci, I-80134 Naples, Italy; [Simoniello, Palma] GSI Helmholtzzentrum Schwerionenforsch, Darmstadt, Germany</t>
  </si>
  <si>
    <t>Consiglio Nazionale delle Ricerche (CNR); Istituto di Biochimica delle Proteine (IBP-CNR); University of Naples Federico II; Helmholtz Association; GSI Helmholtz-Center for Heavy Ion Research</t>
  </si>
  <si>
    <t>Coscia, MR (corresponding author), CNR, Inst Prot Biochem, Via P Castellino 111, I-80131 Naples, Italy.</t>
  </si>
  <si>
    <t>mr.coscia@ibp.cnr.it</t>
  </si>
  <si>
    <t>Coscia, Maria Rosaria/AAU-1808-2021; maria, Motta chiara/K-1426-2019</t>
  </si>
  <si>
    <t>Giacomelli, Stefano/0000-0001-7705-0338; Simoniello, Palma/0000-0003-2888-2642; motta, chiara maria/0000-0003-1035-0664</t>
  </si>
  <si>
    <t>Italian National Program for Antarctic Research [PEA2009/A1.12]</t>
  </si>
  <si>
    <t>Italian National Program for Antarctic Research</t>
  </si>
  <si>
    <t>We acknowledge Prof. Giacomo Zaccone (Universita degli Studi di Messina, Italy) for kindly providing us with bibliographic information. This work was supported by grant PEA2009/A1.12 from the Italian National Program for Antarctic Research.</t>
  </si>
  <si>
    <t>1050-4648</t>
  </si>
  <si>
    <t>1095-9947</t>
  </si>
  <si>
    <t>FISH SHELLFISH IMMUN</t>
  </si>
  <si>
    <t>Fish Shellfish Immunol.</t>
  </si>
  <si>
    <t>10.1016/j.fsi.2014.04.019</t>
  </si>
  <si>
    <t>Fisheries; Immunology; Marine &amp; Freshwater Biology; Veterinary Sciences</t>
  </si>
  <si>
    <t>AM3SL</t>
  </si>
  <si>
    <t>WOS:000339773000012</t>
  </si>
  <si>
    <t>Butcher, JT; Johnson, T; Beers, J; Columbus, L; Isakson, BE</t>
  </si>
  <si>
    <t>Butcher, Joshua T.; Johnson, Tyler; Beers, Jody; Columbus, Linda; Isakson, Brant E.</t>
  </si>
  <si>
    <t>Hemoglobin α in the blood vessel wall</t>
  </si>
  <si>
    <t>FREE RADICAL BIOLOGY AND MEDICINE</t>
  </si>
  <si>
    <t>Hemoglobin; Hemoglobin alpha; alpha-Thalassemia; Myoendothelial junction; Cytochrome b(5) reductase 3; Nitric oxide; Free radicals</t>
  </si>
  <si>
    <t>NITRIC-OXIDE SYNTHASE; FISH CHAENOCEPHALUS-ACERATUS; HOMOZYGOUS ALPHA-THALASSEMIA-1; ANTARCTIC ICEFISHES; S-NITROSYLATION; SMALL ARTERIES; GLOBIN GENE; H DISEASE; RED; CELL</t>
  </si>
  <si>
    <t>Hemoglobin has been studied and well characterized in red blood cells for over 100 years. However, new work has indicated that the hemoglobin alpha subunit (Hb alpha) is also found within the blood vessel wall, where it appears to localize at the myoendothelial junction (MEJ) and plays a role in regulating nitric oxide (NO) signaling between endothelium and smooth muscle. This discovery has created a new paradigm for the control of endothelial nitric oxide synthase activity, nitric oxide diffusion, and, ultimately, vascular tone and blood pressure. This review discusses the current knowledge of hemoglobin's properties as a gas exchange molecule in the bloodstream and extrapolates the properties of Hb alpha biology to the MEJ signaling domain. Specifically, we propose that Hb alpha is present at the MEJ to regulate NO release and diffusion in a restricted physical space, which would have powerful implications for the regulation of blood flow in peripheral resistance arteries. (C) 2014 The Authors. Published by Elsevier Inc. This is an open access article under the CC BY-NC-ND license.</t>
  </si>
  <si>
    <t>[Butcher, Joshua T.; Johnson, Tyler; Isakson, Brant E.] Univ Virginia, Robert M Berne Cardiovasc Res Ctr, Charlottesville, VA 22908 USA; [Beers, Jody] Stanford Univ, Hopkins Marine Stn, Pacific Grove, CA 93950 USA; [Columbus, Linda] Univ Virginia, Dept Chem, Charlottesville, VA 22908 USA; [Isakson, Brant E.] Univ Virginia, Sch Med, Dept Mol Physiol &amp; Biophys, Charlottesville, VA 22908 USA</t>
  </si>
  <si>
    <t>University of Virginia; Stanford University; University of Virginia; University of Virginia</t>
  </si>
  <si>
    <t>Isakson, BE (corresponding author), Univ Virginia, Sch Med, Robert M Berne Cardiovasc Res Ctr, POB 801394, Charlottesville, VA 22908 USA.</t>
  </si>
  <si>
    <t>brant@virginia.edu</t>
  </si>
  <si>
    <t>Butcher, Joshua/ABH-7212-2022; Columbus, Linda/F-5877-2010</t>
  </si>
  <si>
    <t>Butcher, Joshua/0000-0002-7341-1949; Columbus, Linda/0000-0002-2574-0561</t>
  </si>
  <si>
    <t>National Institutes of Health [HL088554, HL107963]</t>
  </si>
  <si>
    <t>National Institutes of Health(United States Department of Health &amp; Human ServicesNational Institutes of Health (NIH) - USA)</t>
  </si>
  <si>
    <t>This work was supported by National Institutes of Health Grants HL088554 (B.E.I.) and HL107963 (B.E.I.).</t>
  </si>
  <si>
    <t>360 PARK AVE SOUTH, NEW YORK, NY 10010-1710 USA</t>
  </si>
  <si>
    <t>0891-5849</t>
  </si>
  <si>
    <t>1873-4596</t>
  </si>
  <si>
    <t>FREE RADICAL BIO MED</t>
  </si>
  <si>
    <t>Free Radic. Biol. Med.</t>
  </si>
  <si>
    <t>10.1016/j.freeradbiomed.2014.04.019</t>
  </si>
  <si>
    <t>Biochemistry &amp; Molecular Biology; Endocrinology &amp; Metabolism</t>
  </si>
  <si>
    <t>AM2QJ</t>
  </si>
  <si>
    <t>WOS:000339695600015</t>
  </si>
  <si>
    <t>Hujslová, M; Kubátová, A; Kostovcík, M; Blanchette, RA; de Beer, ZW; Chudícková, M; Kolarík, M</t>
  </si>
  <si>
    <t>Hujslova, Martina; Kubatova, Alena; Kostovcik, Martin; Blanchette, Robert A.; de Beer, Z. Wilhelm; Chudickova, Milada; Kolarik, Miroslav</t>
  </si>
  <si>
    <t>Three new genera of fungi from extremely acidic soils</t>
  </si>
  <si>
    <t>MYCOLOGICAL PROGRESS</t>
  </si>
  <si>
    <t>Amplistromataceae; Micromycetes; Acidophilic; Acidomyces; Acidiella; Helotiales</t>
  </si>
  <si>
    <t>TINTO-RIVER; GEN. NOV; DIVERSITY</t>
  </si>
  <si>
    <t>Extremely acidic soils (pH &lt; 3) harbour poorly diversified mycobiota that are very different from less acidic habitats. During investigations of the mycobiota from several highly acidic soils in the Czech Republic and a coastal site in the Antarctic Peninsula, a group of hyaline fungal isolates was obtained. Based on phenotype and nuclear ribosomal DNA sequences (ITS region, SSU, LSU), the isolates belonged to three phylogenetic lineages within two different classes, Sordariomycetes and Leotiomycetes (Pezizomycotina, Ascomycota). The first lineage is described here as a new genus and species Acidothrix acidophila gen. nov. et sp. nov. (Amplistromataceae, Sordariomycetes, Ascomycota). The most closely related species to this new clade are wood-inhabiting fungi. The isolates belonging to the second and the third lineages are also described as two new genera and species Acidea extrema gen. nov. et sp. nov. and Soosiella minima gen. nov. et sp. nov. (Helotiales, Leotiomycetes, Ascomycota). Their position and the relationships within Helotiales are discussed. Soosiella minima was acidotolerant, Acidothrix acidophila and Acidea extrema exhibited both acidotolerant and acidophilic characteristics. All the species were slightly halophilic. The adaptation of hyaline fungi from mesophilic lineages to highly acidic environments has been revealed. The association between highly acidic and Antarctic habitats is discussed.</t>
  </si>
  <si>
    <t>[Hujslova, Martina; Kubatova, Alena] Charles Univ Prague, Fac Sci, Dept Bot, CZ-12801 Prague 2, Czech Republic; [Hujslova, Martina; Kostovcik, Martin; Chudickova, Milada; Kolarik, Miroslav] Acad Sci Czech Republ, Inst Microbiol, Vvi, CZ-14220 Prague 4, Czech Republic; [Kostovcik, Martin] Charles Univ Prague, Fac Sci, Dept Genet &amp; Microbiol, CZ-12844 Prague 2, Czech Republic; [Blanchette, Robert A.] Univ Minnesota, Dept Plant Pathol, St Paul, MN 55108 USA; [de Beer, Z. Wilhelm] Univ Pretoria, FABI, Dept Microbiol &amp; Plant Pathol, ZA-0002 Pretoria, South Africa</t>
  </si>
  <si>
    <t>Charles University Prague; Czech Academy of Sciences; Institute of Microbiology of the Czech Academy of Sciences; Charles University Prague; University of Minnesota System; University of Minnesota Twin Cities; University of Pretoria</t>
  </si>
  <si>
    <t>Hujslová, M (corresponding author), Charles Univ Prague, Fac Sci, Dept Bot, Benatska 2, CZ-12801 Prague 2, Czech Republic.</t>
  </si>
  <si>
    <t>pinkponk@seznam.cz</t>
  </si>
  <si>
    <t>de Beer, Wilhelm/AAK-9266-2020; de Beer, Z. Wilhelm/O-3194-2019; Kostovcik, Martin/H-2663-2014; Hujslova, Martina/K-8097-2014; Kubatova, Alena/D-7918-2016; Kolarik, Miroslav/A-1680-2008</t>
  </si>
  <si>
    <t>de Beer, Z. Wilhelm/0000-0001-9758-8987; Blanchette, Robert A./0000-0003-2819-6511; Kubatova, Alena/0000-0002-2837-1087; Kolarik, Miroslav/0000-0003-4016-0335</t>
  </si>
  <si>
    <t>Grant Agency of the Charles University in Prague [63009]; Czech Institutional Research Concept [AV0Z5020903]; National Science Foundation [0537143]; Directorate For Geosciences; Division Of Polar Programs [0537143] Funding Source: National Science Foundation</t>
  </si>
  <si>
    <t>Grant Agency of the Charles University in Prague; Czech Institutional Research Concept; National Science Foundation(National Science Foundation (NSF)); Directorate For Geosciences; Division Of Polar Programs(National Science Foundation (NSF)NSF - Directorate for Geosciences (GEO))</t>
  </si>
  <si>
    <t>This work was supported by the Grant Agency of the Charles University in Prague (project No. 63009), by Czech Institutional Research Concept (No. AV0Z5020903), and by the institutional resources of the Ministry of Education, Youth and Sports of the Czech Republic. We thank the staff of Soos National Natural Reserve and Sedlecky kaolin a. s. for the permission to sample. We are grateful to Ota Rauch for the selection of localities and Radek Pelc for technical assistance. Research in Antarctica was supported by National Science Foundation Grant No. 0537143 to RAB. We would like to thank the British Antarctic Survey (BAS) and the crew of the HMS Endurance for facilitating travel to sites on the Antarctic Peninsula and Dr. Brett Arenz for his work to collect isolates on Snow Hill Island. The senior author also acknowledges the Forestry and Agricultural Biotechnology Institute (FABI) at the University of Pretoria, South Africa, for support during a sabbatical visit to the Institute.</t>
  </si>
  <si>
    <t>1617-416X</t>
  </si>
  <si>
    <t>1861-8952</t>
  </si>
  <si>
    <t>MYCOL PROG</t>
  </si>
  <si>
    <t>Mycol. Prog.</t>
  </si>
  <si>
    <t>10.1007/s11557-014-0965-3</t>
  </si>
  <si>
    <t>Mycology</t>
  </si>
  <si>
    <t>AM4GT</t>
  </si>
  <si>
    <t>WOS:000339812200033</t>
  </si>
  <si>
    <t>Tang, MAK; Motoshima, H; Watanabe, K</t>
  </si>
  <si>
    <t>Tang, Md. Abul Kashem; Motoshima, Hiroyuki; Watanabe, Keiichi</t>
  </si>
  <si>
    <t>Cold Adaptation: Structural and Functional Characterizations of Psychrophilic and Mesophilic Acetate Kinase</t>
  </si>
  <si>
    <t>PROTEIN JOURNAL</t>
  </si>
  <si>
    <t>Acetate kinase; Cold adaptation; Flexibility; Psychrophilic enzyme; Shewanella</t>
  </si>
  <si>
    <t>ACTIVE CITRATE SYNTHASE; METHANOSARCINA-THERMOPHILA; ANTARCTIC BACTERIUM; DIRECTED EVOLUTION; LOCAL FLEXIBILITY; ESCHERICHIA-COLI; ACETYL PHOSPHATE; ADAPTED ENZYMES; CLONING; PURIFICATION</t>
  </si>
  <si>
    <t>Acetate kinase catalyzes the reversible magnesium-dependent phosphoryl transfer from ATP to acetate to form acetyl phosphate and ADP. Here, we report functional and some structural properties of cold-adapted psychrotrophic enzyme; acetate kinase with those from mesophilic counterpart in Escherichia coli K-12. Recombinant acetate kinase from Shewanella sp. AS-11 (SAK) and E. coli K-12 (EAK) were purified to homogeneity following affinity chromatography and followed by Super Q column chromatography as reported before [44]. Both purified enzymes are shared some of the common properties such as (similar molecular mass, amino acid sequence and similar optimum pH), but characterized shift in the apparent optimum temperature of specific activity to lower temperature as well as by a lower thermal stability compared with EAK. The functional comparisons reveal that SAK is a cold adapted enzyme, having a higher affinity to acetate than EAK. In the acetyl phosphate and ADP-forming direction, the catalytic efficiency (k (cat)/K (m)) for acetate was 8.0 times higher for SAK than EAK at 10 A degrees C. The activity ratio of SAK to EAK was increased with decreasing temperature in both of the forward and backward reactions. Furthermore, the activation energy, enthalpy and entropy in both reaction directions that catalyzed by SAK were lower than those catalyzed by EAK. The model structure of SAK showed the significantly reduced numbers of salt bridges and cation-pi interactions as compared with EAK. These results suggest that weakening of intramolecular electrostatic interactions of SAK is involved in a more flexible structure which is likely to be responsible for its cold adaptation.</t>
  </si>
  <si>
    <t>[Tang, Md. Abul Kashem] Islamic Univ, Dept Appl Nutr &amp; Food Technol, Kushtia 7003, Bangladesh; [Motoshima, Hiroyuki; Watanabe, Keiichi] Saga Univ, Dept Appl Biochem &amp; Food Sci, Saga 840, Japan</t>
  </si>
  <si>
    <t>Islamic University; Saga University</t>
  </si>
  <si>
    <t>Tang, MAK (corresponding author), Islamic Univ, Dept Appl Nutr &amp; Food Technol, Kushtia 7003, Bangladesh.</t>
  </si>
  <si>
    <t>makashemsa@gmail.com</t>
  </si>
  <si>
    <t>1572-3887</t>
  </si>
  <si>
    <t>1573-4943</t>
  </si>
  <si>
    <t>PROTEIN J</t>
  </si>
  <si>
    <t>Protein J.</t>
  </si>
  <si>
    <t>10.1007/s10930-014-9562-1</t>
  </si>
  <si>
    <t>AM5LZ</t>
  </si>
  <si>
    <t>WOS:000339901900002</t>
  </si>
  <si>
    <t>Suganuma, Y; Miura, H; Zondervan, A; Okuno, J</t>
  </si>
  <si>
    <t>Suganuma, Yusuke; Miura, Hideki; Zondervan, Albert; Okuno, Jun'ichi</t>
  </si>
  <si>
    <t>East Antarctic deglaciation and the link to global cooling during the Quaternary: evidence from glacial geomorphology and 10Be surface exposure dating of the Sor Rondane Mountains, Dronning Maud Land</t>
  </si>
  <si>
    <t>Quaternary; East Antarctic Ice Sheet; Surface exposure dating; Beryllium-10; Glacial isostatic adjustment (GIA); Southern Ocean</t>
  </si>
  <si>
    <t>COSMOGENIC NUCLIDES DOCUMENT; NORTHERN VICTORIA LAND; SEA-LEVEL CHANGE; ICE-SHEET; ISOSTATIC-ADJUSTMENT; PRODUCTION-RATES; DRY-VALLEYS; HISTORY; EROSION; PLEISTOCENE</t>
  </si>
  <si>
    <t>Reconstructing past variability of the Antarctic ice sheets is essential to understand their stability and to anticipate their contribution to sea level change as a result of future climate change. Recent studies have reported a significant decrease in thickness of the East Antarctic Ice Sheet (EAIS) during the last several million years. However, the geographical extent of this decrease and subsequent isostatic rebound remain uncertain. In this study, we reconstruct the magnitude and timing of ice sheet retreat at the Sor Rondane Mountains in Dronning Maud Land, East Antarctica, based on detailed geomorphological survey, cosmogenic exposure dating, and glacial isostatic adjustment modeling. Three distinct deglaciation phases are identified for this sector during the Quaternary, based on rock weathering and Be-10 surface exposure data. We estimate that the ice sheet thinned by at least 500 m during the Pleistocene. This thinning is attributed to the reorganization of Southern Ocean circulation associated with global cooling into the Pleistocene, which reduced the transport of moisture from the Southern Ocean to the interior of EAIS. The data also show that since the Last Glacial Maximum the ice surface has lowered less than ca 50 m and that this lowering probably started after ca 14 ka. This suggests that the EAIS in Dronning Maud Land is unlikely to have been a major contributor to postglacial sea-level rise and Meltwater pulse 1A. (C) 2014 The Authors. Published by Elsevier Ltd. This is an open access article under the CC BY-NC-SA license (http://creativecommons.org/licenses/by-nc-sa/3.0/).</t>
  </si>
  <si>
    <t>[Suganuma, Yusuke; Miura, Hideki; Okuno, Jun'ichi] Natl Inst Polar Res, Tachikawa, Tokyo 1908518, Japan; [Suganuma, Yusuke; Miura, Hideki] Grad Univ Adv Studies, Sch Multidiscip Sci, Dept Polar Sci, Tachikawa, Tokyo 1908518, Japan; [Zondervan, Albert] Natl Isotope Ctr, GNS Sci, Lower Hutt 5010, New Zealand; [Okuno, Jun'ichi] JAMSTEC, Yokohama, Kanagawa 2360001, Japan</t>
  </si>
  <si>
    <t>Research Organization of Information &amp; Systems (ROIS); National Institute of Polar Research (NIPR) - Japan; Graduate University for Advanced Studies - Japan; GNS Science - New Zealand; Japan Agency for Marine-Earth Science &amp; Technology (JAMSTEC)</t>
  </si>
  <si>
    <t>Suganuma, Y (corresponding author), Natl Inst Polar Res, 10-3 Midoricho, Tachikawa, Tokyo 1908518, Japan.</t>
  </si>
  <si>
    <t>suganuma.yusuke@nipr.ac.jp</t>
  </si>
  <si>
    <t>suganuma, yusuke/0000-0003-3516-1317</t>
  </si>
  <si>
    <t>Japanese Antarctic Research Expedition; JSPS Kakenhi [21253001, 21674003, 20300294, 00344614]; Sumitomo Foundation [093491]; Sasakawa Scientific Research Grant [JSS-21-334]; Center for the Promotion of Integrated Sciences (CPIS) of Sokendai; NIPR [KP-1]; Grants-in-Aid for Scientific Research [20300294, 21253001] Funding Source: KAKEN</t>
  </si>
  <si>
    <t>Japanese Antarctic Research Expedition; JSPS Kakenhi(Ministry of Education, Culture, Sports, Science and Technology, Japan (MEXT)Japan Society for the Promotion of ScienceGrants-in-Aid for Scientific Research (KAKENHI)); Sumitomo Foundation; Sasakawa Scientific Research Grant; Center for the Promotion of Integrated Sciences (CPIS) of Sokendai(Graduate University for Advanced Studies - Japan); NIPR(National Institute of Polar Research (NIPR) - Japan); Grants-in-Aid for Scientific Research(Ministry of Education, Culture, Sports, Science and Technology, Japan (MEXT)Japan Society for the Promotion of ScienceGrants-in-Aid for Scientific Research (KAKENHI))</t>
  </si>
  <si>
    <t>We are grateful for the constructive comments of Jon Harbor and a second anonymous reviewer. The study was supported by the Japanese Antarctic Research Expedition and partially funded by JSPS Kakenhi (21253001, 21674003, 20300294, and 00344614), the Sumitomo Foundation (093491), a Sasakawa Scientific Research Grant (JSS-21-334), the Center for the Promotion of Integrated Sciences (CPIS) of Sokendai, and NIPR through Advanced Project (KP-1). The production of this paper was supported by an NIPR publication subsidy. We thank Alan Hubert, Gigi, and all members at PE station (Belgium). We are also grateful for the help given by Mark Quigley at the University of Canterbury, New Zealand.</t>
  </si>
  <si>
    <t>10.1016/j.quascirev.2014.05.007</t>
  </si>
  <si>
    <t>AM2RX</t>
  </si>
  <si>
    <t>WOS:000339699600006</t>
  </si>
  <si>
    <t>Dowling, CB; Poreda, RJ; Lyons, WB</t>
  </si>
  <si>
    <t>Dowling, Carolyn B.; Poreda, Robert J.; Lyons, W. Berry</t>
  </si>
  <si>
    <t>The effects of high meltwater on the limnology of Lake Fryxell and Lake Hoare, Taylor Valley, Antarctica, as shown by dissolved gas, tritium and chlorofluorocarbons</t>
  </si>
  <si>
    <t>ANTARCTIC SCIENCE</t>
  </si>
  <si>
    <t>aqueous geochemistry; density currents; McMurdo Dry Valleys; physical limnology</t>
  </si>
  <si>
    <t>MCMURDO DRY VALLEYS; HYDROLOGIC TRACERS; STREAMS; SYSTEM; PHYTOPLANKTON; GEOCHEMISTRY; EVOLUTION; REGION</t>
  </si>
  <si>
    <t>Small changes in the availability of liquid water can have profound effects on the water levels, aqueous chemistry and biogeochemical dynamics of the closed-basin, perennially ice-covered lakes of the McMurdo Dry Valleys, Antarctica. We have compiled the published and unpublished data on dissolved gas, tritium and chlorofluorocarbons (CFCs) for Lake Fryxell and Lake Hoare to determine the effects of a high meltwater year (2001-02 summer) on the lakes. The dissolved gas, tritium and CFC data indicate that the pulse of freshwater that flowed onto the surfaces of the lakes did not mix extensively with the upper water column. At the bottom of Lake Hoare, the measurable CFC and lower dissolved gas values suggest that the recent meltwater may have mixed with bottom waters. The probable mechanism for this transportation is weak density currents with c. 0.1-1.5% surface water being transported downwards in Lake Hoare. This deep water input, while not constant, may have a significant effect on the chemistry of the bottom waters in Lake Hoare over time. In Lake Fryxell, the tritium and CFC data indicate that the recent meltwater did not significantly affect the bottom water chemistry; therefore, weak density currents may not be present in Lake Fryxell.</t>
  </si>
  <si>
    <t>[Dowling, Carolyn B.] Ball State Univ, Dept Geol Sci, Muncie, IN 47304 USA; [Poreda, Robert J.] Univ Rochester, Dept Earth &amp; Environm Sci, Rochester, NY 14627 USA; [Lyons, W. Berry] Ohio State Univ, Byrd Polar Res Ctr, Columbus, OH 43210 USA</t>
  </si>
  <si>
    <t>Ball State University; University of Rochester; University System of Ohio; Ohio State University</t>
  </si>
  <si>
    <t>Dowling, CB (corresponding author), Ball State Univ, Dept Geol Sci, 2000 W Univ Ave, Muncie, IN 47304 USA.</t>
  </si>
  <si>
    <t>cbdowling@bsu.edu</t>
  </si>
  <si>
    <t>National Science Foundation [OPP-0087915, OPP-9813061]; Directorate For Geosciences; Office of Polar Programs (OPP) [1115245] Funding Source: National Science Foundation</t>
  </si>
  <si>
    <t>We thank Peter Cable and Timothy Fitzgibbon for their assistance in the field, and Kathy Welch and Thomas Darrah for their assistance in the laboratory. Financial support was provided by National Science Foundation grants (OPP-0087915 and OPP-9813061), and logistical support was provided by Raytheon Polar Services. The constructive comments of the reviewers are also gratefully acknowledged.</t>
  </si>
  <si>
    <t>0954-1020</t>
  </si>
  <si>
    <t>1365-2079</t>
  </si>
  <si>
    <t>ANTARCT SCI</t>
  </si>
  <si>
    <t>Antarct. Sci.</t>
  </si>
  <si>
    <t>10.1017/S095410201300062X</t>
  </si>
  <si>
    <t>Environmental Sciences; Geography, Physical; Geosciences, Multidisciplinary</t>
  </si>
  <si>
    <t>Environmental Sciences &amp; Ecology; Physical Geography; Geology</t>
  </si>
  <si>
    <t>AL8GX</t>
  </si>
  <si>
    <t>WOS:000339377300002</t>
  </si>
  <si>
    <t>Smith, RIL</t>
  </si>
  <si>
    <t>Smith, R. I. Lewis</t>
  </si>
  <si>
    <t>A fern cultured from Antarctic glacier detritus</t>
  </si>
  <si>
    <t>bryophytes; cryoconite; Elaphoglossum hybridum; long-distance dispersal; propagule banks; pteridophyte; South Orkney Islands</t>
  </si>
  <si>
    <t>SOUTH-SHETLAND-ISLANDS; TERRESTRIAL; MOSS; CONTINENT; DISPERSAL; POLLEN</t>
  </si>
  <si>
    <t>A fem, Elaphoglossum hybridum (Bory) Brack., has been cultured from mineral sediment in cryoconite holes in the ice cap of Signy Island, South Orkney Islands. Its provenance, mode of transport to its Maritime Antarctic destination and the significance of viable exotic propagules as potential colonists are discussed.</t>
  </si>
  <si>
    <t>Ctr Antarctic Plant Ecol &amp; Divers, Moffat DG10 9LB, Scotland</t>
  </si>
  <si>
    <t>Smith, RIL (corresponding author), Ctr Antarctic Plant Ecol &amp; Divers, Alton Rd, Moffat DG10 9LB, Scotland.</t>
  </si>
  <si>
    <t>rils1@o2.co.uk</t>
  </si>
  <si>
    <t>10.1017/S0954102013000606</t>
  </si>
  <si>
    <t>WOS:000339377300003</t>
  </si>
  <si>
    <t>Gallego, R; Lavery, S; Sewell, MA</t>
  </si>
  <si>
    <t>Gallego, R.; Lavery, S.; Sewell, M. A.</t>
  </si>
  <si>
    <t>The meroplankton community of the oceanic Ross Sea during late summer</t>
  </si>
  <si>
    <t>Antarctica; larvae; marine invertebrates; molecular identification; plankton</t>
  </si>
  <si>
    <t>SHALLOW ANTARCTIC WATERS; KING-GEORGE ISLAND; PELAGIC LARVAE; INVERTEBRATE LARVAE; BOTTOM INVERTEBRATES; MARINE-INVERTEBRATES; SEASONAL-VARIATION; SOUTHERN-OCEAN; ADMIRALTY BAY; MCMURDO SOUND</t>
  </si>
  <si>
    <t>Meroplankton community studies in the Antarctic have primarily focused on the coastal waters of both the Antarctic Peninsula and the Ross Sea. The New Zealand International Polar Year - Census of Antarctic Marine Life (IPY-CAML) voyage to the Ross Sea during the late summer (February-March) 2008 provided the first meroplankton samples from three regions in the deep, oceanic waters of the Ross Sea (shelf, slope and adjacent offshore Antarctic waters of Admiralty Seamount and Scott Island). We used a combined morphological and molecular approach to identify 36 larval operational taxonomic units based on sequences from three loci (16S, 18S, COI), and exclude early developmental stages of holoplankton. Overall, larval abundance was lower than previous Antarctic studies (5.19 specimens per 100 m(3)), with larvae most abundant in the first 200 m of the water column and most diverse in the shelf region. Multivariate analysis revealed significant differences in the meroplankton community between regions and depth ranges, but with low similarity within these groupings; differences between water masses were undetectable due to the confounding effect with both region and depth. The influence of nearby benthic populations (e. g. the acorn barnacle Bathylasma corolliforme) and/or locally abundant taxa (e. g. the nudibranch Tergipes antarcticus) was evident in the meroplankton community.</t>
  </si>
  <si>
    <t>[Gallego, R.; Lavery, S.; Sewell, M. A.] Univ Auckland, Sch Biol Sci, Auckland Mail Ctr, Auckland 1142, New Zealand</t>
  </si>
  <si>
    <t>Gallego, R (corresponding author), Univ Auckland, Sch Biol Sci, Auckland Mail Ctr, Private Bag 92019, Auckland 1142, New Zealand.</t>
  </si>
  <si>
    <t>ramongallego-simon@auckland.ac.nz</t>
  </si>
  <si>
    <t>Sewell, Mary A/C-9017-2009; Gallego, Ramon/AAA-6840-2020; Lavery, Shane/AFX-7929-2022</t>
  </si>
  <si>
    <t>Sewell, Mary A/0000-0002-1595-7951; Gallego, Ramon/0000-0003-4990-9648; Lavery, Shane/0000-0003-3038-292X</t>
  </si>
  <si>
    <t>New Zealand Government under the New Zealand International Polar Year - Census of Antarctic Marine Life project [So001IPY]; Ministry of Fisheries Science Team; Ocean Survey</t>
  </si>
  <si>
    <t>New Zealand Government under the New Zealand International Polar Year - Census of Antarctic Marine Life project; Ministry of Fisheries Science Team; Ocean Survey</t>
  </si>
  <si>
    <t>We would like to thank all the crew of the RV Tangaroa during the IPY- CAML voyage and especially Dr Julie Hall and Lisa Bryant for collection of the samples. We also want to thank Dr Dorothea Heimeier for advice and help on molecular identification, Michael Hudson for help in sample sorting, and Dr Brian McArdle for statistical advice. This research was partially funded by the New Zealand Government under the New Zealand International Polar Year - Census of Antarctic Marine Life project (Phase 1: So001IPY; Phase 2: IPY2007- 01). We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Atmosphere Ltd). DNA sequencing was funded by the Antarctic Science Bursary, Antarctic Science Ltd and the University of Auckland. We thank two anonymous reviewers for their insightful comments that greatly improved the quality of the final manuscript.</t>
  </si>
  <si>
    <t>10.1017/S0954102013000795</t>
  </si>
  <si>
    <t>WOS:000339377300004</t>
  </si>
  <si>
    <t>Freidman, BL; Camenzuli, D; Lackie, M</t>
  </si>
  <si>
    <t>Freidman, Benjamin L.; Camenzuli, Danielle; Lackie, Mark</t>
  </si>
  <si>
    <t>Locating an ice-covered Antarctic landfill using ground magnetometry</t>
  </si>
  <si>
    <t>magnetic anomaly; proton magnetometer; steel drums; susceptibility; Wilkes</t>
  </si>
  <si>
    <t>WASTE LANDFILL; STATION; CONTAMINATION; SITE; REMEDIATION; CASEY; SOILS; DRUMS</t>
  </si>
  <si>
    <t>At former Antarctic research stations, legacy waste often remains in situ and concealed by ice. Consequently, the location, characteristics and potential environmental impact associated with legacy waste remains poorly documented. This study applies ground magnetometry to map the spatial extent of the landfill at the abandoned Wilkes Station. Magnetic anomalies indicate that the landfill extends north-west to south-east and is close to, and perhaps prograding into, the ocean. The landfill is characterized by large magnetic variations of &gt; 1500nT with asymmetrical magnetic anomalies which suggest variable orientations of material and random dumping. Magnetic susceptibilities &gt; 0.02 SI units beyond the landfill area reveal elevated magnetic properties of the basement geology. However, a contrast in anomaly shape reliably distinguishes large anomalies generated by landfill material. Surface and subsurface melt streams (observed at the shoreline) flowing from the survey area suggest elevated potential for metal contamination of the nearshore and marine environment. The survey demonstrates a cost-effective and non-invasive method for gathering information to guide the clean up of landfills beneath ice.</t>
  </si>
  <si>
    <t>[Freidman, Benjamin L.] Univ Melbourne, Dept Chem &amp; Biomol Engn, Parkville, Vic 3010, Australia; [Camenzuli, Danielle] Macquarie Univ, Dept Geog &amp; Environm, N Ryde, NSW 2109, Australia; [Lackie, Mark] Macquarie Univ, Dept Earth &amp; Planetary Sci, N Ryde, NSW 2109, Australia</t>
  </si>
  <si>
    <t>University of Melbourne; Macquarie University; Macquarie University</t>
  </si>
  <si>
    <t>Freidman, BL (corresponding author), Univ Melbourne, Dept Chem &amp; Biomol Engn, Parkville, Vic 3010, Australia.</t>
  </si>
  <si>
    <t>freidmanb@student.unimelb.edu.au</t>
  </si>
  <si>
    <t>Lackie, Mark/0000-0003-2722-9449; Toase, Danielle/0000-0003-2259-7883</t>
  </si>
  <si>
    <t>Australian Antarctic Science [4029]</t>
  </si>
  <si>
    <t>Australian Antarctic Science</t>
  </si>
  <si>
    <t>We thank Kathryn Mumford and Tom Statham for assistance in conducting the survey, Bill Burch for information regarding past activities at Wilkes, and Greg Hince, Dan Wilkins and the Australian Antarctic Division for logistical support. We also gratefully acknowledge the three anonymous reviewers for their valuable comments on an earlier version of this manuscript. This research was supported under Australian Antarctic Science Grant 4029.</t>
  </si>
  <si>
    <t>10.1017/S0954102013000953</t>
  </si>
  <si>
    <t>WOS:000339377300005</t>
  </si>
  <si>
    <t>Demay, J; Delord, K; Thiebot, JB; Barbraud, C</t>
  </si>
  <si>
    <t>Demay, Jeremie; Delord, Karine; Thiebot, Jean-Baptiste; Barbraud, Christophe</t>
  </si>
  <si>
    <t>Short note First breeding record of the northern giant petrel Macronectes halli at Ile Amsterdam</t>
  </si>
  <si>
    <t>INDIAN-OCEAN; ISLAND</t>
  </si>
  <si>
    <t>[Demay, Jeremie; Delord, Karine; Thiebot, Jean-Baptiste; Barbraud, Christophe] CNRS, UPR 1934, Ctr Etud Biol Chize, F-79360 Villiers En Bois, France; [Thiebot, Jean-Baptiste] Terres Australes &amp; Antarctiques Francaises, Reserve Nat Natl Terres Australes Francaises, St Denis 97410, Reunion, France; [Thiebot, Jean-Baptiste] Natl Inst Polar Res, Tachikawa, Tokyo 1908518, Japan</t>
  </si>
  <si>
    <t>Centre National de la Recherche Scientifique (CNRS); Research Organization of Information &amp; Systems (ROIS); National Institute of Polar Research (NIPR) - Japan</t>
  </si>
  <si>
    <t>Demay, J (corresponding author), CNRS, UPR 1934, Ctr Etud Biol Chize, F-79360 Villiers En Bois, France.</t>
  </si>
  <si>
    <t>jeremie.demay@gmail.com</t>
  </si>
  <si>
    <t>Barbraud, Christophe/A-5870-2012</t>
  </si>
  <si>
    <t>Barbraud, Christophe/0000-0003-0146-212X</t>
  </si>
  <si>
    <t>Institut Polaire Francais Paul- Emile Victor (IPEV) [109]; Terres Australes et Antarctiques Francaises (TAAF); Zone Atelier Antarctique (CNRS-INEE); Grants-in-Aid for Scientific Research [26840153] Funding Source: KAKEN</t>
  </si>
  <si>
    <t>Institut Polaire Francais Paul- Emile Victor (IPEV); Terres Australes et Antarctiques Francaises (TAAF); Zone Atelier Antarctique (CNRS-INEE); Grants-in-Aid for Scientific Research(Ministry of Education, Culture, Sports, Science and Technology, Japan (MEXT)Japan Society for the Promotion of ScienceGrants-in-Aid for Scientific Research (KAKENHI))</t>
  </si>
  <si>
    <t>The present work was supported financially and logistically by the Institut Polaire Francais Paul- Emile Victor (IPEV, program no. 109: resp. H. Weimerskirch), the Terres Australes et Antarctiques Francaises (TAAF) and the Zone Atelier Antarctique (CNRS-INEE). We are grateful to Hugues Fertin, Priscilla Conrad, and all the members of the 63rd and 64th missions on Ile Amsterdam for helping in the field. We thank the reviewers for their comments.</t>
  </si>
  <si>
    <t>10.1017/S0954102014000182</t>
  </si>
  <si>
    <t>WOS:000339377300006</t>
  </si>
  <si>
    <t>Sakala, J; Vodrázka, R</t>
  </si>
  <si>
    <t>Sakala, Jakub; Vodrazka, Radek</t>
  </si>
  <si>
    <t>A new species of Antarctoxylon: a contribution to the early angiosperm ecosystem of Antarctica during the late Cretaceous</t>
  </si>
  <si>
    <t>Coniacian; fossil heteroxylous wood; James Ross Island; scalariform perforation plates; wide rays</t>
  </si>
  <si>
    <t>GONDWANAN POLAR FORESTS; JAMES-ROSS-BASIN; BACK-ARC BASIN; FOSSIL WOOD; EARLY TERTIARY; LIVINGSTON ISLAND; WILLIAMS POINT; 1ST RECORD; ELEMENT; STRATIGRAPHY</t>
  </si>
  <si>
    <t>A new species of Antarctoxylon is described from the Coniacian Hidden Lake Formation of James Ross Island as A. mixai Sakala, sp. nov. This angiosperm fossil wood shows a unique combination of features in having indistinct growth ring boundaries, scalariform perforation plates with about 30 bars and rays both narrow (1-6-seriate) and very wide (up to 18-seriate). Its systematic affinities and exact living relative at the specific, generic or even familial level cannot be specified. Along with Weinmannioxylon nordenskjoeldii from James Ross Island and the angiosperm woods from the Williams Point on Livingston Island, this record provides further evidence of the earliest record of arboreal angiosperms in Antarctica.</t>
  </si>
  <si>
    <t>[Sakala, Jakub] Charles Univ Prague, Fac Sci, Inst Geol &amp; Palaeontol, Prague 12843, Czech Republic; [Vodrazka, Radek] Czech Geol Survey, Prague 11821, Czech Republic</t>
  </si>
  <si>
    <t>Charles University Prague; Czech Geological Survey</t>
  </si>
  <si>
    <t>Sakala, J (corresponding author), Charles Univ Prague, Fac Sci, Inst Geol &amp; Palaeontol, Albertov 6, Prague 12843, Czech Republic.</t>
  </si>
  <si>
    <t>rade@natur.cuni.cz</t>
  </si>
  <si>
    <t>Sakala, Jakub/P-7744-2017; Vodrazka, Radek/I-8801-2014</t>
  </si>
  <si>
    <t>Sakala, Jakub/0000-0001-8922-0832;</t>
  </si>
  <si>
    <t>Ministry of Environment of the Czech Republic [VaV SP II 1a9/23 07]; [MSM0021620855]; [PRVOUK P44]</t>
  </si>
  <si>
    <t>Ministry of Environment of the Czech Republic; ;</t>
  </si>
  <si>
    <t>We are grateful to Catherine Prive-Gill for help and valuable comments concerning the wood anatomy and to Imogen Poole for providing information on dating of the Williams Point material and discussion regarding the systematic affinity of our material. We are also indebted to Anais Boura for her assistance with Nikon Eclipse 80i microscope and to Jakub Prokop for his help with Helicon Focus software. Finally, our special thanks go to the British Antarctic Survey, especially to its former director Professor Nicholas Owens, for logistical help in transporting the fossil material from Antarctica to Europe. The manuscript was greatly improved by the thorough review of I. Poole and D. J. Cantrill. The field and laboratory work were undertaken with the financial support of Ministry of Environment of the Czech Republic, project no. VaV SP II 1a9/23 07. The research was also partly supported by the grants MSM0021620855 and PRVOUK P44.</t>
  </si>
  <si>
    <t>10.1017/S095410201300076X</t>
  </si>
  <si>
    <t>WOS:000339377300007</t>
  </si>
  <si>
    <t>Weihaupt, JG; Van Der Hoeven, FG; Lorius, C; Chambers, FB</t>
  </si>
  <si>
    <t>Weihaupt, John G.; Van Der Hoeven, Frans G.; Lorius, Claude; Chambers, Frederick B.</t>
  </si>
  <si>
    <t>Origin(s) of Antarctica's Wilkes Subglacial Basin</t>
  </si>
  <si>
    <t>climate; continental ice sheet; lithosphere; subglacial topography</t>
  </si>
  <si>
    <t>ICE-SHEET; EAST ANTARCTICA; CONTINENTAL-MARGIN; GRAVITY-ANOMALIES; RECORD; THICKNESS; TOPOGRAPHY; LANDSCAPE; EVOLUTION; SURFACE</t>
  </si>
  <si>
    <t>The Wilkes Subglacial Basin (WSB), the largest subglacial basin in East Antarctica, is a topographic depression of continental proportions that lies beneath the East Antarctic continental ice sheet. Discovered by the US Victoria Land Traverse 1959-60, the origin of the WSB and the influence of palaeoclimate on its overlying continental ice sheet have remained uncertain since the time of its discovery. Most explanations of origin favour lithospheric structural control as a function of tectonic activity. Lithospheric flexure due to thermally or isostatically induced uplift of the Transantarctic Mountains was suggested in the 1980s. Lithospheric extension and rifting was proposed in the 1990s. More recent investigations have revealed the presence of fold and thrust belts, casting doubt on flexural and extensional hypotheses as the primary mechanisms, suggesting instead a compressional scenario. While remaining inconclusive, these tectonic mechanisms in one form or another, or in combination, are now believed to have provided the structural control for the origin of the WSB. Not yet comprehensively examined, however, is the role of non-tectonic processes in the formation of the WSB, as they may have influenced the size, configuration, subglacial sedimentation and subglacial topography of the WSB. In this paper we review the tectonic hypotheses and examine post-tectonic climate change along with glacial and marine processes as potentially significant factors in the present condition and configuration of the WSB. In the process, we find that there are a number of features not included in previous investigations that may have been major factors in the modification of the subglacial basin.</t>
  </si>
  <si>
    <t>[Weihaupt, John G.] Univ Colorado, Dept Geol, Denver, CO 80202 USA; [Van Der Hoeven, Frans G.] Delft Univ Technol, Dept Geophys, Delft, Netherlands; [Lorius, Claude] Lab Glaciol &amp; Geophys Environm, Grenoble, France; [Chambers, Frederick B.] Univ Colorado, Dept Geog &amp; Environm Sci, Denver, CO 80202 USA</t>
  </si>
  <si>
    <t>University of Colorado System; University of Colorado Denver; Delft University of Technology; Communaute Universite Grenoble Alpes; Universite Grenoble Alpes (UGA); University of Colorado System; University of Colorado Denver</t>
  </si>
  <si>
    <t>Weihaupt, JG (corresponding author), Univ Colorado, Dept Geol, Denver, CO 80202 USA.</t>
  </si>
  <si>
    <t>john.weihaupt@ucdenver.edu</t>
  </si>
  <si>
    <t>Chambers, Frederick/AAD-2301-2021</t>
  </si>
  <si>
    <t>United States National Science Foundation; University of Colorado Denver; Delft University of Technology</t>
  </si>
  <si>
    <t>United States National Science Foundation(National Science Foundation (NSF)); University of Colorado Denver; Delft University of Technology</t>
  </si>
  <si>
    <t>We wish to thank colleagues who were members of the Victoria Land Traverse team, and who helped assure the success of that exploration. Among these are Alfred W. Stuart, William M. Smith, Arnold J. Heine, Louis Roberts, Alfred Taylor, Thomas Baldwin and Warren Jackman. We thank in particular readers of the paper, A. Vaughan, T. Hughes and T. Jordan who made very helpful suggestions, and who demonstrated a very professional and sincere willingness to be of assistance in the publication of this paper. We also wish to thank colleagues who kindly provided material for the figures, J. Bamber, L. Cafarella, H. Corr, F. Ferraccioli, P. Fretwell, A. Le Brocq and M. Siegert. Finally, we wish to thank the United States National Science Foundation for support of the original field investigations, the University of Colorado Denver, Delft University of Technology and the Laboratoire de Glaciologie et Geophysique de l'Environnement for resource and administrative support. We also thank the reviewers for their comments on the manuscript.</t>
  </si>
  <si>
    <t>10.1017/S0954102013000746</t>
  </si>
  <si>
    <t>WOS:000339377300008</t>
  </si>
  <si>
    <t>Cozzi, S</t>
  </si>
  <si>
    <t>Cozzi, Stefano</t>
  </si>
  <si>
    <t>Multiscale variability of ambient conditions, fast ice dynamics and biogeochemistry in the coastal zone of Victoria Land, Ross Sea</t>
  </si>
  <si>
    <t>budget; coastal waters; dissolved organic matter; meteorology; nutrients; Terra Nova Bay</t>
  </si>
  <si>
    <t>TERRA-NOVA BAY; ORGANIC-MATTER; HIGH-RESOLUTION; AUSTRAL SUMMER; MCMURDO SOUND; ANTARCTICA; COMMUNITIES; NUTRIENTS; WATERS; PROFILES</t>
  </si>
  <si>
    <t>Interannual and seasonal variability of the biogeochemical characteristics of fast ice were analysed in relation to ambient conditions, water column properties and ice biota. According to Zubov's Law, the annual atmospheric cooling should generate 2.5 m thick fast ice sheets in this coastal zone, but katabatic wind peaks in July-August often cause ice breakouts, resulting in highly variable growth periods (2-9 months) and thickness (1.0-2.5 m). In spring, atmospheric forcings significantly modulate brine content (5-20%) and drainage in fast ice, as well as salinity oscillations in bottom and platelet layers (15 psu). In the water column, the formation of nutrient-impoverished Summer Surface Waters is triggered by seawater warming (-1.9 to 0.7 degrees C), ice melting (0.03 m d(-1)) and pelagic production. Negative NO3 and SiO2 balances and positive NH4 balances (-41, -153 and +173 kg km(-2), respectively) were estimated in fast ice in spring, whereas nutrient budgets in the platelet layer are regulated by its variable level of isolation from seawater. The large accumulation of dissolved organic carbon (3890 kg km(-2)) in the ice system and its release in seawater in late spring are important features of the carbon cycle in these Antarctic coastal zones, with possible implications for the modulation of climate.</t>
  </si>
  <si>
    <t>CNR ISMAR, Ist Sci Marine, I-34123 Trieste, Italy</t>
  </si>
  <si>
    <t>Consiglio Nazionale delle Ricerche (CNR); Istituto di Scienze Marine (ISMAR-CNR)</t>
  </si>
  <si>
    <t>Cozzi, S (corresponding author), CNR ISMAR, Ist Sci Marine, Viale Romolo Gessi 2, I-34123 Trieste, Italy.</t>
  </si>
  <si>
    <t>stefano.cozzi@ts.ismar.cnr.it</t>
  </si>
  <si>
    <t>Cozzi, Stefano/G-1511-2011; CNR, Ismar/P-1247-2014</t>
  </si>
  <si>
    <t>Cozzi, Stefano/0000-0003-0116-742X; CNR, Ismar/0000-0001-5351-1486</t>
  </si>
  <si>
    <t>National Programme of Research in Antarctica (PNRA) of Italy</t>
  </si>
  <si>
    <t>This study was based on the field activity carried out during PIPEX, PIED and SEAROWS research projects, funded by the National Programme of Research in Antarctica (PNRA) of Italy. I would like to thank the logistic support of the Italian Mario Zucchelli Station and the colleagues involved in the field activity. I am also grateful to the reviewers for constructive comments on this paper.</t>
  </si>
  <si>
    <t>10.1017/S0954102013000813</t>
  </si>
  <si>
    <t>WOS:000339377300013</t>
  </si>
  <si>
    <t>Riis, T; Christoffersen, KS; Baattrup-Pedersen, A</t>
  </si>
  <si>
    <t>Riis, Tenna; Christoffersen, Kirsten S.; Baattrup-Pedersen, Annette</t>
  </si>
  <si>
    <t>Effects of warming on annual production and nutrient-use efficiency of aquatic mosses in a high Arctic lake</t>
  </si>
  <si>
    <t>FRESHWATER BIOLOGY</t>
  </si>
  <si>
    <t>aquatic moss; global warming; high Arctic; lake primary production; nutrient-use efficiency</t>
  </si>
  <si>
    <t>FLUITANS HEDW. LOESKE; GROWTH-RATE; NITROGEN; BRYOPHYTES; RESORPTION; PHOTOSYNTHESIS; TEMPERATURE; MACROPHYTES; CLIMATE; LEAVES</t>
  </si>
  <si>
    <t>1. Primary production in Arctic and Antarctic lakes is typically dominated by benthic photosynthetic organisms. These include aquatic mosses that can be very abundant although they must be able to tolerate extreme seasonal climatic variation in irradiance and temperature. Climate change is expected to cause increased nutrient run-off and to prolong ice and snow cover on Arctic lakes. 2. Despite the substantial role that aquatic mosses play in Arctic and Antarctic lakes, our study is the first of its kind to study the in situ growth and nutrient-use efficiency of an Arctic aquatic moss, Drepanocladus trifarius, and how the net production of this species is coupled with a range of climatic factors undergoing change. Here, we verify the use of growth segments as a technique to record historic growth. We then used the method to reconstruct the growth of D. trifarius by comparing in situ measured growth with that determined from growth segments after one year's growth in a high Arctic lake. Finally, we determined nutrient-use efficiency, resorption efficiency and resorption proficiency by measuring the tissue nutrient content in different annual growth segments. 3. The observed annual mean production of D. trifarius was about 2-3 mg DW shoot(-1) year(-1) expressed as biomass increase and 10-30 mm shoot(-1) year(-1) expressed as length increase, while the age of most shoots was 7-10 years. About 90% of the variation in annual net production was explained by between-year variability in snow prolongation and net radiation in June. 4. The low tissue-N (1.05%DW) and tissue-P (0.081%DW) contents found in D. trifarius suggest that its growth in Lake Sommerfugleso is limited by the availability of N and P during summer when the availability of light is sufficient for extensive growth of this species. P resorption was 43% in D. trifarius, whereas no N resorption was recorded, and P proficiency ranged between 0.02 and 0.04% DW, which is comparable to the concentrations measured in other plant types under P limitation, suggesting that P resorption is an advantageous trait for the existence of moss in this oligotrophic environment. 5. Our results suggest that predicted prolongation of snow cover and consequent decrease in net radiation in lakes will decrease annual net primary production. Our results also suggest that species able to exploit elevated nutrient contents have an advantage in more nutrient-rich lakes in future and indicate that dominance patterns may change. We therefore foresee that climate change will have dramatic effects on the annual net production of mosses and thus whole lake primary production in Lake Sommerfugleso and similar lake types dominated by mosses in the high Arctic.</t>
  </si>
  <si>
    <t>[Riis, Tenna; Baattrup-Pedersen, Annette] Aarhus Univ, Dept Biosci, DK-8000 Aarhus C, Denmark; [Christoffersen, Kirsten S.] Univ Copenhagen, Freshwater Biol Lab, Copenhagen, Denmark; [Christoffersen, Kirsten S.] Univ Copenhagen, Polar Sci Ctr, Copenhagen, Denmark</t>
  </si>
  <si>
    <t>Aarhus University; University of Copenhagen; University of Copenhagen</t>
  </si>
  <si>
    <t>Riis, T (corresponding author), Aarhus Univ, Dept Biosci, Ole Worms Alle Bldg 1135, DK-8000 Aarhus C, Denmark.</t>
  </si>
  <si>
    <t>tenna.riis@biology.au.dk</t>
  </si>
  <si>
    <t>Riis, Tenna/AAE-4115-2020; Baattrup-Pedersen, Annette/HHN-0551-2022; Riis, Tenna/K-8346-2013; Baattrup-Pedersen, Annette/AAZ-9968-2020; Christoffersen, Kirsten Seestern/K-8423-2014</t>
  </si>
  <si>
    <t>Riis, Tenna/0000-0003-2501-4444; Baattrup-Pedersen, Annette/0000-0002-3118-344X; Baattrup-Pedersen, Annette/0000-0002-3118-344X; Christoffersen, Kirsten Seestern/0000-0002-3324-1017</t>
  </si>
  <si>
    <t>Villum Kann Foundation</t>
  </si>
  <si>
    <t>The authors wish to thank Mats Gustafsson, Department of Bioscience, Aarhus University, and Lars Hedenas, Swedish Museum of Natural History, for identification of the moss species. We also thank Birgitte Tagesen for field work in Greenland and the personnel on Zackenberg Field Station for logistic help. We are very grateful to the Villum Kann Foundation for financial support to conduct this study and Anne Mette Poulsen for editing the manuscript. The manuscript was greatly improved by comments from two anonymous reviewers.</t>
  </si>
  <si>
    <t>0046-5070</t>
  </si>
  <si>
    <t>1365-2427</t>
  </si>
  <si>
    <t>FRESHWATER BIOL</t>
  </si>
  <si>
    <t>Freshw. Biol.</t>
  </si>
  <si>
    <t>10.1111/fwb.12368</t>
  </si>
  <si>
    <t>AL8JR</t>
  </si>
  <si>
    <t>WOS:000339385100005</t>
  </si>
  <si>
    <t>Thomas, AC; Jarman, SN; Haman, KH; Trites, AW; Deagle, BE</t>
  </si>
  <si>
    <t>Thomas, Austen C.; Jarman, Simon N.; Haman, Katherine H.; Trites, Andrew W.; Deagle, Bruce E.</t>
  </si>
  <si>
    <t>Improving accuracy of DNA diet estimates using food tissue control materials and an evaluation of proxies for digestion bias</t>
  </si>
  <si>
    <t>MOLECULAR ECOLOGY</t>
  </si>
  <si>
    <t>correction factors; diet analysis; next-generation sequencing; pinniped</t>
  </si>
  <si>
    <t>PREY DNA; ION TORRENT; RNA-SEQ; TEMPERATURE; CARNIVORE; OTOLITHS; PRIMERS; NUMBER; GALAXY; FECES</t>
  </si>
  <si>
    <t>Ecologists are increasingly interested in quantifying consumer diets based on food DNA in dietary samples and high-throughput sequencing of marker genes. It is tempting to assume that food DNA sequence proportions recovered from diet samples are representative of consumer's diet proportions, despite the fact that captive feeding studies do not support that assumption. Here, we examine the idea of sequencing control materials of known composition along with dietary samples in order to correct for technical biases introduced during amplicon sequencing and biological biases such as variable gene copy number. Using the Ion Torrent PGM (c), we sequenced prey DNA amplified from scats of captive harbour seals (Phoca vitulina) fed a constant diet including three fish species in known proportions. Alongside, we sequenced a prey tissue mix matching the seals' diet to generate tissue correction factors (TCFs). TCFs improved the diet estimates (based on sequence proportions) for all species and reduced the average estimate error from 28 +/- 15% (uncorrected) to 14 +/- 9% (TCF-corrected). The experimental design also allowed us to infer the magnitude of prey-specific digestion biases and calculate digestion correction factors (DCFs). The DCFs were compared with possible proxies for differential digestion (e. g. fish protein%, fish lipid%) revealing a strong relationship between the DCFs and percent lipid of the fish prey, suggesting prey-specific corrections based on lipid content would produce accurate diet estimates in this study system. These findings demonstrate the value of parallel sequencing of food tissue mixtures in diet studies and offer new directions for future research in quantitative DNA diet analysis.</t>
  </si>
  <si>
    <t>[Thomas, Austen C.; Haman, Katherine H.; Trites, Andrew W.] Univ British Columbia, Fisheries Ctr, Marine Mammal Res Unit, Vancouver, BC V6T 1Z4, Canada; [Thomas, Austen C.; Haman, Katherine H.; Trites, Andrew W.] Univ British Columbia, Dept Zool, Vancouver, BC V6T 1Z4, Canada; [Jarman, Simon N.; Deagle, Bruce E.] Australian Antarctic Div, Kingston, Tas 7050, Australia</t>
  </si>
  <si>
    <t>University of British Columbia; University of British Columbia; Australian Antarctic Division</t>
  </si>
  <si>
    <t>Thomas, AC (corresponding author), Univ British Columbia, Fisheries Ctr, Marine Mammal Res Unit, 2202 Main Mall, Vancouver, BC V6T 1Z4, Canada.</t>
  </si>
  <si>
    <t>a.thomas@fisheries.ubc.ca</t>
  </si>
  <si>
    <t>Deagle, Bruce E/R-2999-2019; Trites, Andrew/K-5648-2012; Jarman, Simon/H-9265-2016</t>
  </si>
  <si>
    <t>Deagle, Bruce E/0000-0001-7651-3687; Trites, Andrew/0000-0003-0342-5322; Jarman, Simon/0000-0002-0792-9686</t>
  </si>
  <si>
    <t>Pacific Salmon Foundation; Australian Antarctic Division</t>
  </si>
  <si>
    <t>We thank the Point Defiance Zoo and Aquarium and their staff (Amanda K. Shaffer, Lisa Triggs, Chris Harris, Cindy Roberts and Amanda Chomos) and volunteers for conducting the feeding trials and collecting the seal scats. We also thank Andrea Polanowski for helpful guidance in the laboratory and Stephen Trumble for providing data from previous seal feeding trials. David Rosen, Jerome Spitz, Monique Lance, Carl Walters and Anthony Sinclair provided guidance on the study design and manuscript edits. Two anonymous reviewers and Dr. James Harwood provided constructive feedback on an early version of this manuscript. Funding was provided by the Pacific Salmon Foundation and the Australian Antarctic Division. All animal-related activities were undertaken in accordance with UBC Animal Care Committee guidelines.</t>
  </si>
  <si>
    <t>0962-1083</t>
  </si>
  <si>
    <t>1365-294X</t>
  </si>
  <si>
    <t>MOL ECOL</t>
  </si>
  <si>
    <t>Mol. Ecol.</t>
  </si>
  <si>
    <t>10.1111/mec.12523</t>
  </si>
  <si>
    <t>AL9UK</t>
  </si>
  <si>
    <t>WOS:000339487300010</t>
  </si>
  <si>
    <t>Redd, KS; Ling, SD; Frusher, SD; Jarman, S; Johnson, CR</t>
  </si>
  <si>
    <t>Redd, K. S.; Ling, S. D.; Frusher, S. D.; Jarman, S.; Johnson, C. R.</t>
  </si>
  <si>
    <t>Using molecular prey detection to quantify rock lobster predation on barrens-forming sea urchins</t>
  </si>
  <si>
    <t>Centrostephanus rodgersii; diet; DNA detection; faeces; Heliocidaris erythrogramma; Jasus edwardsii; kelp beds; predation rates; predator-prey interactions; quantitative polymerase chain reaction; sea urchin barrens</t>
  </si>
  <si>
    <t>JASUS-EDWARDSII; KELP BEDS; SPECIES IDENTIFICATION; WEST-COAST; DNA; DIET; SIZE; CATCHABILITY; PANULIRUS; OTTERS</t>
  </si>
  <si>
    <t>We apply qPCR molecular techniques to detect in situ rates of consumption of sea urchins (Centrostephanus rodgersii and Heliocidaris erythrogramma) by rock lobsters (Jasus edwardsii). A non-lethal method was used to source faecal samples from trapcaught lobsters over 2 years within two no-take research reserves. There was high variability in the proportion of lobsters with faeces positive for sea urchin DNA across years and seasons dependent on lobster size. Independent estimates of lobster predation rate on sea urchins (determined from observed declines in urchin abundances in the reserves relative to control sites) suggest that rates of molecular prey detection generally overestimated predation rates. Also, small lobsters known to be incapable of directly predating emergent sea urchins showed relatively high rates of positive tests. These results indicate that some lobsters ingest non-predatory sources of sea urchin DNA, which may include (i) ingestion of C. rodgersii DNA from the benthos (urchin DNA is detectable in sediments and some lobsters yield urchin DNA in faeces when fed urchin faeces or sediment); (ii) scavenging; and/or predation by rock lobsters on small pre-emergent urchins that live cryptically within the reef matrix (although this possibility could not be assessed). While the DNA-based approach and direct monitoring of urchin populations both indicate high predation rates of large lobsters on emergent urchins, the study shows that in some cases absolute predation rates and inferences of predator-prey interactions cannot be reliably estimated from molecular signals obtained from the faeces of benthic predators. At a broad semi-quantitative level, the approach is useful to identify relative magnitudes of predation and temporal and spatial variability in predation.</t>
  </si>
  <si>
    <t>[Redd, K. S.; Ling, S. D.; Frusher, S. D.; Johnson, C. R.] Univ Tasmania, Inst Marine &amp; Antarctic Studies, Hobart, Tas 7001, Australia; [Jarman, S.] Australian Antarctic Div, Dept Environm &amp; Heritage, Kingston, Tas 7050, Australia</t>
  </si>
  <si>
    <t>University of Tasmania; Australian Antarctic Division</t>
  </si>
  <si>
    <t>Johnson, CR (corresponding author), Univ Tasmania, Inst Marine &amp; Antarctic Studies, Private Bag 49, Hobart, Tas 7001, Australia.</t>
  </si>
  <si>
    <t>Craig.Johnson@utas.edu.au</t>
  </si>
  <si>
    <t>Ling, Scott/J-7161-2014; Frusher, Stewart/G-5117-2014; Jarman, Simon/H-9265-2016; Johnson, Craig/E-1788-2013</t>
  </si>
  <si>
    <t>Ling, Scott/0000-0002-5544-8174; Frusher, Stewart/0000-0003-2493-3676; Jarman, Simon/0000-0002-0792-9686; Johnson, Craig/0000-0002-9511-905X</t>
  </si>
  <si>
    <t>Fisheries Research and Development Corporation on behalf of the Australian Government [FRDC 2004/013, FRDC 2007/045]</t>
  </si>
  <si>
    <t>Fisheries Research and Development Corporation on behalf of the Australian Government(Fisheries R&amp;D Corp)</t>
  </si>
  <si>
    <t>This research was a component of grants: FRDC 2004/013 'Towards integrated multi-species management of Australia's SE reef fisheries: A Tasmanian example' and FRDC 2007/045 'Rebuilding Ecosystem Resilience-Assessment of management options to minimize formation of 'barrens' habitat by the long-spined sea urchin (C. rodgersii) in Tasmania' which were supported by funding from the Fisheries Research and Development Corporation on behalf of the Australian Government. This project involved a significant collaborative effort with the fishing industry to nominate reefs for use as research reserves and supply large numbers of large lobsters for translocating to the experimental reefs - both of which involved voluntary contributions. We would additionally like to thank all the individuals from IMAS who assisted with rock lobster trapping and/or collection of lobster faecal material at North Bay, Elephant Rock and Crayfish Point, in particular Craig Sanderson, Ruari Colquhoun, Juan Gabriel Dominguez Sarmiento, David Faloon, Kylie Cahill, Emma Flukes, Sarah-Jane Pyke, Harrison King and Dan Haley. We thank Simon Wotherspoon for statistical assistance with GLM model construction and bootstrapping to estimate variances. All lobster experiments were carried out in accordance with the Australian Code of Practice for the Care and Use of Animals for Scientific Purposes 7th Edition 2004.</t>
  </si>
  <si>
    <t>10.1111/mec.12795</t>
  </si>
  <si>
    <t>WOS:000339487300022</t>
  </si>
  <si>
    <t>Bhuiyan, M; Tucker, D; Watson, K</t>
  </si>
  <si>
    <t>Bhuiyan, Mohammad; Tucker, David; Watson, Kenneth</t>
  </si>
  <si>
    <t>Gas chromatography-mass spectrometry analysis of fatty acid profiles of Antarctic and non-Antarctic yeasts</t>
  </si>
  <si>
    <t>Gas chromatography; Mass spectrometry; Fatty acids; Antarctic yeasts; Principal component analysis</t>
  </si>
  <si>
    <t>SACCHAROMYCES-CEREVISIAE; PSYCHROTROPHIC YEAST; LIPID-COMPOSITION; STRESS-PROTEINS; THERMOTOLERANCE; TEMPERATURE; TOLERANCE; STRAINS; COLD</t>
  </si>
  <si>
    <t>The fatty acid profiles of Antarctic (n = 7) and non-Antarctic yeasts (n = 7) grown at different temperatures were analysed by gas chromatography-mass spectrometry. The Antarctic yeasts were enriched in oleic 18:1 (20-60 %), linoleic 18:2 (20-50 %) and linolenic 18:3 (5-40 %) acids with lesser amounts of palmitic 16:0 (&lt; 15 %) and palmitoleic 16:1 (&lt; 10 %) acids. The non-Antarctic yeasts (n = 4) were enriched in 18:1 (20-55 %, with R. mucilaginosa at 75-80 %) and 18:2 (10-40 %) with lesser amounts of 16:0 (&lt; 20 %), 16:1 (&lt; 20 %) and stearic 18:0 (&lt; 10 %) acids. By contrast, Saccharomyces cerevisiae strains (n = 3) were enriched in 16:1 (30-50 %) and 18:1 (20-40 %) with lesser amounts of 16:0 (10-25 %) and 18:0 (5-10 %) acids. Principal component analysis grouped the yeasts into three clusters, one belonging to the S. cerevisiae strains (enriched in 16:0, 16:1 and 18:1), one to the other non-Antarctic yeasts (enriched in 18:1 and 18:2) and the third to the Antarctic yeasts (enriched in 18:2 and 18:3).</t>
  </si>
  <si>
    <t>[Bhuiyan, Mohammad; Tucker, David; Watson, Kenneth] Univ New England, Sch Sci &amp; Technol, Armidale, NSW 2351, Australia</t>
  </si>
  <si>
    <t>Watson, K (corresponding author), Univ New England, Sch Sci &amp; Technol, Armidale, NSW 2351, Australia.</t>
  </si>
  <si>
    <t>kwatson2@une.edu.au</t>
  </si>
  <si>
    <t>The work was supported by internal research Grants from the University of New England and a postgraduate scholarship to MB.</t>
  </si>
  <si>
    <t>10.1007/s10482-014-0183-7</t>
  </si>
  <si>
    <t>AL8FT</t>
  </si>
  <si>
    <t>WOS:000339374100022</t>
  </si>
  <si>
    <t>de Vera, JP; Schulze-Makuch, D; Khan, A; Lorek, A; Koncz, A; Möhlmann, D; Spohn, T</t>
  </si>
  <si>
    <t>de Vera, Jean-Pierre; Schulze-Makuch, Dirk; Khan, Afshin; Lorek, Andreas; Koncz, Alexander; Moehlmann, Diedrich; Spohn, Tilman</t>
  </si>
  <si>
    <t>Adaptation of an Antarctic lichen to Martian niche conditions can occur within 34 days</t>
  </si>
  <si>
    <t>PLANETARY AND SPACE SCIENCE</t>
  </si>
  <si>
    <t>Mars simulation; Photosynthesis; Adaptation; Lichens; Astrobiology; UV radiation</t>
  </si>
  <si>
    <t>ESCHERICHIA-COLI; MARS; SURVIVAL; SURFACE; PHOTOSYNTHESIS; ENVIRONMENTS</t>
  </si>
  <si>
    <t>Stresses occurring on the Martian surface were simulated in a Mars Simulation Chamber (MSC) and included high UV fluxes (Zarnecki and Catling, 2002), low temperatures, low water activity, high atmospheric CO2 concentrations, and an atmospheric pressure of about 800 Pa (Kasting, 1991; Head et al., 2003). The lichen Pleopsidium chlorophanum is an extremophile that lives in very cold, dry, high-altitude habitats, which are Earth's best approximation of the Martian surface. Samples with P. chlorophanum were exposed uninterruptedly to simulated conditions of the unprotected Martian surface (i.e. 6344 kJ m(-2)) and protected niche conditions (269 kJ m(-2)) for 34 days. Under unprotected Martian surface conditions the fungal symbiont decreases its metabolic activity and it was unclear if the algal symbiont of the lichen was still actively photosynthesizing. However, under protected site conditions, the entire lichen not only survived and remained photosynthetically active, it even adapted physiologically by increasing its photosynthetic activity over 34 days. (C) 2013 Elsevier Ltd. All rights reserved.</t>
  </si>
  <si>
    <t>[de Vera, Jean-Pierre; Lorek, Andreas; Koncz, Alexander; Moehlmann, Diedrich; Spohn, Tilman] German Aerosp Ctr, Inst Planetary Res, D-12489 Berlin, Germany; [Schulze-Makuch, Dirk; Khan, Afshin] Washington State Univ, Sch Earth &amp; Environm Sci, Pullman, WA 99164 USA</t>
  </si>
  <si>
    <t>Helmholtz Association; German Aerospace Centre (DLR); Washington State University</t>
  </si>
  <si>
    <t>de Vera, JP (corresponding author), German Aerosp Ctr, Inst Planetary Res, D-12489 Berlin, Germany.</t>
  </si>
  <si>
    <t>jean-pierre.devera@dlr.de; dirksm@wsu.edu; afshin.kahn@gmail.com; Andreas.Lorek@dlr.de; Alexander.Koncz@dlr.de; Dirk.Moehlmann@dlr.de; Tilman.Spohn@dlr.de</t>
  </si>
  <si>
    <t>Schulze-Makuch, Dirk/0000-0002-1923-9746</t>
  </si>
  <si>
    <t>Helmholtz Association; Deutsche Forschungsgemeinschaft</t>
  </si>
  <si>
    <t>Helmholtz Association(Helmholtz Association); Deutsche Forschungsgemeinschaft(German Research Foundation (DFG))</t>
  </si>
  <si>
    <t>This research was supported by the Helmholtz Association through the Helmholtz-Alliance Planetary Evolution and Life. We further thank the Deutsche Forschungsgemeinschaft, for supporting field studies and collection of permafrost samples in Antarctica. Many thanks also to all members of the Antarctic Expedition GANOVEX 10, and especially to Sieglinde Ott, Andreas Laufer and Detlef Damaske. We are also very thankful to Burga Braun, Nina Feyh, Tatjana Fritscher-Kloppel, and Prof. Dr. Ulrich Szewzyk who have operated the Leica-CLSM-system and David Wolter for operation activities at the Mars simulation facility.</t>
  </si>
  <si>
    <t>0032-0633</t>
  </si>
  <si>
    <t>PLANET SPACE SCI</t>
  </si>
  <si>
    <t>Planet Space Sci.</t>
  </si>
  <si>
    <t>10.1016/j.pss.2013.07.014</t>
  </si>
  <si>
    <t>AL4UD</t>
  </si>
  <si>
    <t>WOS:000339129400016</t>
  </si>
  <si>
    <t>Sijp, WP; von der Heydt, AS; Dijkstra, HA; Flögel, S; Douglas, PMJ; Bijl, PK</t>
  </si>
  <si>
    <t>Sijp, Willem P.; von der Heydt, Anna S.; Dijkstra, Henk A.; Floegel, Sascha; Douglas, Peter M. J.; Bijl, Peter K.</t>
  </si>
  <si>
    <t>The role of ocean gateways on cooling climate on long time scales</t>
  </si>
  <si>
    <t>Eocene; Cenozoic cooling trend; deep ocean cooling; ocean gateways; thermal isolation; ocean circulation; Eocene/Oligocene transition; Deep time climate model; Polar amplification; Cloud feedbacks; overturning circulation; AMOC; THC; greenhouse climate; icehouse climate; polar warmth</t>
  </si>
  <si>
    <t>ATMOSPHERIC CARBON-DIOXIDE; ANTARCTIC CIRCUMPOLAR CURRENT; SEA-SURFACE TEMPERATURES; STABLE-ISOTOPE RECORDS; DEEP-WATER PRODUCTION; DRAKE PASSAGE; EARLY EOCENE; SOUTHERN-OCEAN; ICE-SHEET; HEAT-TRANSPORT</t>
  </si>
  <si>
    <t>We examine ocean changes in response to changes in paleogeography from the Cretaceous to present in an intermediate complexity model and in the fully coupled CCSM3 model. Greenhouse gas concentrations are kept constant to allow a focus on effects arising from changing continental configurations. We find consistent and significant geography-related Cenozoic cooling arising from the opening of Southern Ocean (SO) gateways. Both models show significant deep ocean cooling arising from tectonic evolution alone. Simulations employing continental configurations associated with greenhouse climates, namely the Turonian and the Eocene simulations, systematically exhibit warm deep ocean temperatures at elevated pCO(2) close to 10 degrees C. In contrast, continental configurations associated with (later) icehouse climates are associated with cooler deep ocean temperatures at identical pCO(2), arising from a progressive strengthening of the Antarctic Circumpolar Current. This suggests that a component of the Cenozoic benthic cooling trend recorded in oxygen isotopes could arise directly from changes in continental configuration, and so be partially decoupled from the Cenozoic greenhouse gas history. In this paper we will present our model results against the background of an extensive review of previous work on ocean gateways and additional modelling results from several other global climate models. (C) 2014 Elsevier B.V. All rights reserved.</t>
  </si>
  <si>
    <t>[Sijp, Willem P.] Univ New S Wales, ARC Ctr Excellence Climate Syst Sci, Sydney, NSW 2052, Australia; [von der Heydt, Anna S.; Dijkstra, Henk A.] Univ Utrecht, Dept Phys &amp; Astron, Inst Marine &amp; Atmospher Res IMAU, NL-3508 TC Utrecht, Netherlands; [Floegel, Sascha] Helmholtz Zentrum Ozeanforsch, GEOMAR, Kiel, Germany; [Douglas, Peter M. J.] Yale Univ, Dept Geol &amp; Geophys, New Haven, CT 06520 USA; [Bijl, Peter K.] Univ Utrecht, Fac Geosci, NL-3508 TC Utrecht, Netherlands</t>
  </si>
  <si>
    <t>University of New South Wales Sydney; ARC Centre of Excellence for Climate System Science; Utrecht University; Helmholtz Association; GEOMAR Helmholtz Center for Ocean Research Kiel; Yale University; Utrecht University</t>
  </si>
  <si>
    <t>Sijp, WP (corresponding author), Univ New S Wales, ARC Ctr Excellence Climate Syst Sci, Sydney, NSW 2052, Australia.</t>
  </si>
  <si>
    <t>w.sijp@unsw.edu.au</t>
  </si>
  <si>
    <t>Sijp, Willem P/E-5988-2012; Flögel, Sascha/AAC-7786-2022; Dijkstra, Henk A./H-2559-2016; Douglas, Peter/AAO-6290-2021; von der Heydt, Anna/B-9250-2008</t>
  </si>
  <si>
    <t>Flögel, Sascha/0000-0002-2818-5532; Douglas, Peter/0000-0002-4282-6615; von der Heydt, Anna/0000-0002-5557-3282; Sijp, Willem/0000-0002-5971-3860; Bijl, Peter/0000-0002-1710-4012</t>
  </si>
  <si>
    <t>Australian Research Council [DP1096144]; Australian Antarctic Science Program; Netherlands Organization for Scientific Research (NWO) [ALW 802.01.024]; NWO through VENI [863.13.002]; NWO [SH-209-12]; Australian Research Council [DP1096144] Funding Source: Australian Research Council</t>
  </si>
  <si>
    <t>Australian Research Council(Australian Research Council); Australian Antarctic Science Program; Netherlands Organization for Scientific Research (NWO)(Netherlands Organization for Scientific Research (NWO)); NWO through VENI; NWO(Netherlands Organization for Scientific Research (NWO)); Australian Research Council(Australian Research Council)</t>
  </si>
  <si>
    <t>We thank the University of Victoria staff for support in usage of their coupled climate model. This research was supported by the Australian Research Council (Sijp, project DP1096144) and the Australian Antarctic Science Program. Linda C. Ivany provided data and helpful discussions regarding Seymour Island d18O data. We thank the scientists from the SourceRock project (funded by Senter Novem) for providing us with the results of the CCSM simulations. In particular, we thank Roderik van de Wal, Joao Trabucho Alexandre and Erik Tuenter for making Fig. 9 in this paper and Michael Kliphuis for performing the CT1250 and PD1250 CCSM3 simulations. AH thanks the Netherlands Organization for Scientific Research (NWO) for funding through project ALW 802.01.024. PKB thanks the NWO for funding through VENI grant number 863.13.002. The CCSM computations were done on the Huygens and Cartesius at SURFsara in Amsterdam. Use of the SURFsara computing facilities was sponsored by NWO under the project SH-209-12. We thank Robbie Toggweiler for an insightful review of the paper.</t>
  </si>
  <si>
    <t>10.1016/j.gloplacha.2014.04.004</t>
  </si>
  <si>
    <t>AL2TR</t>
  </si>
  <si>
    <t>WOS:000338978900001</t>
  </si>
  <si>
    <t>Cowan, EA; Christoffersen, P; Powell, RD; Talarico, FM</t>
  </si>
  <si>
    <t>Cowan, Ellen A.; Christoffersen, Poul; Powell, Ross D.; Talarico, Franco M.</t>
  </si>
  <si>
    <t>Dynamics of the late Plio-Pleistocene West Antarctic Ice Sheet documented in subglacial diamictites, AND-1B drill core</t>
  </si>
  <si>
    <t>Subglacial till; Deformable bed; Micromorphology; Ice stream; Pleistocene; Ross Sea</t>
  </si>
  <si>
    <t>PLEISTOCENE-HOLOCENE RETREAT; ROSS SEA; GLACIMARINE SEDIMENTS; MICROSCOPIC EVIDENCE; GLACIAL MARINE; VICTORIA-LAND; STREAM-B; TILL; BENEATH; DEFORMATION</t>
  </si>
  <si>
    <t>Geologic studies of sediment deposited by glaciers can provide crucial insights into the subglacial environment. We studied muddy diamictites in the ANtarctic geological DRILLing (ANDRILL) AND-1B drill core, acquired from beneath the Ross Ice Shelf in McMurdo Sound, with the aim of identifying paleo-ice stream activity in the Plio-Pleistocene. Glacial advances were identified from glacial surfaces of erosion (GSEs) and subglacial diamictites within three complete sequences were investigated using lithofacies associations, micromorphology, and quartz sand grain microtextures. Whereas conditions in the Late Pliocene resemble the modern Greenland Ice Sheet where fast flowing glaciers lubricated by surface meltwater terminate directly in the sea (interval 201-212 mbsl) conditions in the Late Pleistocene are similar to modem West Antarctic Ice Sheet (WAIS) ice streams (38-49 mbsl). We identify the latter from ductile deformation and high pore-water pressure, which resulted in pervasive rotation and formation of till pellets and low relief, rounded sand grains dominated by abrasion. In the transitional period during the Mid-Pleistocene (55-68 mbsf), a slow moving inland ice sheet deposited tills with brittle deformation, producing lineations and bi-masepic and unistrial plasma fabric, along with high relief, conchoidally fractured quartz grains. Changes in the provenance of gravel to cobble-size clasts support a distant source area of Byrd Glacier for fast-flowing paleo-ice streams and a proximal area between Darwin and Skelton Glaciers for the slow-moving inland ice sheet. This difference in till provenance documents a shift in direction of glacial flow at the core site, which indirectly reflects changes in the size and thickness of the WAIS. Hence, we found that fast ice streaming motion is a consequence of a thicker WAIS pushing flow lines to the west and introducing clasts from the Byrd Glacier source area to the drill site. The detailed analysis of diamictites in AND-1B demonstrates that Pliocene glacial intervals were warmer than in the Pleistocene when polar ice sheets grew from local inland ice to regional ice streams. (C) 2014 Elsevier B.V. All rights reserved.</t>
  </si>
  <si>
    <t>[Cowan, Ellen A.] Appalachian State Univ, Dept Geol, Boone, NC 28608 USA; [Christoffersen, Poul] Univ Cambridge, Scott Polar Res Inst, Cambridge CB2 1ER, England; [Powell, Ross D.] No Illinois Univ, Dept Geol &amp; Environm Geosci, De Kalb, IL 60115 USA; [Talarico, Franco M.] Univ Siena, Dipartimento Sci Terra, I-53100 Siena, Italy</t>
  </si>
  <si>
    <t>University of North Carolina; Appalachian State University; University of Cambridge; Northern Illinois University; University of Siena</t>
  </si>
  <si>
    <t>Cowan, EA (corresponding author), Appalachian State Univ, Dept Geol, Box 32067, Boone, NC 28608 USA.</t>
  </si>
  <si>
    <t>cowanea@appstate.edu; pc350@cam.ac.uk; rpowell@niu.edu; talarico@unisi.it</t>
  </si>
  <si>
    <t>Christoffersen, Poul/W-3708-2019; talarico, franco/G-9472-2012</t>
  </si>
  <si>
    <t>Christoffersen, Poul/0000-0003-2643-8724; talarico, franco/0000-0002-7254-4301</t>
  </si>
  <si>
    <t>U.S. National Science Foundation; New Zealand Foundation for Research; Royal Society of New Zealand Marsden Fund; Italian Antarctic Research Program; German Science Foundation; Alfred-Wegener Institute for Polar and Marine Research</t>
  </si>
  <si>
    <t>U.S. National Science Foundation(National Science Foundation (NSF)); New Zealand Foundation for Research(New Zealand Foundation for Research, Science and Technology); Royal Society of New Zealand Marsden Fund(Royal Society of New ZealandMarsden Fund (NZ)); Italian Antarctic Research Program; German Science Foundation(German Research Foundation (DFG)); Alfred-Wegener Institute for Polar and Marine Research</t>
  </si>
  <si>
    <t>The ANDRILL project is a multinational collaboration among the Antarctic programs of Germany, Italy, New Zealand, and the United States. Scientific studies are jointly supported by the U.S. National Science Foundation, the New Zealand Foundation for Research, the Royal Society of New Zealand Marsden Fund, the Italian Antarctic Research Program, the German Science Foundation, and the Alfred-Wegener Institute for Polar and Marine Research. We wish to acknowledge the contributions of the on-ice MIS core description team, as well as Matt Ake, who collected the SEM photomicrographs at Appalachian State University. We appreciate the comments of two anonymous reviewers.</t>
  </si>
  <si>
    <t>10.1016/j.gloplacha.2014.05.011</t>
  </si>
  <si>
    <t>WOS:000338978900005</t>
  </si>
  <si>
    <t>Sugiyama, S; Sawagaki, T; Fukuda, T; Aoki, S</t>
  </si>
  <si>
    <t>Sugiyama, Shin; Sawagaki, Takanobu; Fukuda, Takehiro; Aoki, Shigeru</t>
  </si>
  <si>
    <t>Active water exchange and life near the grounding line of an Antarctic outlet glacier</t>
  </si>
  <si>
    <t>Antarctica; grounding line; basal melting; hot water drilling; outlet glacier; ice-ocean interaction</t>
  </si>
  <si>
    <t>ROSS ICE SHELF; OCEAN; BENEATH; CIRCULATION; DRIVEN; STREAM; MODEL; SPEED</t>
  </si>
  <si>
    <t>The grounding line (GL) of the Antarctic ice sheet forms the boundary between grounded and floating ice along the coast. Near this line, warm oceanic water contacts the ice shelf, producing the ice sheet's highest basal-melt rate. Despite the importance of this region, water properties and circulations near the GL are largely unexplored because in-situ observations are difficult. Here we present direct evidence of warm ocean-water transport to the innermost part of the subshelf cavity (several hundred meters seaward from the GL) of Langhovde Glacier, an outlet glacier in East Antarctica. Our measurements come from boreholes drilled through the glacier's similar to 400-m-thick grounding zone. Beneath the grounding zone, we find a 10-24-m-deep water layer of uniform temperature and salinity (-1.45 degrees C; 34.25 PSU), values that roughly equal those measured in the ocean in front of the glacier. Moreover, living organisms are found in the thin subglacial water layer. These findings indicate active transport of water and nutrients from the adjacent ocean, meaning that the subshelf environment interacts directly and rapidly with the ocean. (C) 2014 The Authors. Published by Elsevier B.V.</t>
  </si>
  <si>
    <t>[Sugiyama, Shin; Fukuda, Takehiro; Aoki, Shigeru] Hokkaido Univ, Inst Low Temp Sci, Sapporo, Hokkaido 060, Japan; [Sawagaki, Takanobu] Hokkaido Univ, Fac Environm Earth Sci, Sapporo, Hokkaido 060, Japan; [Fukuda, Takehiro] Hokkaido Univ, Grad Sch Environm Sci, Sapporo, Hokkaido 060, Japan</t>
  </si>
  <si>
    <t>Hokkaido University; Hokkaido University; Hokkaido University</t>
  </si>
  <si>
    <t>Sugiyama, S (corresponding author), Hokkaido Univ, Inst Low Temp Sci, Sapporo, Hokkaido 060, Japan.</t>
  </si>
  <si>
    <t>sugishin@lowtem.hokudai.ac.jp</t>
  </si>
  <si>
    <t>Sawagaki, Takanobu/C-7632-2012; Aoki, Shigeru/D-9105-2012; Sugiyama, Shin/C-2511-2012</t>
  </si>
  <si>
    <t>JSPS KAKENHI [23651002 (2011-2013), 23403006 (2011-2014)]; Grants-in-Aid for Scientific Research [25281001, 23651002, 23403006]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</si>
  <si>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</si>
  <si>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M. Shirahama, K. Higuchi, and other members of the field campaign at Langhovde Glacier in 2011/2012 for their help on the glacier. Thanks are also to the 53rd Japanese Antarctic Research Expedition (JARE 53) members for their support to the field activity. The tide data were provided by N. Izumi and the microscopic analysis of water sample was carried out by H. Endo. T. Iwami helped us to identify the animals found in the subshelf cavity. Drilling equipment was constructed by the workshop of the Institute of Low Temperature Science, Hokkaido University. The quality of the paper was substantially improved by insightful comments from K. Christianson and an anonymous reviewer. Thanks are extended to S. Imura for his contribution to the project, to H. Blatter and R. Greve for their comments on the manuscript, and to P. Shearer for handling the paper as the Scientific Editor. This research was a scientific program of JARE 53 and partly funded by JSPS KAKENHI Grant Number 23651002 (2011-2013) and 23403006 (2011-2014).</t>
  </si>
  <si>
    <t>10.1016/j.epsl.2014.05.001</t>
  </si>
  <si>
    <t>AK7PM</t>
  </si>
  <si>
    <t>WOS:000338620200006</t>
  </si>
  <si>
    <t>Simmonds, MP</t>
  </si>
  <si>
    <t>Simmonds, Mark Peter</t>
  </si>
  <si>
    <t>Landmark ruling on whaling from the International Court of Justice</t>
  </si>
  <si>
    <t>10.1017/S0954102014000492</t>
  </si>
  <si>
    <t>WOS:000339377300001</t>
  </si>
  <si>
    <t>Mansilla, HG; Stinnesbeck, W; Varela, N; Leppe, M</t>
  </si>
  <si>
    <t>Mansilla, Hector G.; Stinnesbeck, Wolfgang; Varela, Natalia; Leppe, Marcelo</t>
  </si>
  <si>
    <t>Eocene fossil feather from King George Island, South Shetland Islands, Antarctica</t>
  </si>
  <si>
    <t>aves; Cenozoic; flight; Fossil Hill; Palaeogene</t>
  </si>
  <si>
    <t>The first fossil avian feather from Antarctica is reported here, from the early to middle Eocene Fossil Hill Formation at Fildes Peninsula, King George Island, Antarctica. Characteristics such as its form, asymmetry of vanes, closed-pennaceous vanes with barbules and a deep ventral groove indicate that the feather was used for flight. The site from which the feather was collected is known to yield a variety of well-preserved trace fossils, palaeobotanical and palaeoenvironmental remains, suggesting a shorebird ecotype for the owner of this feather, certainly belonging to a Neornithes. The continental position, preservation as an external mould and type of feather makes this specimen a novel and an exceedingly rare record.</t>
  </si>
  <si>
    <t>[Mansilla, Hector G.; Varela, Natalia; Leppe, Marcelo] Inst Antartico Chileno INACH, Lab Paleobiol, Punta Arenas 6200000, Chile; [Stinnesbeck, Wolfgang] Heidelberg Univ, Inst Geowissensch, D-69120 Heidelberg, Germany</t>
  </si>
  <si>
    <t>Ruprecht Karls University Heidelberg</t>
  </si>
  <si>
    <t>Mansilla, HG (corresponding author), Inst Antartico Chileno INACH, Lab Paleobiol, Lautaro Navarro 1245, Punta Arenas 6200000, Chile.</t>
  </si>
  <si>
    <t>hmansilla@inach.cl</t>
  </si>
  <si>
    <t>Leppe, Marcelo/L-5447-2014</t>
  </si>
  <si>
    <t>Leppe, Marcelo/0000-0002-1545-8167; Varela, Natalia/0000-0002-9611-9393</t>
  </si>
  <si>
    <t>FONDECYT Project [11080223 (2009-11)]; BMBF research grant [CHL 10A/09]</t>
  </si>
  <si>
    <t>FONDECYT Project(Comision Nacional de Investigacion Cientifica y Tecnologica (CONICYT)CONICYT FONDECYT); BMBF research grant(Federal Ministry of Education &amp; Research (BMBF))</t>
  </si>
  <si>
    <t>We are grateful to Eberhard Dino'' Frey, Carla Dove and Alan Vaugh for their detailed and constructive reviews that clearly helped to improve this manuscript. David Rubilar kindly commented on an earlier version of this manuscript. Harufumi Nishida discovered the specimen at Fossil Hill and Gladys Olivares is acknowledged for assistance in the SEM analysis and Jaime Carcamo for allowing access to the ornithological collection of the Universidad de Magallanes. Financial support for this project was obtained from FONDECYT Project 11080223 (2009-11) and from BMBF research grant CHL 10A/09.</t>
  </si>
  <si>
    <t>10.1017/S0954102013000771</t>
  </si>
  <si>
    <t>WOS:000339377300009</t>
  </si>
  <si>
    <t>Riley, TR; Millar, IL</t>
  </si>
  <si>
    <t>Riley, Teal R.; Millar, Ian L.</t>
  </si>
  <si>
    <t>Geochemistry of the 1100Ma intrusive rocks from the Ahlmannryggen region, Dronning Maud Land, Antarctica</t>
  </si>
  <si>
    <t>dolerite; Kalahari; Mesoproterozoic; Umkondo</t>
  </si>
  <si>
    <t>LARGE IGNEOUS PROVINCE; EAST ANTARCTICA; UMKONDO DOLERITES; WET SEDIMENTS; BASALTS; MANTLE; KAROO; EMPLACEMENT; PETROGENESIS; GRUNEHOGNA</t>
  </si>
  <si>
    <t>The recognition of a Mesoproterozoic large igneous province (LIP) across large parts of southern Africa has been strengthened by recent geochronology, geochemistry and petrology. The c. 1100 Ma Umkondo province has been recognized across parts of Botswana, Zimbabwe, South Africa and Mozambique where tholeiitic sills, dykes and rare lava flows have been correlated into a single magmatic province emplaced in the interval 1108- 1112 Ma. The extension of the province into the Dronning Maud Land region of Antarctica has been suggested by several workers, but detailed analyses of geochemistry and petrogenesis are lacking, as are comparative studies. This study investigates 25 dykes and sills of the Borgmassivet intrusions which include several of the major diorite sills of the province, up to 300m in thickness. The dykes and sills are also considered to be c. 1100 Ma and they were emplaced, in part, synchronously with the Ritscherflya Supergroup sedimentary sequence. The Borgmassivet intrusions are characterized by geochemical signatures that suggest the magmas were either extensively contaminated by continental crust or derived from an enriched lithospheric mantle source, where the enrichment was related to earlier subduction. The limited geochemical range of the Borgmassivet and Umkondo intrusions are probably not consistent with significant levels of crustal contamination. Furthermore, the trace element ratios indicate a source in the sub- lithospheric mantle, followed by gabbroic fractionation and interaction with lithospheric wall rocks.</t>
  </si>
  <si>
    <t>[Riley, Teal R.] British Antarctic Survey, NERC, Cambridge CB3 OET, England; [Millar, Ian L.] NERC, Isotope Geosci Lab, Kingsley Dunham Ctr, Nottingham NG12 5GG, England</t>
  </si>
  <si>
    <t>UK Research &amp; Innovation (UKRI); Natural Environment Research Council (NERC); NERC British Antarctic Survey; UK Research &amp; Innovation (UKRI); Natural Environment Research Council (NERC); NERC British Geological Survey</t>
  </si>
  <si>
    <t>Riley, TR (corresponding author), British Antarctic Survey, NERC, Madingley Rd, Cambridge CB3 OET, England.</t>
  </si>
  <si>
    <t>trr@bas.ac.uk</t>
  </si>
  <si>
    <t>Millar, Ian L/F-1541-2010</t>
  </si>
  <si>
    <t>Riley, Teal/0000-0002-3333-5021</t>
  </si>
  <si>
    <t>NERC [nigl010001, bas0100026] Funding Source: UKRI; Natural Environment Research Council [nigl010001, bas0100026] Funding Source: researchfish</t>
  </si>
  <si>
    <t>10.1017/S0954102013000916</t>
  </si>
  <si>
    <t>WOS:000339377300010</t>
  </si>
  <si>
    <t>Quaglio, F; Warren, LV; Anelli, LE; Dos Santos, PR; Rocha-Campos, AC; Gazdzicki, A; Strikis, PC; Ghilardi, RP; Tiossi, AB; Simoes, MG</t>
  </si>
  <si>
    <t>Quaglio, Fernanda; Warren, Lucas Verissimo; Anelli, Luiz Eduardo; Dos Santos, Paulo Roberto; Rocha-Campos, Antonio Carlos; Gazdzicki, Andrzej; Strikis, Pedro Carlos; Ghilardi, Renato Pirani; Tiossi, Andressa Barraviera; Simoes, Marcello Guimaraes</t>
  </si>
  <si>
    <t>Shell beds from the Low Head Member (Polonez Cove Formation, early Oligocene) at King George Island, west Antarctica: new insights on facies analysis, taphonomy and environmental significance</t>
  </si>
  <si>
    <t>Antarctic coquina; Leoclunipecten; pecten conglomerate; pectinids; sedimentology; shell-bed genesis</t>
  </si>
  <si>
    <t>BASIN; CRYOSPHERE</t>
  </si>
  <si>
    <t>Shell bed levels in the Low Head Member of the early Oligocene Polonez Cove Formation at King George Island, West Antarctica, are re-interpreted based on sedimentological and taphonomic data. The highly fossiliferous Polonez Cove Formation is characterized by basal coastal marine sandstones, overlain by conglomerates and breccias deposited in fan-delta systems. The shell beds are mainly composed of pectinid bivalve shells of Leoclunipecten gazdzickii and occur in the basal portion of the Low Head Member. Three main episodes of bioclastic deposition are recorded. Although these shell beds were previously interpreted as shelly tempestites, we present an alternative explanation: the low fragmentation rates and low size sorting of the bioclasts resulted from winnowing due to tidal currents (background or diurnal condition) in the original bivalve habitat. The final deposition (episodic condition) was associated with subaqueous gravity driven flows. This new interpretation fits with the scenario of a prograding fan-delta front, which transported shell accumulations for short distances near the depositional site, possibly between fair-weather and storm wave bases. This work raises the notion that not every shell bed with similar sedimentological and taphonomic features (such as geometry, basal contact, degree of packing and shell orientation in the matrix) is made in the same way.</t>
  </si>
  <si>
    <t>[Quaglio, Fernanda; Anelli, Luiz Eduardo; Dos Santos, Paulo Roberto; Rocha-Campos, Antonio Carlos; Strikis, Pedro Carlos] Univ Sao Paulo, Inst Geociencias, BR-05508080 Sao Paulo, Brazil; [Warren, Lucas Verissimo] Univ Estadual Paulista, Inst Geociencias &amp; Ciencias Exatas, BR-13506900 Rio Claro, SP, Brazil; [Gazdzicki, Andrzej] Inst Paleobiol PAN, PL-00818 Warsaw, Poland; [Ghilardi, Renato Pirani; Tiossi, Andressa Barraviera] Univ Estadual Paulista, Fac Ciencias Bauru, Dept Ciencias Biol, BR-17033360 Sao Paulo, Brazil; [Simoes, Marcello Guimaraes] Univ Estadual Paulista, Inst Biociencias, Dept Zool, BR-18618000 Sao Paulo, Brazil</t>
  </si>
  <si>
    <t>Universidade de Sao Paulo; Universidade Estadual Paulista; Polish Academy of Sciences; Institute of Paleobiology of the Polish Academy of Sciences; Universidade Estadual Paulista; Universidade Estadual Paulista; Universidade de Sao Paulo</t>
  </si>
  <si>
    <t>Quaglio, F (corresponding author), Univ Sao Paulo, Inst Geociencias, Rua Lago,562,Cidade Univ, BR-05508080 Sao Paulo, Brazil.</t>
  </si>
  <si>
    <t>quaglio@usp.br</t>
  </si>
  <si>
    <t>Ghilardi, Renato/B-6180-2015; Ghilardi, Renato Pirani/M-6293-2019; Andrzej, Gazdzicki/AAW-2137-2020; Anelli, Luiz Eduardo/AAC-4753-2021; Simoes, Marcello G/C-2373-2012; Ghilardi, Renato RPG Pirani/H-2687-2014; Quaglio, Fernanda/F-2765-2013</t>
  </si>
  <si>
    <t>Ghilardi, Renato Pirani/0000-0003-0410-8011; Andrzej, Gazdzicki/0000-0003-2001-3282; Ghilardi, Renato RPG Pirani/0000-0003-0410-8011; Simoes, Marcello/0000-0002-8706-3199; , Paulo Roberto dos Santos/0000-0002-8979-3451</t>
  </si>
  <si>
    <t>FAPESP (Fundacao de Amparo a Pesquisa do Estado de Sao Paulo) [2010/19584-4]; PROANTAR-CNPq [550352/02-3]; Fundacao de Amparo a Pesquisa do Estado de Sao Paulo (FAPESP) [10/19584-4] Funding Source: FAPESP</t>
  </si>
  <si>
    <t>FAPESP (Fundacao de Amparo a Pesquisa do Estado de Sao Paulo)(Fundacao de Amparo a Pesquisa do Estado de Sao Paulo (FAPESP)); PROANTAR-CNPq; Fundacao de Amparo a Pesquisa do Estado de Sao Paulo (FAPESP)(Fundacao de Amparo a Pesquisa do Estado de Sao Paulo (FAPESP))</t>
  </si>
  <si>
    <t>We are grateful to L. Ivany, S. Kidwell and A. Vaughan for the suggestions to the manuscript and to Mike Pole for helping us improve the English text. FQ developed this work as PhD candidate of the graduate programme in Geochemistry and Geotectonics, Instituto de Geociencias of the University of Sao Paulo, and CNPq (Conselho Nacional de Desenvolvimento Cientifico e Tecnologico) fellow. LVW is a post-Doc researcher of the FAPESP (Fundacao de Amparo a Pesquisa do Estado de Sao Paulo, Grant 2010/19584-4). This is a contribution to the PROANTAR-CNPq Grant 550352/02-3.</t>
  </si>
  <si>
    <t>10.1017/S0954102013000783</t>
  </si>
  <si>
    <t>WOS:000339377300011</t>
  </si>
  <si>
    <t>Mellon, MT; Mckay, CP; Heldmann, JL</t>
  </si>
  <si>
    <t>Mellon, Michael T.; Mckay, Christopher P.; Heldmann, Jennifer L.</t>
  </si>
  <si>
    <t>Polygonal ground in the McMurdo Dry Valleys of Antarctica and its relationship to ice-table depth and the recent Antarctic climate history</t>
  </si>
  <si>
    <t>Beacon Valley; ground ice; permafrost; polygon</t>
  </si>
  <si>
    <t>MIOCENE GLACIER ICE; BEACON VALLEY; PERMAFROST DISTRIBUTION; REGION; MARS; SUBLIMATION; STABILITY; ORIGIN; CREEP; SNOW</t>
  </si>
  <si>
    <t>The occurrence of dry permafrost overlying ice-rich permafrost is unique to the Antarctic Dry Valleys on Earth and to the high latitudes of Mars. The stability and distribution of this ice are poorly understood and fundamental to understanding the Antarctic climate as far back as a few million years. Polygonal patterned ground is nearly ubiquitous in these regions and is integrally linked to the history of the icy permafrost and climate. We examined the morphology of polygonal ground in Beacon Valley and the Beacon Heights region of the Antarctic Dry Valleys, and show that polygon size is correlated with ice-table depth (the boundary between dry and ice-rich permafrost). A numerical model of seasonal stress in permafrost shows that the ice-table depth is a dominant factor. Remote sensing and field observations of polygon size are therefore important tools for investigating subsurface ice. Polygons are long-lived landforms and observed characteristics indicate no major fluctuations in the ice-table depth during their development. We conclude that the Beacon Valley and Beacon Heights polygons have developed for at least 10(4) years to achieve their present mature-stage morphology and that the ice-table depth has been stable for a similar length of time.</t>
  </si>
  <si>
    <t>[Mellon, Michael T.] SW Res Inst, Dept Space Studies, Boulder, CO 80302 USA; [Mckay, Christopher P.; Heldmann, Jennifer L.] NASA, Ames Res Ctr, Div Space Sci, Moffett Field, CA 94035 USA</t>
  </si>
  <si>
    <t>National Aeronautics &amp; Space Administration (NASA); NASA Ames Research Center</t>
  </si>
  <si>
    <t>Mellon, MT (corresponding author), SW Res Inst, Dept Space Studies, 1050 Walnut St, Boulder, CO 80302 USA.</t>
  </si>
  <si>
    <t>mellon@boulder.swri.edu</t>
  </si>
  <si>
    <t>Mellon, Michael T/C-3456-2016</t>
  </si>
  <si>
    <t>McKay, Christopher/0000-0002-6243-1362</t>
  </si>
  <si>
    <t>NASA Planetary Geology and Geophysics programme [NNX08AE33G]; NASA ASTEP programme; NSF Office of Polar Programs; NASA [101763, NNX08AE33G] Funding Source: Federal RePORTER</t>
  </si>
  <si>
    <t>NASA Planetary Geology and Geophysics programme; NASA ASTEP programme; NSF Office of Polar Programs(National Science Foundation (NSF)); NASA(National Aeronautics &amp; Space Administration (NASA))</t>
  </si>
  <si>
    <t>This work was supported in part by the NASA Planetary Geology and Geophysics programme through grant NNX08AE33G. We also acknowledge support from the NASA ASTEP programme. Field work in the Antarctic Dry Valleys was supported by the NSF Office of Polar Programs. We thank Jaakko Putkonen and an anonymous reviewer for their constructive and thorough comments.</t>
  </si>
  <si>
    <t>10.1017/S0954102013000710</t>
  </si>
  <si>
    <t>WOS:000339377300012</t>
  </si>
  <si>
    <t>Zhang, ZY; Gong, DY; Kim, S; Mao, R; Yang, J</t>
  </si>
  <si>
    <t>Zhang, Ziyin; Gong, Daoyi; Kim, Seongjoong; Mao, Rui; Yang, Jing</t>
  </si>
  <si>
    <t>Is the Antarctic oscillation trend during the recent decades unusual?</t>
  </si>
  <si>
    <t>global warming; natural variability; ozone depletion; positive trend</t>
  </si>
  <si>
    <t>SOUTHERN ANNULAR MODE; PART I; CIRCULATION; INDEX</t>
  </si>
  <si>
    <t>The Antarctic oscillation (AAO) has been characterized by a persistently positive trend in summer (December-January-February, DJF) during the last 50 years. Thus, the question has arisen of whether the trend is unusual. By investigating five reconstructed historical AAO time series for the past 500 years, recurrences of similar and even stronger trends have been found, indicating that the recent DJF AAO trend is not unprecedented in a historical perspective. To estimate the possible roles played by greenhouse gases or/and ozone, an analysis for DJF AAO trends during the 1969-98 period was conducted using three multiple model ensembles derived from the projects of 'The twentieth-century climate in coupled models' (20C3M) and 'Pre-industrial control experiment models' (PICTL) of the fourth assessment report of the Intergovernmental Panel on Climate Change (IPCC AR4). The results show that the ozone depletion over Antarctica and global warming may play significant roles in the strengthening trend. Combining the simulations and reconstructions we emphasize that the AAO trend related to global warming may get much stronger when enhanced by low-frequency natural variability.</t>
  </si>
  <si>
    <t>[Zhang, Ziyin] Beijing Meteorol Bur, Beijing 100089, Peoples R China; [Zhang, Ziyin; Gong, Daoyi; Mao, Rui; Yang, Jing] Beijing Normal Univ, State Key Lab Earth Surface Proc &amp; Resource Ecol, Beijing 100875, Peoples R China; [Kim, Seongjoong] Korea Polar Res Inst, Inchon 406130, South Korea</t>
  </si>
  <si>
    <t>Beijing Normal University; Korea Polar Research Institute (KOPRI); Korea Institute of Ocean Science &amp; Technology (KIOST)</t>
  </si>
  <si>
    <t>Zhang, ZY (corresponding author), Beijing Meteorol Bur, Beijing 100089, Peoples R China.</t>
  </si>
  <si>
    <t>zzy_ahgeo@163.com</t>
  </si>
  <si>
    <t>Yang, Jing/C-6597-2013; Mao, Rui/C-3499-2013</t>
  </si>
  <si>
    <t>Korea Polar Research Institute [PE13010]; State Key Laboratory of Earth Surface Processes and Resource Ecology [2013-KF-05]; National Natural Science Foundation of China [41375071]</t>
  </si>
  <si>
    <t>Korea Polar Research Institute(Korea Polar Research Institute of Marine Research Placement (KOPRI)); State Key Laboratory of Earth Surface Processes and Resource Ecology; National Natural Science Foundation of China(National Natural Science Foundation of China (NSFC))</t>
  </si>
  <si>
    <t>This study was supported by PE13010 of the Korea Polar Research Institute and Project 2013-KF-05 of the State Key Laboratory of Earth Surface Processes and Resource Ecology. Dr Dao-Yi Gong was supported by the National Natural Science Foundation of China (Grant No. 41375071). We would like to sincerely thank Martin Visbeck and Ryan L. Fogt for providing their valuable reconstructed AAO series. We also thank the reviewers for their comments on the manuscript.</t>
  </si>
  <si>
    <t>10.1017/S0954102013000734</t>
  </si>
  <si>
    <t>WOS:000339377300014</t>
  </si>
  <si>
    <t>Mu, JP; Peng, YH; Niklas, KJ; Sun, S</t>
  </si>
  <si>
    <t>Mu, Junpeng; Peng, Youhong; Niklas, Karl J.; Sun, Shucun</t>
  </si>
  <si>
    <t>The optimization of seed yield across the flowering season of Gentiana leucomelaena (Gentianaceae), an herbaceous Tibetan annual</t>
  </si>
  <si>
    <t>SPRING EPHEMERALS; FLOERKEA-PROSERPINACOIDES; REPRODUCTIVE ASSURANCE; FRUIT PRODUCTION; PLANT; TEMPERATURE; POLLINATION; ANGIOSPERMS; LIMITATION; DICHOGAMY</t>
  </si>
  <si>
    <t>The seed yield of herbaceous annuals may be resource- or pollinator-limited. The extent to which either or both of these limitations negatively affect seed yield is hypothesized to vary with the timing of flowering because of seasonal changes in pollinator and resource availabilities. We tested this hypothesis by examining the relationship between seed yield and pollinator visitation rates, flowering phenology, aboveground plant biomass, and biomass allocation patterns, fruit set, and seed set, seed number per flower, and seed mass for Gentiana leucomelaena, an annual herbaceous dicot that produces four types of flowering shoots as a result of differences in flower color (blue and white) and dichogamy-type (protogyny and protandry). Bivariate plots of reproductive efficiency (total seed mass per shoot) versus vegetative mass were curvilinear and showed that early- and late-flowering shoots were more likely to be limited in seed yield than shoots flowering during the middle of the flowering season. Early-flowering shoots had greater biomass but had lower fruit set and seed set with fewer but larger seeds per fruit. These features were consistent with pollinator (visitation rate) limitations on seed yield. In contrast, late-flowering shoots had smaller biomass but had higher fruit set and seed set with many but smaller seeds per fruit. These features were consistent with resource (plant biomass) limitations on seed yield. Moreover, early-flowering shoots tended to produce white and protogynous flowers and allocated more to leaf growth, whereas late-flowering shoots tended to produce,blue and protandrous flowers and allocated more to stem growth in height (perhaps to reduce shading by neighbors). In addition, the peak time of flowering shoot density coincided with the peak of reproductive efficiency. In conclusion, limitations on the seed yield of this species varied with the timing of flowering. G. leucomelaena appears to have evolved a system of changing flower color and dichogamy-type that optimizes seed yield in an alpine meadow habitat.</t>
  </si>
  <si>
    <t>[Mu, Junpeng; Sun, Shucun] Nanjing Univ, Dept Biol, Nanjing 210093, Jiangsu, Peoples R China; [Peng, Youhong] Chinese Acad Sci, Chengdu Inst Biol, Ecolab, Chengdu 610041, Peoples R China; [Niklas, Karl J.] Cornell Univ, Dept Plant Biol, Ithaca, NY 14850 USA</t>
  </si>
  <si>
    <t>Nanjing University; Chinese Academy of Sciences; Chengdu Institute of Biology, CAS; Cornell University</t>
  </si>
  <si>
    <t>Sun, S (corresponding author), Nanjing Univ, Dept Biol, Hankou Rd, Nanjing 210093, Jiangsu, Peoples R China.</t>
  </si>
  <si>
    <t>shcs@nju.edu.cn</t>
  </si>
  <si>
    <t>Niklas, Karl/AAV-4760-2021</t>
  </si>
  <si>
    <t>Mu, Junpeng/0000-0001-5801-1878</t>
  </si>
  <si>
    <t>973 program [2013CB956302]; National Science Foundation of China [31325004, 31270513, 31100397]</t>
  </si>
  <si>
    <t>973 program(National Basic Research Program of China); National Science Foundation of China(National Natural Science Foundation of China (NSFC))</t>
  </si>
  <si>
    <t>We thank Chum Zhao and Guoyong Li for field assistance and Hongyuan Alpine Meadow Ecosystem Research Station for permitting this study to be conducted. This study was funded by 973 program (2013CB956302) and National Science Foundation of China (31325004,31270513, and 31100397).</t>
  </si>
  <si>
    <t>10.1657/1938-4246-46.3.548</t>
  </si>
  <si>
    <t>WOS:000341282400003</t>
  </si>
  <si>
    <t>Santamaría, S; Galeano, J; Pastor, JM; Méndez, M</t>
  </si>
  <si>
    <t>Santamaria, Silvia; Galeano, Javier; Manuel Pastor, Juan; Mendez, Marcos</t>
  </si>
  <si>
    <t>Robustness of alpine pollination networks: effects of network structure and consequences for endemic plants</t>
  </si>
  <si>
    <t>HIGH TEMPERATE ANDES; SAMPLING COMPLETENESS; POLLEN LIMITATION; CENTRAL CHILE; REPRODUCTION; DYNAMICS; PATTERNS; CONSERVATION; INCREASES; COMMUNITY</t>
  </si>
  <si>
    <t>Global threats to plant-pollinator interactions are potentially serious in alpine ecosystems, which combine great diversity with particular fragility. We utilized tools from complex network theory to assess the robustness to species extinction of two Spanish alpine pollination networks. A comparison with ten additional alpine and subalpine pollination (ASP) networks allowed us to give our assessment a broader scope and provide a general view of ASP network robustness. We found a broad range of robustness among ASP networks. The two Spanish pollination networks ranked intermediate to high in robustness. This could be due to two of their structural features, connectance (proportion of potential interactions actually observed) and asymmetry (normalized difference between pollinator and plant richness), which showed a positive relationship with network robustness. A finer-scale focus on the two Spanish networks did not reveal differences between endemic and nonendemic plants in their functional role within the network but indicated that they differed in their robustness to pollinator extinction. Contrasting patterns across networks suggested that endemic robustness depends on community particularities. To improve the utility of robustness assessment as a conservation tool, we should increase our understanding on (1) the order in which network species will get extinct, (2) how species rewire once they have lost their partners, and (3) how much species depend on their mutualistic interaction.</t>
  </si>
  <si>
    <t>[Santamaria, Silvia; Mendez, Marcos] Univ Rey Juan Carlos, Area Biodiversidad &amp; Conservac, E-28933 Madrid, Spain; [Galeano, Javier; Manuel Pastor, Juan] Univ Politecn Madrid, Dept Ciencia &amp; Tecnol Aplicadas IT Agr, E-28040 Madrid, Spain; [Galeano, Javier; Manuel Pastor, Juan] Univ Politecn Madrid, Grp Sistemas Complejos, E-28040 Madrid, Spain</t>
  </si>
  <si>
    <t>Universidad Rey Juan Carlos; Universidad Politecnica de Madrid; Universidad Politecnica de Madrid</t>
  </si>
  <si>
    <t>Santamaría, S (corresponding author), Univ Rey Juan Carlos, Area Biodiversidad &amp; Conservac, C Tulipan S-N, E-28933 Madrid, Spain.</t>
  </si>
  <si>
    <t>silvia.santamaria@urjc.es</t>
  </si>
  <si>
    <t>PASTOR RUIZ, JUAN MANUEL/H-1359-2015; Galeano, Javier/B-2933-2009; Pastor, Juan Manuel/ABG-9310-2020; Méndez, Marcos/AAB-5231-2022</t>
  </si>
  <si>
    <t>PASTOR RUIZ, JUAN MANUEL/0000-0002-1067-3642; Galeano, Javier/0000-0003-0706-4317; Méndez, Marcos/0000-0002-0144-643X; Santamaria, Silvia/0000-0003-2100-2657</t>
  </si>
  <si>
    <t>Universidad Rey Juan Carlos [URJC-CM-2007-CET-1620]; Comunidad de Madrid; Organismo Autonomo de Parques Nacionales (Spain) [014/2009]; project PGUI of the Comunidad de Madrid [MODELICO-CM/S2009ESP-1691]; Ministry of Economy and Competitiveness of Spain [MTM2012-39101]</t>
  </si>
  <si>
    <t>Universidad Rey Juan Carlos; Comunidad de Madrid(Comunidad de Madrid); Organismo Autonomo de Parques Nacionales (Spain); project PGUI of the Comunidad de Madrid; Ministry of Economy and Competitiveness of Spain(Spanish Government)</t>
  </si>
  <si>
    <t>We thank the authors cited in Table 1 for making their data available, Jens Olesen for providing the data of Arthur's Pass, Craigieburn, and Mount Cook networks; Alfredo Valido for comments to a previous draft of this paper; two anonymous reviewers for making useful suggestions and constructive comments on the manuscript; Jose Cerca de Oliveira, Marta Correia, Lucia deSoto, Rain Garcia-Camacho, Luis Gimenez-Benavides, Ruben Milla, Alberto L. Teixido, and Ruben Torices for their field work in the networks Picos de Europa and/or Sierra Nevada; Miguel Carles-Tolra, Leopoldo Castro, Xavier Espalader, David Gibbs, David Gutierrez, Maria Angeles Marcos, Anabel Martinez, Verner Michelsen, Francisco Javier Ortiz, Adrian Pont, Alberto Tinaut, and Hans-Peter Tschorsnig for insect identification of networks Picos de Europa and/or Sierra Nevada; Juan Lorite for plant identification of network Sierra Nevada; Picos de Europa and Sierra Nevada National Park staff for permits; and Christian Gandarillas, Andres Garcia, Sergio Gonzalez, and Emilio Huerta, keepers of the mountain refuge J. R. Lueje at the Jou de Los Cabrones, for making much easier the fieldwork of the network Picos de Europa. This work was supported by the project URJC-CM-2007-CET-1620 from the Universidad Rey Juan Carlos and the Comunidad de Madrid and the project 014/2009 from the Organismo Autonomo de Parques Nacionales (Spain) to Mendez and Santamaria, and by the project PGUI of the Comunidad de Madrid MODELICO-CM/S2009ESP-1691 and the project MTM2012-39101 from the Ministry of Economy and Competitiveness of Spain to Galeano and Pastor.</t>
  </si>
  <si>
    <t>10.1657/1938-4246-46.3.568</t>
  </si>
  <si>
    <t>WOS:000341282400005</t>
  </si>
  <si>
    <t>Formica, A; Farrer, EC; Ashton, IW; Suding, KN</t>
  </si>
  <si>
    <t>Formica, Adam; Farrer, Emily C.; Ashton, Isabel W.; Suding, Katharine N.</t>
  </si>
  <si>
    <t>Shrub expansion over the past 62 years in Rocky Mountain alpine tundra: possible causes and consequences</t>
  </si>
  <si>
    <t>PLANT COMMUNITY RESPONSES; LONG-TERM; ARCTIC TUNDRA; NATIONAL-PARK; VEGETATION CHANGE; CLIMATE-CHANGE; TREE-LINE; TEMPERATURE; NUTRIENT; WILLOW</t>
  </si>
  <si>
    <t>Woody plants are encroaching into many herbaceous-dominated communities across the globe, including arctic and alpine tundra. Quantifying the encroachment rate, testing which factors contribute to encroachment, and determining how encroachment is taking place and in which community types encroachment is occurring are essential for predicting shifts in tundra vegetation and carbon (C) storage. We examined willow cover changes from 1946 to 2008 in 18 ha of alpine tundra in Colorado using aerial photographs. We linked this pattern of change with experimental assessment of the effects of increasing summer temperatures, winter precipitation, and nitrogen (N) deposition factors that this region has experienced over this period on willow growth and survival. Shrub cover expanded by 441% over 62 years and is increasing at an exponential rate, corresponding to increases in C storage of 137 kg ha(-1). Nitrogen and temperature facilitate willow growth and snow increases survival, although N and the combination of N plus snow decrease survival. We find clonal growth (78%) accounts for more expansion than seed dispersal (22%), and that shrubs have expanded into wet, moist, and dry meadow. In addition to a release from grazing, we suggest that global change could be driving shrub expansion.</t>
  </si>
  <si>
    <t>[Formica, Adam] Univ Oxford, Sch Geog &amp; Environm, Oxford OX1 3QY, England; [Farrer, Emily C.; Suding, Katharine N.] Univ Calif Berkeley, Dept Environm Sci Policy &amp; Management, Berkeley, CA 94720 USA; [Ashton, Isabel W.] Rocky Mt Natl Pk, Natl Pk Serv, Estes Pk, CO 80517 USA</t>
  </si>
  <si>
    <t>University of Oxford; University of California System; University of California Berkeley; United States Department of the Interior</t>
  </si>
  <si>
    <t>Formica, A (corresponding author), Univ Oxford, Sch Geog &amp; Environm, S Parks Rd, Oxford OX1 3QY, England.</t>
  </si>
  <si>
    <t>adam.formica@ouce.ox.ac.uk</t>
  </si>
  <si>
    <t>Farrer, Emily/AAD-4639-2020; Suding, Katharine/O-6290-2017</t>
  </si>
  <si>
    <t>Farrer, Emily/0000-0001-8003-8831; Formica, Adam/0000-0001-8039-0560; Suding, Katharine/0000-0002-5357-0176</t>
  </si>
  <si>
    <t>Niwot Ridge LTER [DEB-1027341]; Andrew W. Mellon Foundation; National Science Foundation (NSF) [DEB-0919569]; NSF [DEB-0919569]; Division Of Environmental Biology; Direct For Biological Sciences [1027341] Funding Source: National Science Foundation</t>
  </si>
  <si>
    <t>Niwot Ridge LTER; Andrew W. Mellon Foundation; National Science Foundation (NSF)(National Science Foundation (NSF)); NSF(National Science Foundation (NSF)); Division Of Environmental Biology; Direct For Biological Sciences(National Science Foundation (NSF)NSF - Directorate for Biological Sciences (BIO))</t>
  </si>
  <si>
    <t>We thank two anonymous reviewers for helping us to improve our study with their useful feedback. We thank Beth McGarry, Charlotte Riggs, Warren Sconiers, Jane Smith, Marko Spasojevic, and Ryan Winkelman for their assistance in the field, and we thank Chris Seibold at the Kiowa Lab for running the chemical analyses. Funding was provided by the Niwot Ridge LTER (DEB-1027341), the Andrew W. Mellon Foundation, and the National Science Foundation (NSF) (DEB-0919569). Adam Formica was supported by an NSF REU (Research Experiences for Undergraduates) Supplement grant to DEB-0919569.</t>
  </si>
  <si>
    <t>10.1657/1938-4246-46.3.616</t>
  </si>
  <si>
    <t>WOS:000341282400009</t>
  </si>
  <si>
    <t>Wan, YF; Gao, QZ; Li, Y; Qin, XB; Ganjurjav; Zhang, WN; Ma, X; Liu, S</t>
  </si>
  <si>
    <t>Wan, Yun-fan; Gao, Qing-zhu; Li, Yue; Qin, Xiao-bo; Ganjurjav; Zhang, Wei-na; Ma, Xin; Liu, Shuo</t>
  </si>
  <si>
    <t>Change of snow cover and its impact on alpine vegetation in the source regions of large rivers on the Qinghai-Tibetan Plateau, China</t>
  </si>
  <si>
    <t>INTERANNUAL VARIABILITY; WINTER SNOW; DEPTH; CLIMATE; ECOSYSTEM; RESPIRATION; TEMPERATURE; DYNAMICS; SOILS; MODIS</t>
  </si>
  <si>
    <t>Based on a Normalized Difference Vegetation Index (NDVI) and remote sensing data of snow cover, we analyzed the variation in NDVI in relation to trends in snow cover and vegetation of the source regions of large rivers on the Qinghai-Tibetan Plateau. We then calculated the relationship between snow cover duration, snow depth, and NDVI to reveal the effect of snow cover change on vegetation growth on a regional scale. The results show that both snow depth and duration tend to reduce gradually from northeast to southwest on the Qinghai-Tibetan Plateau. Furthermore, snow cover duration (snow depth &gt; 0 cm) has high interannual fluctuation and generally shows an increasing trend (P &lt; 0.01) from 1980 to 2004. The interannual fluctuations of the duration of days with snow depth &gt;= 5 cm as well as the maximum and average snow depth are also quite high, but they generally show insignificant tendencies (P &gt; 0.05) from 1980 to 2004. The snow cover characteristics (duration and depth) are insignificantly correlated to annual maximum NDVI. However, a significant positive correlation (P &lt; 0.05) is observed between snow cover duration (snow depth &gt; 0 cm) and the NDVI values of both April and July, and an obvious negative correlation (P &lt; 0.05) is observed between snow depth and the NDVI value in October across all source regions from 1981 to 2004. In the study area, increasing snow depth and the prolongation of the duration of snow cover have adverse effects on vegetation growth the following year. The melting of snow brings increasing effects to the NDVI value in the spring.</t>
  </si>
  <si>
    <t>[Wan, Yun-fan; Gao, Qing-zhu; Li, Yue; Qin, Xiao-bo; Ganjurjav; Zhang, Wei-na; Ma, Xin; Liu, Shuo] Chinese Acad Agr Sci, Inst Environm &amp; Sustainable Dev Agr, Beijing 100081, Peoples R China; [Wan, Yun-fan; Gao, Qing-zhu; Li, Yue; Qin, Xiao-bo; Ganjurjav; Zhang, Wei-na; Ma, Xin; Liu, Shuo] Minist Agr, Key Lab Agroenvironm &amp; Climate Change, Beijing 100081, Peoples R China</t>
  </si>
  <si>
    <t>Chinese Academy of Agricultural Sciences; Institute of Environment &amp; Sustainable Development in Agriculture, CAAS; Ministry of Agriculture &amp; Rural Affairs</t>
  </si>
  <si>
    <t>Gao, QZ (corresponding author), Chinese Acad Agr Sci, Inst Environm &amp; Sustainable Dev Agr, Beijing 100081, Peoples R China.</t>
  </si>
  <si>
    <t>gaoqingzhu@caas.cn</t>
  </si>
  <si>
    <t>National Natural Science Foundation of China [31170460]; National Key Project of Scientific and Technical Supporting Program of China [2012BAC20B05]; Institute of Environment and Sustainable Development in Agriculture; Nagqu Grassland Station</t>
  </si>
  <si>
    <t>National Natural Science Foundation of China(National Natural Science Foundation of China (NSFC)); National Key Project of Scientific and Technical Supporting Program of China; Institute of Environment and Sustainable Development in Agriculture; Nagqu Grassland Station</t>
  </si>
  <si>
    <t>We thank the two anonymous reviewers and associate editor for their comments and suggestions on the earlier versions of the manuscript. We wish to thank GLCF (Global Land Cover Facility, University of Maryland) for providing the AVHRR-NDVI Data and the Environmental &amp; Ecological Science Data Center for West China, National Natural Science Foundation of China (http://westdc.westgis.ac.cn), and the snow data set. We gratefully acknowledge the financial support from the National Natural Science Foundation of China (31170460), the National Key Project of Scientific and Technical Supporting Program of China (2012BAC20B05), and the cooperation project with Nagqu Grassland Station and Institute of Environment and Sustainable Development in Agriculture.</t>
  </si>
  <si>
    <t>10.1657/1938-4246-46.3.632</t>
  </si>
  <si>
    <t>WOS:000341282400010</t>
  </si>
  <si>
    <t>Xie, AH; Allison, I; Xiao, CD; Wang, SM; Ren, JW; Qin, DH</t>
  </si>
  <si>
    <t>Xie, Aihong; Allison, Ian; Xiao, Cunde; Wang, Shimeng; Ren, Jiawen; Qin, Dahe</t>
  </si>
  <si>
    <t>Assessment of surface pressure between Zhongshan and Dome A in East Antarctica from different meteorological reanalyses</t>
  </si>
  <si>
    <t>LAMBERT GLACIER BASIN; NCEP-NCAR REANALYSIS; STATION; TEMPERATURE; CLIMATOLOGY; OSCILLATION; PERFORMANCE; PROJECT; ERA-40; TRENDS</t>
  </si>
  <si>
    <t>The accuracy of daily mean surface pressure from five meteorological reanalyses is assessed against in situ observations from automatic weather stations in East Antarctica for 2005 to 2008. The in situ observations are from Zhongshan, LGB69, EAGLE, and Dome A. The five reanalyses all explain more than 87% of the average variance and have annual root mean square errors between 15 hPa and 45 hPa. The ERA Interim reanalysis performs best against both criteria. The NCEP-1, NCEP-2, and 20CRv2 reanalyses have negative biases of 29.7 hPa, 25.9 hPa, and 11.1 hPa, respectively, while ERA Interim and JCDAS have positive biases of 4.9 hPa and 14.9 hPa. The reanalyses do not show obvious seasonal differences. The errors generally tend to decrease from the coast to the interior of the East Antarctic ice sheet, although there are regional differences between the performance of the different reanalyses. ERA Interim is superior to other reanalyses, probably because of its 4D assimilation scheme, which is strongly guided by satellite observations. The three NCEP reanalyses perform worst; their assimilation scheme is more constrained by limited observations and 20CRy2 has less input data, assimilating only surface pressure observations. Despite deficiencies and limitations, the reanalyses are still powerful tools for climate studies in the Antarctic region. However, more in situ observations are required, especially from the vast interior of Antarctica.</t>
  </si>
  <si>
    <t>[Xie, Aihong; Xiao, Cunde; Wang, Shimeng; Ren, Jiawen; Qin, Dahe] Chinese Acad Sci, Cold &amp; Arid Regions Environm &amp; Engn Res Inst, State Key Lab Cryospher Sci, Lanzhou 730000, Gansu, Peoples R China; [Allison, Ian] Cooperat Res Ctr, Hobart, Tas 7001, Australia; [Xiao, Cunde] Chinese Acad Meteorol Sci, Beijing 100081, Peoples R China</t>
  </si>
  <si>
    <t>Chinese Academy of Sciences; Cold &amp; Arid Regions Environmental &amp; Engineering Research Institute, CAS; China Meteorological Administration; Chinese Academy of Meteorological Sciences (CAMS)</t>
  </si>
  <si>
    <t>Xie, AH (corresponding author), Chinese Acad Sci, Cold &amp; Arid Regions Environm &amp; Engn Res Inst, State Key Lab Cryospher Sci, 320 Donggang Western Rd, Lanzhou 730000, Gansu, Peoples R China.</t>
  </si>
  <si>
    <t>xeaih@lzb.ac.cn; cdxiao@lzb.ac.cn</t>
  </si>
  <si>
    <t>Jiawen, Ren/K-7734-2012; Allison, Ian F/I-4477-2015</t>
  </si>
  <si>
    <t>Allison, Ian F/0000-0001-9599-0251</t>
  </si>
  <si>
    <t>Major State Basic Research Development Program of China (973 program) [2013CBA01804]; National Natural Science Foundation of China [41121001, 40801027]; State Key Laboratory of Cryospheric Sciences [SKLCS-ZZ-2012-01-07, SKLCS-ZZ-2013-01-02]; Professional Program in Integrated Expedition and Evaluation on Environment in Antarctica and the Arctic [CHINARE2013-02-03, CHINARE2012-02-02]; Chinese Academy of Sciences [Y129N31001]</t>
  </si>
  <si>
    <t>Major State Basic Research Development Program of China (973 program)(National Basic Research Program of China); National Natural Science Foundation of China(National Natural Science Foundation of China (NSFC)); State Key Laboratory of Cryospheric Sciences; Professional Program in Integrated Expedition and Evaluation on Environment in Antarctica and the Arctic; Chinese Academy of Sciences(Chinese Academy of Sciences)</t>
  </si>
  <si>
    <t>We are thankful for the logistical support provided by CHINARE. This research was funded by the Major State Basic Research Development Program of China (973 program) (2013CBA01804), the National Natural Science Foundation of China (41121001 and 40801027), the State Key Laboratory of Cryospheric Sciences (SKLCS-ZZ-2012-01-07 and SKLCS-ZZ-2013-01-02), and Professional Program in Integrated Expedition and Evaluation on Environment in Antarctica and the Arctic (CHINARE2013-02-03, CHINARE2012-02-02). Ian Allison's contribution was supported by a Visiting Professorship for Senior International Scientists from the Chinese Academy of Sciences (No. Y129N31001). Our sincere appreciation goes to Prof. Longhua Lu for providing the meteorological data from Zhongshan; to Profs Longhua Lu, Lingen Bian, and Dongqi Zhang for their insightful comments; to Dr. Lijuan Ma and Dr. Zhenhua Chao for assisting with access to the reanalysis data; and to Dr. Qinglong You for helping make the Taylor diagrams. The authors would like to acknowledge the National Oceanic and Atmospheric Administration (NOAA), the European Centre for Medium-Range Weather Forecasts (ECMWF), and Japan Meteorological Agency (JMA) for their operational reanalysis data sets. The authors also thank two anonymous reviewers for numerous helpful comments and suggestions.</t>
  </si>
  <si>
    <t>10.1657/1938-4246-46.3.669</t>
  </si>
  <si>
    <t>WOS:000341282400013</t>
  </si>
  <si>
    <t>Webb, MH; Wotherspoon, S; Stojanovic, D; Heinsohn, R; Cunningham, R; Bell, P; Terauds, A</t>
  </si>
  <si>
    <t>Webb, Matthew H.; Wotherspoon, Simon; Stojanovic, Dejan; Heinsohn, Robert; Cunningham, Ross; Bell, Phil; Terauds, Aleks</t>
  </si>
  <si>
    <t>Location matters: Using spatially explicit occupancy models to predict the distribution of the highly mobile, endangered swift parrot</t>
  </si>
  <si>
    <t>Detectability; EM Algorithm; Spatial autocorrelation; Lathamus discolor; Zero-inflated Binomial models; Species distribution modelling</t>
  </si>
  <si>
    <t>ESTIMATING SITE OCCUPANCY; IMPERFECT DETECTION; DETECTION PROBABILITIES; SPECIES DISTRIBUTIONS; EM ALGORITHM; ABUNDANCE; AUTOCORRELATION; ECOLOGY; REGRESSION; PRECISION</t>
  </si>
  <si>
    <t>Occupancy modelling using data collected by repeatedly sampling sites is a common approach utilised by land managers to understand species distributions and trends. Two important factors that can complicate interpretation of these models are imperfect detection and spatial autocorrelation. We examine the effect of these potential errors using a multi-year data set on the distribution of the migratory and endangered swift parrot (Lathamus discolor). We simultaneously account for these effects by extending a zero-inflated Binomial (ZIB) framework to allow the inclusion of semiparametric, smooth spatial terms into both the occupancy and detection component of the model, in a maximum likelihood framework easily implemented in common software. This approach also has the advantage of relatively straightforward model selection procedures. We show that occupancy and detectability were strongly linked to food availability, but the strength of this relationship varied annually. Explicitly recognising spatial variability through the inclusion of semiparametric spatially smooth terms in the ZIBs significantly improved models in all years, and we suggest this predictor is an effective proxy for unmeasured environmental covariates or conspecific attraction. Importantly, the spatially explicit ZIBs predicted fewer occupied sites in more defined areas compared to non-spatial ZIBs. Given the importance of predicted distributions in land management, habitat protection and conservation of swift parrots, these models serve as an important tool in understanding and describing their ecology. Our results also reinforce the need for designing surveys that capture the underlying spatial structure of an ecosystem, especially when studying mobile aggregating species. (C) 2014 Elsevier Ltd. All rights reserved.</t>
  </si>
  <si>
    <t>[Webb, Matthew H.; Stojanovic, Dejan; Heinsohn, Robert; Cunningham, Ross; Terauds, Aleks] Australian Natl Univ, Fenner Sch Environm &amp; Soc, Canberra, ACT 0200, Australia; [Webb, Matthew H.] Dept Primary Ind Pk Water &amp; Environm, Hobart, Tas 7000, Australia; [Wotherspoon, Simon] Univ Tasmania, Inst Marine &amp; Antarctic Studies, Sandy Bay, Tas 7005, Australia; [Bell, Phil] Univ Tasmania, Dept Zool, Sandy Bay, Tas 7005, Australia</t>
  </si>
  <si>
    <t>Australian National University; University of Tasmania; University of Tasmania</t>
  </si>
  <si>
    <t>Webb, MH (corresponding author), DPIPWE, GPO Box 44, Hobart, Tas 7001, Australia.</t>
  </si>
  <si>
    <t>Matthew.Webb@dpipwe.tas.gov.au</t>
  </si>
  <si>
    <t>Wotherspoon, Simon J/B-2390-2013; Stojanovic, Dejan/AAB-3113-2019; Terauds, Aleks/A-4991-2010; Stojanovic, Dejan/AFQ-4247-2022</t>
  </si>
  <si>
    <t>Wotherspoon, Simon J/0000-0002-6947-4445; Stojanovic, Dejan/0000-0002-1176-3244; Stojanovic, Dejan/0000-0002-1176-3244; Terauds, Aleks/0000-0001-7804-6648; Heinsohn, Robert/0000-0002-2514-9448</t>
  </si>
  <si>
    <t>Australian Government through a Caring for Our Country Grant</t>
  </si>
  <si>
    <t>Australian Government through a Caring for Our Country Grant(Australian Government)</t>
  </si>
  <si>
    <t>This study was largely funded by the Australian Government through a Caring for Our Country Grant. Fiona Hume, Dave James, Shaun Thurstans, Alan Wiltshire, Chris Spencer, Chris Tzaros and over 35 skilled volunteers from Bird Life Australia provided invaluable support during data collection. The Department of Primary Industries, Parks, Water and Environment and the Forest Practices Authority provided further logistical support. Melodie McGeoch and three anonymous reviewers provided useful comments that improved the manuscript.</t>
  </si>
  <si>
    <t>10.1016/j.biocon.2014.05.017</t>
  </si>
  <si>
    <t>WOS:000340223500011</t>
  </si>
  <si>
    <t>Hollesen, J; Bickersteth, J; Watson, N; Friesen, M</t>
  </si>
  <si>
    <t>Hollesen, Jorgen; Bickersteth, Julian; Watson, Nigel; Friesen, Max</t>
  </si>
  <si>
    <t>Conference Review</t>
  </si>
  <si>
    <t>CONSERVATION AND MANAGEMENT OF ARCHAEOLOGICAL SITES</t>
  </si>
  <si>
    <t>[Hollesen, Jorgen] Natl Museum Denmark, Dept Environm Archaeol &amp; Mat Sci, Copenhagen, Denmark; [Bickersteth, Julian; Watson, Nigel] IPHC, Sydney, NSW, Australia; [Bickersteth, Julian] Int Conservat Serv, Sydney, NSW, Australia; [Watson, Nigel] New Zealand Antarctic Heritage Trust, Christchurch, New Zealand; [Friesen, Max] Univ Toronto, Dept Anthropol, Toronto, ON M5S 1A1, Canada</t>
  </si>
  <si>
    <t>University of Toronto</t>
  </si>
  <si>
    <t>Hollesen, J (corresponding author), Natl Museum Denmark, Dept Environm Archaeol &amp; Mat Sci, Copenhagen, Denmark.</t>
  </si>
  <si>
    <t>Joergen.Hollesen@natmus.dk; J.Bickersteth@icssydney.com; n.watson@nzaht.org; max.friesen@utoronto.ca</t>
  </si>
  <si>
    <t>Hollesen, Jorgen/0000-0001-8775-2026</t>
  </si>
  <si>
    <t>MANEY PUBLISHING</t>
  </si>
  <si>
    <t>LEEDS</t>
  </si>
  <si>
    <t>STE 1C, JOSEPHS WELL, HANOVER WALK, LEEDS LS3 1AB, W YORKS, ENGLAND</t>
  </si>
  <si>
    <t>1350-5033</t>
  </si>
  <si>
    <t>1753-5522</t>
  </si>
  <si>
    <t>CONSERV MANAGE ARCHA</t>
  </si>
  <si>
    <t>Conserv. Manag. Archaeol. Sites</t>
  </si>
  <si>
    <t>10.1179/1350503315Z.00000000087</t>
  </si>
  <si>
    <t>Archaeology</t>
  </si>
  <si>
    <t>Arts &amp; Humanities Citation Index (A&amp;HCI)</t>
  </si>
  <si>
    <t>CO6YJ</t>
  </si>
  <si>
    <t>WOS:000359303400007</t>
  </si>
  <si>
    <t>Cherukuru, N; Brando, VE; Schroeder, T; Clementson, LA; Dekker, AG</t>
  </si>
  <si>
    <t>Cherukuru, Nagur; Brando, Vittorio E.; Schroeder, Thomas; Clementson, Lesley A.; Dekker, Arnold G.</t>
  </si>
  <si>
    <t>Influence of river discharge and ocean currents on coastal optical properties</t>
  </si>
  <si>
    <t>Tasmania; Inherent optical properties; River discharge; Ocean currents; Light propagation</t>
  </si>
  <si>
    <t>DISSOLVED ORGANIC-MATTER; BIOOPTICAL PROPERTIES; MARINE PARTICLES; LIGHT-SCATTERING; INTERANNUAL VARIABILITY; ENGLISH-CHANNEL; ABSORPTION; WATERS; TASMANIA; BACKSCATTERING</t>
  </si>
  <si>
    <t>The variability in the optical properties of a coastal region influenced by river runoff and multiple ocean currents in a southern hemisphere setting has been studied. The study area. Tasmanian coastal waters, is influenced by subtropical currents such as the East Australian Current (EAC) and the Zeehan Current (ZC) mix with cooler sub-Antarctic water (SAW). Freshwater discharges from rivers around the island and their mixing with the ocean currents also influence Tasmanian coastal waters. This study was performed to understand the influence of hydrodynamic processes on coastal optical properties and underwater light propagation. Physical, biogeochemical and optical properties were measured in Tasmanian coastal water during the austral autumn of 2007. In this study we found that physical properties have a good correlation with optical properties indicating the role played by hydrodynamic processes in distribution of optically active substances, optical properties of the water mass and underwater light propagation. Analysis of in situ salinity and temperature confirmed the presence of relatively cooler ZC in the South-West region, a cooler mixture of the ZC and SAW in the South-East, warm and saline EAC waters along the East coast and relatively cooler and fresh Bass straight waters along the North coast. In Tasmanian coastal waters light absorption in the water column is controlled by Coloured Dissolved Organic Matter (CDOM) with regionally varying contributions from Non-Algal Particulate (NAP) matter and phytoplankton. Absorption due to CDOM and NAP show a conservative mixing behaviour indicating that these biogeochemical components were delivered by the river and diluted in the coastal water. Suspended particulate matter in Tasmanian coastal water are highly scattering in nature and the beam attenuation is mainly due to light scattering. Variability in probability of light backscattering was mainly due to varying availability of non-algal particulate matter in the surface waters, which is controlled by river discharges in the region. Beam attenuation was high in coastal waters that are influenced by river runoff and increasing beam attenuation had constrained the underwater light propagation in these coastal waters. In the absence of major rivers along the East coast, optical properties were mainly influenced by the EAC water mass. Optical properties of the East coast were clearly different from the rest of the Tasmanian regions. In other regions the influence of ocean currents is subtle due to strong mixing between river discharges and ocean water mass. Overall, analysis of bio-optical properties shows that optical properties are constrained by regional hydrodynamic processes. Results presented highlight importance of using hydrodynamic process specific bio-optical properties and parameterisation in modelling light propagation in coastal ecosystems that are influenced by multiple ocean currents and river discharges. (C) 2014 Elsevier Ltd. All rights reserved.</t>
  </si>
  <si>
    <t>[Cherukuru, Nagur; Brando, Vittorio E.; Dekker, Arnold G.] CSIRO, Land &amp; Water, Black Mt Labs, Canberra, ACT 2601, Australia; [Schroeder, Thomas] CSIRO, Land &amp; Water, Brisbane, Qld 4102, Australia; [Clementson, Lesley A.] CSIRO, Marine &amp; Atmospher Res, Hobart, Tas 7000, Australia</t>
  </si>
  <si>
    <t>Commonwealth Scientific &amp; Industrial Research Organisation (CSIRO); CSIRO Land &amp; Water; Commonwealth Scientific &amp; Industrial Research Organisation (CSIRO); Commonwealth Scientific &amp; Industrial Research Organisation (CSIRO)</t>
  </si>
  <si>
    <t>Cherukuru, N (corresponding author), CSIRO, Land &amp; Water, Black Mt Labs, Canberra, ACT 2601, Australia.</t>
  </si>
  <si>
    <t>nagur.cherukuru@csiro.au</t>
  </si>
  <si>
    <t>Brando, Vittorio/A-1321-2008; Schroeder, Thomas T/D-6009-2011; Clementson, Lesley A/M-6905-2013; Cherukuru, Raghu Chandra Nagur/B-3563-2012; Dekker, Arnold/G-8863-2011</t>
  </si>
  <si>
    <t>Brando, Vittorio/0000-0002-2193-5695; Clementson, Lesley/0000-0003-4415-993X; cherukuru, Nagur/0000-0002-3617-5852; Dekker, Arnold/0000-0002-8160-6498</t>
  </si>
  <si>
    <t>CSIRO Wealth from Oceans Flagship; CSIRO Land and Water division; Australian Government through the National Collaborative Research Infrastructure Strategy; Super Science Initiative</t>
  </si>
  <si>
    <t>CSIRO Wealth from Oceans Flagship(Commonwealth Scientific &amp; Industrial Research Organisation (CSIRO)); CSIRO Land and Water division; Australian Government through the National Collaborative Research Infrastructure Strategy(Australian GovernmentDepartment of Industry, Innovation and Science); Super Science Initiative</t>
  </si>
  <si>
    <t>This research was funded by CSIRO Wealth from Oceans Flagship and CSIRO Land and Water division. The authors thank Paul Daniel (CLW) for his help with the optical instrumentation and the master and crew of RV Challenger for their support in collecting the water samples. Satellite SST image was sourced from the Integrated Marine Observing System (IMOS) - IMOS is supported by the Australian Government through the National Collaborative Research Infrastructure Strategy and the Super Science Initiative. We thank CSIRO internal reviewers for their constructive comments that helped improve the manuscript. Two anonymous reviewers are acknowledged for their pertinent suggestions that helped to improve the clarity of the manuscript.</t>
  </si>
  <si>
    <t>10.1016/j.csr.2014.04.022</t>
  </si>
  <si>
    <t>WOS:000339696200015</t>
  </si>
  <si>
    <t>Wilkens, C; Poulsen, JCN; Ramlov, H; Lo Leggio, L</t>
  </si>
  <si>
    <t>Wilkens, Casper; Poulsen, Jens-Christian N.; Ramlov, Hans; Lo Leggio, Leila</t>
  </si>
  <si>
    <t>Purification, crystal structure determination and functional characterization of type III antifreeze proteins from the European eelpout Zoarces viviparus</t>
  </si>
  <si>
    <t>Antifreeze protein; Zoarces viviparus; Crystal structure; Dimerization; Protein purification</t>
  </si>
  <si>
    <t>ANTARCTIC EEL POUT; ICE-BINDING; THERMAL HYSTERESIS; INHIBITION; MUTATIONS; MECHANISM; RESIDUES; SURFACE; FISHES; GROWTH</t>
  </si>
  <si>
    <t>Antifreeze proteins (AFPs) are essential components of many organisms adaptation to cold temperatures. Fish type III AFPs are divided into two groups, SP isoforms being much less active than QAE1 isoforms. Two type III AFPs from Zoarces viviparus, a QAE1 (ZvAFP13) and an SP (ZvAFP6) isoform, are here characterized and their crystal structures determined. We conclude that the higher activity of the QAE1 isoforms cannot be attributed to single residues, but rather a combination of structural effects. Furthermore both ZvAFP6 and ZvAFP13 crystal structures have water molecules around TI8 equivalent to the tetrahedral-like waters previously identified in a neutron crystal structure. Interestingly, ZvAFP6 forms dimers in the crystal, with a significant dimer interface. The presence of ZvAFP6 dimers was confirmed in solution by native electrophoresis and gel filtration. To our knowledge this is the first report of dimerization of AFP type III proteins. (C) 2014 Elsevier Inc. All rights reserved.</t>
  </si>
  <si>
    <t>[Wilkens, Casper; Poulsen, Jens-Christian N.; Lo Leggio, Leila] Univ Copenhagen, Dept Chem, DK-2100 Copenhagen, Denmark; [Ramlov, Hans] Roskilde Univ, Dept Sci Syst &amp; Models, DK-4000 Roskilde, Denmark</t>
  </si>
  <si>
    <t>University of Copenhagen; Roskilde University</t>
  </si>
  <si>
    <t>Lo Leggio, L (corresponding author), Univ Copenhagen, Dept Chem, Univ Parken 5, DK-2100 Copenhagen, Denmark.</t>
  </si>
  <si>
    <t>cwil@bio.dtu.dk; jnp@chem.ku.dk; hr@ruc.dk; leila@chem.ku.dk</t>
  </si>
  <si>
    <t>Wilkens, Casper/GRR-1975-2022; Wilkens, Casper/R-1070-2016; Wilkens, Casper/AAP-4214-2021; Lo Leggio, Leila/B-4287-2015</t>
  </si>
  <si>
    <t>Wilkens, Casper/0000-0001-7692-067X; Ramlov, Hans/0000-0003-1113-0583; Lo Leggio, Leila/0000-0002-5135-0882</t>
  </si>
  <si>
    <t>DANSCATT program (Danish National Research Council)</t>
  </si>
  <si>
    <t>The work was funded solely through internal funding of the institutions at which the authors were employed, with exception of allocation of beamtime at the MAXLAB synchrotron and support for travel to the synchrotrons through the DANSCATT program (Danish National Research Council).</t>
  </si>
  <si>
    <t>10.1016/j.cryobiol.2014.07.003</t>
  </si>
  <si>
    <t>WOS:000340691700025</t>
  </si>
  <si>
    <t>Smith, KE; Thatje, S; Singh, H; Amsler, MO; Vos, SC; McClintock, JB; Brothers, CJ; Brown, A; Ellis, D; Anderson, JS; Aronson, RB</t>
  </si>
  <si>
    <t>Smith, Kathryn E.; Thatje, Sven; Singh, Hanumant; Amsler, Margaret O.; Vos, Stephanie C.; McClintock, James B.; Brothers, Cecilia J.; Brown, Alastair; Ellis, Daniel; Anderson, Jeffrey S.; Aronson, Richard B.</t>
  </si>
  <si>
    <t>Discovery of a recent, natural whale fall on the continental slope off Anvers Island, western Antarctic Peninsula</t>
  </si>
  <si>
    <t>Polar; Deep Sea; Food Fall; Cetacean; Mobile-Scavenger; Paralomis birsteini; Whale Fall</t>
  </si>
  <si>
    <t>DEEP-SEA; FEEDING-HABITS; LITHODIDAE; FAUNA; ECOSYSTEMS; CARCASSES; DECAPODA; SKELETON; ANOMURA; BAY</t>
  </si>
  <si>
    <t>Whale falls provide a substantial, nutrient-rich resource for species in areas of the ocean that may otherwise be largely devoid of food. We report the discovery of a natural whale fall at 1430 m depth in the cold waters of the continental slope off the western Antarctic Peninsula. This is the highest-latitude whale fall reported to date. The section of the carcass we observed the tail fluke was more complete than any previously reported natural whale fall from the deep sea and in the early stages of decomposition. We estimate the entire cetacean to measure 5-8 m in length. The flesh remained almost intact on the carcass but the skin was missing from the entire section except for the end of the fluke, clearly exposing blubber and soft tissue. The absence of skin indicates rapid and Homogeneous loss. The dominant macrofauna present were crustaceans, including most prominently the lithodid crab Paralomis birsteini, and zoarcid fish typical of the 'mobile-scavenger' successional stage. The density of mobile macrofauna was greatest on the carcass and declined to background levels within 100 m, indicating that they were attracted to the whale fall. This whale fall offers an important opportunity to examine the decomposition of a carcass under deep-sea conditions at polar latitudes. (C) 2014 Elsevier Ltd. All rights reserved.</t>
  </si>
  <si>
    <t>[Smith, Kathryn E.; Vos, Stephanie C.; Ellis, Daniel; Aronson, Richard B.] Florida Inst Technol, Dept Biol Sci, Melbourne, FL 32901 USA; [Thatje, Sven; Brown, Alastair] Univ Southampton, Southampton SO14 3ZH, Hants, England; [Singh, Hanumant; Anderson, Jeffrey S.] Woods Hole Oceanog Inst, Dept Appl Ocean Phys &amp; Engn, Woods Hole, MA 02543 USA; [Amsler, Margaret O.; McClintock, James B.; Brothers, Cecilia J.] Univ Alabama Birmingham, Dept Biol, Birmingham, AL 35294 USA</t>
  </si>
  <si>
    <t>Florida Institute of Technology; University of Southampton; Woods Hole Oceanographic Institution; University of Alabama System; University of Alabama Birmingham</t>
  </si>
  <si>
    <t>Smith, KE (corresponding author), Florida Inst Technol, Dept Biol Sci, 150 West Univ Blvd, Melbourne, FL 32901 USA.</t>
  </si>
  <si>
    <t>kathryn@fit.edu</t>
  </si>
  <si>
    <t>Smith, Kathryn/G-5257-2014; Ellis, Daniel/GWN-0700-2022; Brown, Alastair/I-7875-2012</t>
  </si>
  <si>
    <t>Smith, Kathryn/0000-0002-7240-1490; Brown, Alastair/0000-0002-2126-203X; Aronson, Richard/0000-0003-0383-3844</t>
  </si>
  <si>
    <t>U.S. National Science Foundation [ANT-1141877, ANT-1141896]; Directorate For Geosciences; Office of Polar Programs (OPP) [1141877] Funding Source: National Science Foundation; Office of Polar Programs (OPP); Directorate For Geosciences [1141896] Funding Source: National Science Foundation</t>
  </si>
  <si>
    <t>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</si>
  <si>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are grateful to the captain and crew of the RV Nathaniel B. Palmer, and to the US Antarctic Support Contractor, Lockheed Martin, for their assistance at sea. We thank J.T. Eastman and two anonymous reviewers for helpful comments on the manuscript. Funding was provided by grants from the U.S. National Science Foundation: ANT-1141877 to R.B.A. and ANT-1141896 to J.B.M. This is contribution 122 from the Institute for Research on Global Climate Change at the Florida Institute of Technology.</t>
  </si>
  <si>
    <t>10.1016/j.dsr.2014.04.013</t>
  </si>
  <si>
    <t>AL2TN</t>
  </si>
  <si>
    <t>WOS:000338978400007</t>
  </si>
  <si>
    <t>De Schepper, S; Gibbard, PL; Salzmann, U; Ehlers, J</t>
  </si>
  <si>
    <t>De Schepper, Stijn; Gibbard, Philip L.; Salzmann, Ulrich; Ehlers, Juergen</t>
  </si>
  <si>
    <t>A global synthesis of the marine and terrestrial evidence for glaciation during the Pliocene Epoch</t>
  </si>
  <si>
    <t>EARTH-SCIENCE REVIEWS</t>
  </si>
  <si>
    <t>Pliocene; Northern Hemisphere; Southern Hemisphere; Ice sheet; Climate; Global compilation</t>
  </si>
  <si>
    <t>ANTARCTIC ICE-SHEET; NORTHERN-HEMISPHERE GLACIATION; ATMOSPHERIC CARBON-DIOXIDE; LATE CENOZOIC GLACIATIONS; SEA-SURFACE TEMPERATURES; CENTRAL EAST GREENLAND; SOUTHERN-OCEAN; SIRIUS GROUP; LATE NEOGENE; BARENTS SEA</t>
  </si>
  <si>
    <t>The Pliocene climate is globally warm and characterised by high atmospheric carbon dioxide concentrations, yet the terrestrial and marine scientific communities have gathered considerable evidence for substantial glaciation events in both the Northern and Southern Hemisphere prior to the Quaternary. Evidence on land is fragmentary, but marine records of glaciation present a more complete history of Pliocene glaciation. Here we present a global compilation of the terrestrial and marine glacial evidence for the Pliocene and demonstrate four glaciation events that can be identified in the Southern and/or Northern Hemisphere prior to the latest Pliocene intensification of Northern Hemisphere glaciation. There are two globally recognisable glacial events in the early Pliocene (c. 4.9-4.8 Ma and c. 4.0 Ma), one event around the early/late Pliocene transition (c. 3.6 Ma), and one event during Marine Isotope Stage M2 (c. 3.3 Ma). Long-term climate cooling, decreasing carbon dioxide concentrations in the atmosphere and high climate sensitivity in the Pliocene probably facilitated each glaciation event, however the mechanisms behind the early Pliocene glacial events are unclear. The global glaciation at c. 3.3 Ma may be caused by changes in ocean gateways, whereas the decline in carbon dioxide concentrations is important for the latest Pliocene intensification of Northern Hemisphere glaciation. (C) 2014 Elsevier B.V. All rights reserved.</t>
  </si>
  <si>
    <t>[De Schepper, Stijn] Univ Bergen, Dept Earth Sci, N-5020 Bergen, Norway; [Gibbard, Philip L.] Univ Cambridge, Dept Geog, Cambridge CB2 3EN, England; [Salzmann, Ulrich] Northumbria Univ, Fac Engn &amp; Environm, Dept Geog, Newcastle Upon Tyne NE1 8ST, Tyne &amp; Wear, England</t>
  </si>
  <si>
    <t>University of Bergen; University of Cambridge; Northumbria University</t>
  </si>
  <si>
    <t>De Schepper, S (corresponding author), Uni Res Climate, Allegaten 55, N-5007 Bergen, Norway.</t>
  </si>
  <si>
    <t>stijn.deschepper@geo.uib.no; plg1@cam.ac.uk; ulrich.salzmann@northumbria.ac.uk; jehlersqua@aol.com</t>
  </si>
  <si>
    <t>Salzmann, Ulrich/H-9929-2017; Gibbard, Phil/AAU-8014-2021; De Schepper, Stijn/A-2836-2011</t>
  </si>
  <si>
    <t>Salzmann, Ulrich/0000-0001-5598-5327; De Schepper, Stijn/0000-0002-6934-0914</t>
  </si>
  <si>
    <t>Natural Environment Research Council (NERC) [NE/H000984/1]; NERC [NE/H000984/1] Funding Source: UKRI; Natural Environment Research Council [NE/H000984/1]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</si>
  <si>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</si>
  <si>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Jens Matthiessen and an anonymous reviewer for their constructive review. US acknowledges funding received from the Natural Environment Research Council (NERC Grant NE/H000984/1).</t>
  </si>
  <si>
    <t>0012-8252</t>
  </si>
  <si>
    <t>1872-6828</t>
  </si>
  <si>
    <t>EARTH-SCI REV</t>
  </si>
  <si>
    <t>Earth-Sci. Rev.</t>
  </si>
  <si>
    <t>10.1016/j.earscirev.2014.04.003</t>
  </si>
  <si>
    <t>AL0LC</t>
  </si>
  <si>
    <t>WOS:000338817400007</t>
  </si>
  <si>
    <t>Kopp, RE; Horton, RM; Little, CM; Mitrovica, JX; Oppenheimer, M; Rasmussen, DJ; Strauss, BH; Tebaldi, C</t>
  </si>
  <si>
    <t>Kopp, Robert E.; Horton, Radle M.; Little, Christopher M.; Mitrovica, Jerry X.; Oppenheimer, Michael; Rasmussen, D. J.; Strauss, Benjamin H.; Tebaldi, Claudia</t>
  </si>
  <si>
    <t>Probabilistic 21st and 22nd century sea-level projections at a global network of tide-gauge sites</t>
  </si>
  <si>
    <t>EARTHS FUTURE</t>
  </si>
  <si>
    <t>sea level; coastal flooding; climate change; risk analysis; uncertainty quantification</t>
  </si>
  <si>
    <t>ICE-SHEET; CLIMATE-CHANGE; RISE; MODEL; IMPACT; MELT; GREENLAND; VARIABILITY; ANTARCTICA; RESOLUTION</t>
  </si>
  <si>
    <t>Sea-level rise due to both climate change and non-climatic factors threatens coastal settlements, infrastructure, and ecosystems. Projections of mean global sea-level (GSL) rise provide insufficient information to plan adaptive responses; local decisions require local projections that accommodate different risk tolerances and time frames and that can be linked to storm surge projections. Here we present a global set of local sea-level (LSL) projections to inform decisions on timescales ranging from the coming decades through the 22nd century. We provide complete probability distributions, informed by a combination of expert community assessment, expert elicitation, and process modeling. Between the years 2000 and 2100, we project a very likely (90% probability) GSL rise of 0.5-1.2 m under representative concentration pathway (RCP) 8.5, 0.4-0.9 m under RCP 4.5, and 0.3-0.8 m under RCP 2.6. Site-to-site differences in LSL projections are due to varying non-climatic background uplift or subsidence, oceanographic effects, and spatially variable responses of the geoid and the lithosphere to shrinking land ice. The Antarctic ice sheet (AIS) constitutes a growing share of variance in GSL and LSL projections. In the global average and at many locations, it is the dominant source of variance in late 21st century projections, though at some sites oceanographic processes contribute the largest share throughout the century. LSL rise dramatically reshapes flood risk, greatly increasing the expected number of 1-in-10 and 1-in-100 year events.</t>
  </si>
  <si>
    <t>[Kopp, Robert E.] Rutgers State Univ, Rutgers Energy Inst, Dept Earth &amp; Planetary Sci, New Brunswick, NJ 08903 USA; [Kopp, Robert E.] Rutgers State Univ, Inst Marine &amp; Coastal Sci, New Brunswick, NJ 08903 USA; [Horton, Radle M.] Columbia Univ, Ctr Climate Syst Res, New York, NY USA; [Little, Christopher M.; Oppenheimer, Michael] Princeton Univ, Woodrow Wilson Sch Policy &amp; Int Affairs, Princeton, NJ 08544 USA; [Little, Christopher M.; Oppenheimer, Michael] Princeton Univ, Dept Geosci, Princeton, NJ 08544 USA; [Mitrovica, Jerry X.] Harvard Univ, Dept Earth &amp; Planetary Sci, Cambridge, MA 02138 USA; [Rasmussen, D. J.] Rhodium Grp, Oakland, CA USA; [Strauss, Benjamin H.; Tebaldi, Claudia] Climate Cent, Princeton, NJ USA; [Tebaldi, Claudia] Natl Ctr Atmospher Res, Boulder, CO 80307 USA</t>
  </si>
  <si>
    <t>Rutgers University System; Rutgers University New Brunswick; Rutgers University System; Rutgers University New Brunswick; Columbia University; Princeton University; Princeton University; Harvard University; National Center Atmospheric Research (NCAR) - USA</t>
  </si>
  <si>
    <t>Kopp, RE (corresponding author), Rutgers State Univ, Rutgers Energy Inst, Dept Earth &amp; Planetary Sci, New Brunswick, NJ 08903 USA.</t>
  </si>
  <si>
    <t>robert.kopp@rutgers.edu</t>
  </si>
  <si>
    <t>IPO, PAGES/JXY-7546-2024; Kopp, Robert E/B-8822-2008; Tebaldi, Claudia/E-3089-2013</t>
  </si>
  <si>
    <t>Rasmussen, D.J./0000-0003-4668-5749; Strauss, Benjamin/0000-0002-6856-6575; Tebaldi, Claudia/0000-0001-9233-8903; Oppenheimer, Michael/0000-0002-9708-5914</t>
  </si>
  <si>
    <t>Risky Business Project; U.S. National Science Foundation [ARC-1203415]; Past Global Changes/IMAGES (International Marine Past Global Change Study); New York City Panel on Climate Change; Division Of Earth Sciences; Directorate For Geosciences [1440015] Funding Source: National Science Foundation; Office of Polar Programs (OPP); Directorate For Geosciences [1203415] Funding Source: National Science Foundation</t>
  </si>
  <si>
    <t>Risky Business Project; U.S. National Science Foundation(National Science Foundation (NSF)); Past Global Changes/IMAGES (International Marine Past Global Change Study); New York City Panel on Climate Change; Division Of Earth Sciences; Directorate For Geosciences(National Science Foundation (NSF)NSF - Directorate for Geosciences (GEO)); Office of Polar Programs (OPP); Directorate For Geosciences(National Science Foundation (NSF)NSF - Directorate for Geosciences (GEO))</t>
  </si>
  <si>
    <t>R.E.K. and D.J.R. were supported in part by the Risky Business Project. Development of the algorithms for background rate extraction from tide-gauge data was supported by U.S. National Science Foundation grant ARC-1203415. We thank C. Hay, B. Horton, K. Miller, E. Morrow, S. Rahmstorf, an anonymous reviewer, the members of the PALSEA2 (Palaeo-Constraints on Sea-Level Rise) working group funded by Past Global Changes/IMAGES (International Marine Past Global Change Study), and the members of New York City Panel on Climate Change and its Technical Team for helpful discussions. We acknowledge the World Climate Research Programme's Working Group on Coupled Modeling, which is responsible for CMIP, and we thank the climate modeling groups (listed in Supporting Information Table S2)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</si>
  <si>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2328-4277</t>
  </si>
  <si>
    <t>Earth Future</t>
  </si>
  <si>
    <t>10.1002/2014EF000239</t>
  </si>
  <si>
    <t>CN0WH</t>
  </si>
  <si>
    <t>WOS:000358134200003</t>
  </si>
  <si>
    <t>Daunt, F; Reed, TE; Newell, M; Burthe, S; Phillips, RA; Lewis, S; Wanless, S</t>
  </si>
  <si>
    <t>Daunt, F.; Reed, T. E.; Newell, M.; Burthe, S.; Phillips, R. A.; Lewis, S.; Wanless, S.</t>
  </si>
  <si>
    <t>Longitudinal bio-logging reveals interplay between extrinsic and intrinsic carry-over effects in a long-lived vertebrate</t>
  </si>
  <si>
    <t>ECOLOGY</t>
  </si>
  <si>
    <t>breeding phenology; data logger; downstream effects; European Shag; fitness; life-history trade-offs; random regression; reproductive success; seabird; seasonal interactions</t>
  </si>
  <si>
    <t>PHENOTYPIC PLASTICITY; POPULATION-DYNAMICS; FITNESS; WINTER; EVENTS; MODEL</t>
  </si>
  <si>
    <t>Carry-over effects have major implications for individual fitness and population and evolutionary dynamics. The strength of these effects is dependent on an individual's intrinsic performance and the environmental conditions it experiences. However, understanding the relative importance of environmental and intrinsic effects underpinning seasonal interactions has proved extremely challenging, since they covary. A powerful approach is longitudinal measurement of individuals across a range of conditions, whereby each animal is effectively acting as its own control. We related time spent foraging during the nonbreeding period to subsequent breeding performance in European Shags Phalacrocorax aristotelis. By following individuals for up to six years, we could test simultaneously for extrinsic and intrinsic effects using random regression modeling. We detected significant annual and among-individual variation in daily foraging time during the late winter, and clear variation among individuals in the quadratic relationship between foraging time and date. Shorter foraging times were associated with earlier and more successful breeding, driven by differences among years and individuals, with no evidence of individual variation in the slope of these relationships. That both environmental and intrinsic variation shape carry-over effects has important implications for population responses to environmental change.</t>
  </si>
  <si>
    <t>[Daunt, F.; Newell, M.; Burthe, S.; Wanless, S.] Ctr Ecol &amp; Hydrol, Penicuik EH26 0QB, Midlothian, Scotland; [Reed, T. E.] Natl Univ Ireland Univ Coll Cork, Sch Biol Earth &amp; Environm Sci, Cork, Ireland; [Phillips, R. A.] British Antarctic Survey, Nat Environm Res Council, Cambridge CB3 0ET, England; [Lewis, S.] Univ Edinburgh, Sch Biol Sci, Inst Evolutionary Biol, Edinburgh EH9 3JT, Midlothian, Scotland</t>
  </si>
  <si>
    <t>UK Centre for Ecology &amp; Hydrology (UKCEH); University College Cork; UK Research &amp; Innovation (UKRI); Natural Environment Research Council (NERC); NERC British Antarctic Survey; University of Edinburgh</t>
  </si>
  <si>
    <t>Daunt, F (corresponding author), Ctr Ecol &amp; Hydrol, Bush Estate, Penicuik EH26 0QB, Midlothian, Scotland.</t>
  </si>
  <si>
    <t>frada@ceh.ac.uk</t>
  </si>
  <si>
    <t>Reed, Thomas E/A-5788-2012; Lewis, Sue/D-3380-2012; Burthe, Sarah/Q-9505-2016; Daunt, Francis/K-6688-2012</t>
  </si>
  <si>
    <t>Reed, Thomas E/0000-0002-2993-0477; Lewis, Sue/0000-0003-3511-2259; Burthe, Sarah/0000-0001-8871-3432; Daunt, Francis/0000-0003-4638-3388</t>
  </si>
  <si>
    <t>Natural Environmental Research Council; Beaufort Marine Research Award in Fish Population Genetics; Irish Government under the Sea Change Programme; NERC [bas0100025, NE/E012906/1] Funding Source: UKRI; Natural Environment Research Council [NE/E012906/1, ceh010010, bas0100025] Funding Source: researchfish</t>
  </si>
  <si>
    <t>Natural Environmental Research Council(UK Research &amp; Innovation (UKRI)Natural Environment Research Council (NERC)); Beaufort Marine Research Award in Fish Population Genetics; Irish Government under the Sea Change Programme; NERC(UK Research &amp; Innovation (UKRI)Natural Environment Research Council (NERC)); Natural Environment Research Council(UK Research &amp; Innovation (UKRI)Natural Environment Research Council (NERC))</t>
  </si>
  <si>
    <t>We are grateful to Debbie Russell, Hanna Granroth-Wilding, and Katherine Herborn for help in the field; Mike Harris, Emma Cunningham, and Dan Nussey for useful discussions; and Adam Butler for statistical advice. We are grateful to Jon Green and an anonymous referee for valuable comments on the manuscript. We thank Scottish Natural Heritage for access to the Isle of May and Natural Environmental Research Council for funding. T. E. Reed was funded by the Beaufort Marine Research Award in Fish Population Genetics funded by the Irish Government under the Sea Change Programme.</t>
  </si>
  <si>
    <t>0012-9658</t>
  </si>
  <si>
    <t>1939-9170</t>
  </si>
  <si>
    <t>10.1890/13-1797.1</t>
  </si>
  <si>
    <t>AM9QK</t>
  </si>
  <si>
    <t>WOS:000340215900007</t>
  </si>
  <si>
    <t>Pinkernell, S; Beszteri, B</t>
  </si>
  <si>
    <t>Pinkernell, Stefan; Beszteri, Bank</t>
  </si>
  <si>
    <t>Potential effects of climate change on the distribution range of the main silicate sinker of the Southern Ocean</t>
  </si>
  <si>
    <t>ECOLOGY AND EVOLUTION</t>
  </si>
  <si>
    <t>Diatom; Fragilariopsis kerguelensis; Maxent; phytoplankton; Southern Ocean; species distribution model</t>
  </si>
  <si>
    <t>EARTH SYSTEM MODEL; DIATOM DISTRIBUTION; SURFACE SEDIMENTS; ATLANTIC SECTOR; NICHE; CARBON; BIOGEOGRAPHY; IRON; PREDICTION; SCENARIOS</t>
  </si>
  <si>
    <t>Fragilariopsis kerguelensis, a dominant diatom species throughout the Antarctic Circumpolar Current, is coined to be one of the main drivers of the biological silicate pump. Here, we study the distribution of this important species and expected consequences of climate change upon it, using correlative species distribution modeling and publicly available presence-only data. As experience with SDM is scarce for marine phytoplankton, this also serves as a pilot study for this organism group. We used the maximum entropy method to calculate distribution models for the diatom F. kerguelensis based on yearly and monthly environmental data (sea surface temperature, salinity, nitrate and silicate concentrations). Observation data were harvested from GBIF and the Global Diatom Database, and for further analyses also from the Hustedt Diatom Collection (BRM). The models were projected on current yearly and seasonal environmental data to study current distribution and its seasonality. Furthermore, we projected the seasonal model on future environmental data obtained from climate models for the year 2100. Projected on current yearly averaged environmental data, all models showed similar distribution patterns for F. kerguelensis. The monthly model showed seasonality, for example, a shift of the southern distribution boundary toward the north in the winter. Projections on future scenarios resulted in a moderately to negligibly shrinking distribution area and a change in seasonality. We found a substantial bias in the publicly available observation datasets, which could be reduced by additional observation records we obtained from the Hustedt Diatom Collection. Present-day distribution patterns inferred from the models coincided well with background knowledge and previous reports about F. kerguelensis distribution, showing that maximum entropy-based distribution models are suitable to map distribution patterns for oceanic planktonic organisms. Our scenario projections indicate moderate effects of climate change upon the biogeography of F. kerguelensis.</t>
  </si>
  <si>
    <t>[Pinkernell, Stefan; Beszteri, Bank] Helmholtz Zentrum Polar &amp; Meeresforsch, Alfred Wegener Inst, D-27570 Bremerhaven, Germany</t>
  </si>
  <si>
    <t>Pinkernell, S (corresponding author), Helmholtz Zentrum Polar &amp; Meeresforsch, Alfred Wegener Inst, Handelshafen 12, D-27570 Bremerhaven, Germany.</t>
  </si>
  <si>
    <t>pinkernell@awi.de; bank.beszteri@awi.de</t>
  </si>
  <si>
    <t>Beszteri, Bank/D-1961-2010</t>
  </si>
  <si>
    <t>Beszteri, Bank/0000-0002-6852-1588</t>
  </si>
  <si>
    <t>Deutsche Forschungsgemeinschaft (DFG) [BE 4316/2-1]</t>
  </si>
  <si>
    <t>Thanks to Christine Klaas, Stephan Frickenhaus, Antonie Haas, Hartmut Hellmer, Ana Macario, Christian Schafer-Neth, Kerstin Jerosch, and Christoph Volker for discussion, suggestions, and comments. This work was supported by the Deutsche Forschungsgemeinschaft (DFG) in the framework of the priority program Antarctic Research with comparative investigations in Arctic ice areas by grant number BE 4316/2-1. Thanks to two anonymous reviewers for constructive criticism which greatly helped to improve this manuscript.</t>
  </si>
  <si>
    <t>2045-7758</t>
  </si>
  <si>
    <t>ECOL EVOL</t>
  </si>
  <si>
    <t>Ecol. Evol.</t>
  </si>
  <si>
    <t>10.1002/ece3.1138</t>
  </si>
  <si>
    <t>Ecology; Evolutionary Biology</t>
  </si>
  <si>
    <t>Environmental Sciences &amp; Ecology; Evolutionary Biology</t>
  </si>
  <si>
    <t>AO2WS</t>
  </si>
  <si>
    <t>WOS:000341188300001</t>
  </si>
  <si>
    <t>Nobi, EP; Kumar, PKD</t>
  </si>
  <si>
    <t>Nobi, E. P.; Kumar, P. K. Dinesh</t>
  </si>
  <si>
    <t>Environmental characteristics of tropical coral reef-seagrass dominated lagoons (Lakshadweep, India) and implications to resilience to climate change</t>
  </si>
  <si>
    <t>Ecosystem; Atoll; Ocean acidification; Sediment pH; IRS P6</t>
  </si>
  <si>
    <t>PHOTOSYNTHETIC RESPONSES; ZOSTERA-MARINA; SEDIMENTS; MORTALITY; ISLANDS; WATER; GULF; BEDS</t>
  </si>
  <si>
    <t>Environmental characteristics of the coral reef-seagrass ecosystem of selected Lakshadweep Islands (India) were assessed with a view to understanding the future climate change scenario in the region. Images obtained from the Indian remote sensing satellite (IRS P6) were used to identify the different zones such as the corals, the seagrass and the sandy region. The pH (7.6-8.6) of sediment was relatively high in the coral reef compared to the seagrass area, possibly indicating a climate shift-induced coral bleaching. The water quality and sediment texture generally showed marked intra-and inter-island variations illustrating that these coral reef ecosystems are highly vulnerable to climate change brought about by increased human interventions. Future research should therefore explore the habitat and resource connections, to predict their restoring capabilities for a sustainable exploitation. With an alarming increase in the population and associated developmental activities, the island ecosystems are expected to respond severely to the climate change, which may eventually lead to mass mortality of corals due to bleaching.</t>
  </si>
  <si>
    <t>[Nobi, E. P.] Minist Environm &amp; Forests, New Delhi 110003, India; [Kumar, P. K. Dinesh] CSIR, Natl Inst Oceanog, Reg Ctr, Kochi g 682018, Kerala, India</t>
  </si>
  <si>
    <t>Council of Scientific &amp; Industrial Research (CSIR) - India; CSIR - National Institute of Oceanography (NIO)</t>
  </si>
  <si>
    <t>Nobi, EP (corresponding author), Minist Environm &amp; Forests, CGO Complex,Lodhi Rd, New Delhi 110003, India.</t>
  </si>
  <si>
    <t>nobiep2007@gmail.com; dineshku@nio.org</t>
  </si>
  <si>
    <t>Ministry of Environment and Forests, New Delhi</t>
  </si>
  <si>
    <t>We thank Dr. T. Balasubramanian, former Dean and Dr. T. Thangaradjou, Assistant Professor, Centre of Advanced Study in Marine Biology, Annamalai University and Dr. S.W.A. Naqvi, Director, CSIR-National Institute of Oceanography, India for the encouragement and support. We also Thank Dr. C. T. Achuthankutty, Visiting Scientist, National Centre for Antarctic and Ocean Research (NCAOR), MoES, Goa for the critical reading of an earlier version of this manuscript. We thank Prof. Ramola Antao, consultant, Senior Cambridge English examinations in India, for editing the manuscript. The first author is thankful to the Ministry of Environment and Forests, New Delhi for the financial support and Department of Environment and Forests, Lakshadweep islands for the logistic support provided during the field investigations.</t>
  </si>
  <si>
    <t>10.1007/s12665-013-3020-9</t>
  </si>
  <si>
    <t>AO1PB</t>
  </si>
  <si>
    <t>WOS:000341084400006</t>
  </si>
  <si>
    <t>Di Giuseppe, G; Erra, F; Frontini, FP; Dini, F; Vallesi, A; Luporini, P</t>
  </si>
  <si>
    <t>Di Giuseppe, Graziano; Erra, Fabrizio; Frontini, Francesco Paolo; Dini, Fernando; Vallesi, Adriana; Luporini, Pierangelo</t>
  </si>
  <si>
    <t>Improved description of the bipolar ciliate, Euplotes petzi, and definition of its basal position in the Euplotes phylogenetic tree</t>
  </si>
  <si>
    <t>EUROPEAN JOURNAL OF PROTISTOLOGY</t>
  </si>
  <si>
    <t>Bipolar species; Ciliate taxonomy and phylogeny; Marine microfauna; Polar microorganisms; SSU rRNA gene sequences</t>
  </si>
  <si>
    <t>PROTOZOAN CILIATE; BALTEATUS DUJARDIN; ANTARCTIC CILIATE; SIGNAL PROTEINS; COLD-ADAPTATION; 1932 CILIOPHORA; MATING TYPES; 1841 KAHL; SEA-ICE; NOBILII</t>
  </si>
  <si>
    <t>Data improving the characterization of the marine Euplotes species, E. petzi Wilbert and Song, 2008, were obtained from morphological, ecological and genetic analyses of Antarctic and Arctic wild-type strains. This species is identified by a minute (mean size, 46 mu m x 32 mu m) and ellipsoidal cell body which is dorsally decorated with an argyrome of the double-patella type, five dorsal kineties (of which the median one contains 8-10 dikinetids), five sharp-edged longitudinal ridges, and a right anterior spur. Ventrally, it bears 10 fronto-ventral, five transverse, two caudal and two marginal cirri, 30-35 adoral membranelles, and three inconspicuous ridges. Euplotes petzi grows well at 4 degrees C on green algae, does not produce cysts, undergoes mating under the genetic control of a multiple mating-type system, constitutively secretes water-borne pheromones, and behaves as a psychrophilic microorganism unable to survive at &gt;15 degrees C. While the alpha-tubulin gene sequence determination did not provide useful information on the E. petzi molecular phylogeny, the small subunit rRNA (SSU rRNA) gene sequence determination provided solid evidence that E. petzi clusters with E. sinicus Jiang et al., 2010a, into a clade which represents the deepest branch at the base of the Euplotes phylogentic tree. (C) 2014 Elsevier GmbH. All rights reserved.</t>
  </si>
  <si>
    <t>[Di Giuseppe, Graziano; Erra, Fabrizio; Frontini, Francesco Paolo; Dini, Fernando] Univ Pisa, Dept Biol, I-56126 Pisa, Italy; [Vallesi, Adriana; Luporini, Pierangelo] Univ Camerino, Lab Eukaryot Microbiol &amp; Anim Biol, I-62032 Camerino, MC, Italy</t>
  </si>
  <si>
    <t>University of Pisa; University of Camerino</t>
  </si>
  <si>
    <t>Luporini, P (corresponding author), Univ Camerino, Lab Eukaryot Microbiol &amp; Anim Biol, I-62032 Camerino, MC, Italy.</t>
  </si>
  <si>
    <t>piero.luporini@unicam.it</t>
  </si>
  <si>
    <t>Vallesi, Adriana/I-9933-2016</t>
  </si>
  <si>
    <t>Vallesi, Adriana/0000-0002-4127-090X; Di Giuseppe, Graziano/0000-0002-9999-7650</t>
  </si>
  <si>
    <t>Italian Programma Nazionale di Ricerche in Antartide (PNRA)</t>
  </si>
  <si>
    <t>This research was financially supported by the Italian Programma Nazionale di Ricerche in Antartide (PNRA). The authors warmly thank Mrs. Sheila Betty for her editing of the English usage.</t>
  </si>
  <si>
    <t>ELSEVIER GMBH, URBAN &amp; FISCHER VERLAG</t>
  </si>
  <si>
    <t>JENA</t>
  </si>
  <si>
    <t>OFFICE JENA, P O BOX 100537, 07705 JENA, GERMANY</t>
  </si>
  <si>
    <t>0932-4739</t>
  </si>
  <si>
    <t>1618-0429</t>
  </si>
  <si>
    <t>EUR J PROTISTOL</t>
  </si>
  <si>
    <t>Eur. J. Protistol.</t>
  </si>
  <si>
    <t>10.1016/j.ejop.2014.05.001</t>
  </si>
  <si>
    <t>AO6PW</t>
  </si>
  <si>
    <t>WOS:000341475000008</t>
  </si>
  <si>
    <t>Pichrtová, M; Hájek, T; Elster, J</t>
  </si>
  <si>
    <t>Pichrtova, Martina; Hajek, Tomas; Elster, Josef</t>
  </si>
  <si>
    <t>Osmotic stress and recovery in field populations of Zygnema sp (Zygnematophyceae, Streptophyta) on Svalbard (High Arctic) subjected to natural desiccation</t>
  </si>
  <si>
    <t>green algae; osmotic stress; plasmolysis</t>
  </si>
  <si>
    <t>GREEN-ALGA KLEBSORMIDIUM; COMPATIBLE SOLUTE ACCUMULATION; TURGOR PRESSURE REGULATION; ECOPHYSIOLOGICAL PERFORMANCE; FRESH-WATER; CHLOROPHYLL FLUORESCENCE; PHENOLIC-COMPOUNDS; TERRESTRIAL ALGAE; ANTARCTIC STRAINS; NY-ALESUND</t>
  </si>
  <si>
    <t>Zygnema is a genus of filamentous green algae belonging to the class of Zygnematophyceae (Streptophyta). In the Arctic, it typically forms extensive mats in habitats that regularly dry out during summer, and therefore, mechanisms of stress resistance are expected. We investigated its natural populations with respect to production of specialized desiccation-resistant cells and osmotic acclimation. Six populations in various stages of natural desiccation were selected, from wet biomass floating in water to dried paper-like crusts. After rewetting, plasmolysis and osmotic stress effects were studied using hypertonic sorbitol solutions, and the physiological state was estimated using chlorophyll a fluorescence parameters. All populations of Zygnema sp. formed stationary-phase cells filled with storage products. In green algal research, such cells are traditionally called akinetes. However, the populations differed in their reaction to osmotic stress. Whereas the wet-collected samples were strongly impaired, the osmotic stress resistance of the naturally dried samples was comparable to that of true aeroterrestrial algae. We showed that arctic populations of Zygnema acclimate well to natural desiccation via hardening that is mediated by slow desiccation. As no other types of specialized cells were observed, we assume that the naturally hardened akinetes also play a key role in winter survival.</t>
  </si>
  <si>
    <t>[Pichrtova, Martina; Hajek, Tomas; Elster, Josef] Acad Sci Czech Republ, Inst Bot, Trebon, Czech Republic; [Pichrtova, Martina] Charles Univ Prague, Dept Bot, Fac Sci, Prague 12801 2, Czech Republic; [Hajek, Tomas; Elster, Josef] Univ South Bohemia, Fac Sci, Ctr Polar Ecol, Ceske Budejovice, Czech Republic</t>
  </si>
  <si>
    <t>Czech Academy of Sciences; Institute of Botany of the Czech Academy of Sciences; Charles University Prague; University of South Bohemia Ceske Budejovice</t>
  </si>
  <si>
    <t>Pichrtová, M (corresponding author), Charles Univ Prague, Dept Bot, Fac Sci, Benatska 2, Prague 12801 2, Czech Republic.</t>
  </si>
  <si>
    <t>martina.pichrtova@natur.cuni.cz</t>
  </si>
  <si>
    <t>Hájek, Tomáš/H-3923-2011; Pichrtová, Martina/N-1298-2014; Elster, Josef/B-1031-2008</t>
  </si>
  <si>
    <t>Hájek, Tomáš/0000-0002-5981-5840; Pichrtová, Martina/0000-0002-6003-9666; Elster, Josef/0000-0002-4535-5636</t>
  </si>
  <si>
    <t>Ministry of Education, Youth and Sports of the Czech Republic [Czech-Polar LM2010009]; Charles University Science Foundation [GAUK 794413]; Academy of Sciences of the Czech Republic [RVO 67985939]</t>
  </si>
  <si>
    <t>Ministry of Education, Youth and Sports of the Czech Republic(Ministry of Education, Youth &amp; Sports - Czech Republic); Charles University Science Foundation; Academy of Sciences of the Czech Republic(Czech Academy of Sciences)</t>
  </si>
  <si>
    <t>This work was supported by the Ministry of Education, Youth and Sports of the Czech Republic, project Czech-Polar LM2010009, by the Charles University Science Foundation project GAUK 794413 and by the long-term research development project of the Academy of Sciences of the Czech Republic RVO 67985939.</t>
  </si>
  <si>
    <t>10.1111/1574-6941.12288</t>
  </si>
  <si>
    <t>WOS:000340535200006</t>
  </si>
  <si>
    <t>Kong, WD; Li, W; Romancova, I; Prásil, O; Morgan-Kiss, RM</t>
  </si>
  <si>
    <t>Kong, Weidong; Li, Wei; Romancova, Ingrid; Prasil, Ondrej; Morgan-Kiss, Rachael M.</t>
  </si>
  <si>
    <t>An integrated study of photochemical function and expression of a key photochemical gene (psbA) in photosynthetic communities of Lake Bonney (McMurdo Dry Valleys, Antarctica)</t>
  </si>
  <si>
    <t>Antarctica; ice-covered lake; light; photochemistry; phytoplankton</t>
  </si>
  <si>
    <t>CHLAMYDOMONAS-RAUDENSIS; WATER COLUMN; PHYTOPLANKTON; ICE; PICOPHYTOPLANKTON; CHLOROPHYCEAE; ADAPTATION; DIVERSITY; CAPACITY; NUTRIENT</t>
  </si>
  <si>
    <t>Lake Bonney is one of several permanently ice-covered lakes in the McMurdo Dry Valleys, Antarctica, which maintain the only year-round biological activity on the Antarctic continent. Vertically stratified populations of autotrophic microorganisms occupying the water columns are adapted to numerous extreme conditions, including very low light, hypersalinity, ultra-oligotrophy and low temperatures. In this study, we integrated molecular biology, microscopy, flow cytometry, and functional photochemical analyses of the photosynthetic communities residing in the east and west basins of dry valley Lake Bonney. Diversity and abundance of the psbA gene encoding a major protein of the photosystem II reaction center were monitored during the seasonal transition between Antarctic summer (24-h daylight) to winter (24-h darkness). Vertical trends through the photic zone in psbA abundance (DNA and mRNA) closely matched that of primary production in both lobes. Seasonal trends in psbA transcripts differed between the two lobes, with psbA expression in the west basin exhibiting a transient rise in early Fall. Last, using spectroscopic and flow cytometric analyses, we provide the first evidence that the Lake Bonney photosynthetic community is dominated by picophytoplankton that possess photosynthetic apparatus adapted to extreme shade.</t>
  </si>
  <si>
    <t>[Kong, Weidong; Li, Wei; Morgan-Kiss, Rachael M.] Miami Univ, Dept Microbiol, Oxford, OH 45045 USA; [Romancova, Ingrid; Prasil, Ondrej] Inst Microbiol ASCR, Lab Photosynth, Algatech, Trebon, Czech Republic</t>
  </si>
  <si>
    <t>University System of Ohio; Miami University; Czech Academy of Sciences; Institute of Microbiology of the Czech Academy of Sciences</t>
  </si>
  <si>
    <t>Morgan-Kiss, RM (corresponding author), Miami Univ, Dept Microbiol, Oxford, OH 45045 USA.</t>
  </si>
  <si>
    <t>morganr2@miamioh.edu</t>
  </si>
  <si>
    <t>Kong, Weidong/H-7432-2012; Prasil, Ondrej/H-2454-2014</t>
  </si>
  <si>
    <t>Kong, Weidong/0000-0001-9682-1484; Prasil, Ondrej/0000-0002-0012-4359; Morgan-kiss, Rachael/0000-0003-4783-5358</t>
  </si>
  <si>
    <t>NSF Office of Polar Programs [OPP-0631659, OPP-1056396]; project Algatech (MSMT) [CZ.1.05/2.1.00/03.0110]; Directorate For Geosciences; Office of Polar Programs (OPP) [1056396] Funding Source: National Science Foundation</t>
  </si>
  <si>
    <t>NSF Office of Polar Programs(National Science Foundation (NSF)); project Algatech (MSMT); Directorate For Geosciences; Office of Polar Programs (OPP)(National Science Foundation (NSF)NSF - Directorate for Geosciences (GEO))</t>
  </si>
  <si>
    <t>The authors thank the McMurdo LTER limnology team for collection and preservation of the samples in Antarctica. We thank Ratheon Polar Services and PHI helicopters for logistical support. We thank the Center for Bioinformatics and Functional Genomics at Miami University for assistance with sequencing. This work was supported by NSF Office of Polar Programs Grants OPP-0631659 and OPP-1056396. O.P. and I.R. were supported by project Algatech (MSMT Grant CZ.1.05/2.1.00/03.0110).</t>
  </si>
  <si>
    <t>10.1111/1574-6941.12296</t>
  </si>
  <si>
    <t>WOS:000340535200008</t>
  </si>
  <si>
    <t>van Dorst, J; Bissett, A; Palmer, AS; Brown, M; Snape, I; Stark, JS; Raymond, B; McKinlay, J; Ji, MK; Winsley, T; Ferrari, BC</t>
  </si>
  <si>
    <t>van Dorst, Josie; Bissett, Andrew; Palmer, Anne S.; Brown, Mark; Snape, Ian; Stark, Jonathan S.; Raymond, Ben; McKinlay, John; Ji, Mukan; Winsley, Tristrom; Ferrari, Belinda C.</t>
  </si>
  <si>
    <t>Community fingerprinting in a sequencing world</t>
  </si>
  <si>
    <t>ARISA; T-RFLP; polar soils; Antarctica; Arctic; microbial ecology</t>
  </si>
  <si>
    <t>FRAGMENT-LENGTH-POLYMORPHISM; INTERGENIC SPACER ANALYSIS; SOIL BACTERIAL COMMUNITIES; MICROBIAL DIVERSITY; MULTIVARIATE ANALYSES; RARE BIOSPHERE; DISTANCE; RICHNESS; WRINKLES; QUALITY</t>
  </si>
  <si>
    <t>Despite decreasing costs, generating large-scale, well-replicated and multivariate microbial ecology investigations with sequencing remains an expensive and time-consuming option. As a result, many microbial ecology investigations continue to suffer from a lack of appropriate replication. We evaluated two fingerprinting approaches -terminal restriction fragment length polymorphism (T-RFLP) and automated ribosomal intergenic spacer analysis (ARISA) against 454 pyrosequencing, by applying them to 225 polar soil samples from East Antarctica and the high Arctic. By incorporating local and global spatial scales into the dataset, our aim was to determine whether various approaches differed in their ability and hence utility, to identify ecological patterns. Through the reduction in the 454 sequencing data to the most dominant OTUs, we revealed that a surprisingly small proportion of abundant OTUs (&lt; 0.25%) was driving the biological patterns observed. Overall, ARISA and T-RFLP had a similar capacity as sequencing to separate samples according to distance at a local scale, and to correlate environmental variables with microbial community structure. Pyrosequencing had a greater resolution at the global scale but all methods were capable of significantly differentiating the polar sites. We conclude fingerprinting remains a legitimate approach to generating large datasets as well as a cost-effective rapid method to identify samples for elucidating taxonomic information or diversity estimates with sequencing methods.</t>
  </si>
  <si>
    <t>[van Dorst, Josie; Brown, Mark; Ji, Mukan; Ferrari, Belinda C.] UNSW Australia, Sch Biotechnol &amp; Biomol Sci, Randwick, NSW 2052, Australia; [Bissett, Andrew] CSIRO Plant Ind, Canberra, ACT, Australia; [Palmer, Anne S.; Snape, Ian; Stark, Jonathan S.; Raymond, Ben; McKinlay, John; Winsley, Tristrom] Australian Antarctic Div, Kingston, Tas, Australia</t>
  </si>
  <si>
    <t>University of New South Wales Sydney; Commonwealth Scientific &amp; Industrial Research Organisation (CSIRO); Plant Industry; Australian Antarctic Division</t>
  </si>
  <si>
    <t>Ferrari, BC (corresponding author), UNSW Australia, Sch Biotechnol &amp; Biomol Sci, Randwick, NSW 2052, Australia.</t>
  </si>
  <si>
    <t>b.ferrari@unsw.edu.au</t>
  </si>
  <si>
    <t>Ji, Mukan/AAI-5743-2020; Bissett, Andrew/AFR-3887-2022; Ferrari, Belinda/AAI-3022-2020; Stark, Jonathan/ABF-4025-2020</t>
  </si>
  <si>
    <t>Bissett, Andrew/0000-0001-7396-1484; Ferrari, Belinda/0000-0001-5043-3726; Stark, Jonathan/0000-0002-4268-8072; van Dorst, Josie/0000-0002-9353-8787; McKinlay, John/0000-0003-4858-2604; Ji, Mukan/0000-0001-8139-2875</t>
  </si>
  <si>
    <t>Australian Antarctic Science Grant [AAS 2952]; Australian Antarctic Division</t>
  </si>
  <si>
    <t>Australian Antarctic Science Grant; Australian Antarctic Division</t>
  </si>
  <si>
    <t>The authors would like to thank the Australian Antarctic Division for financial and logistical support towards the successful collection of the polar soils. This research was supported by Australian Antarctic Science Grant AAS 2952.</t>
  </si>
  <si>
    <t>10.1111/1574-6941.12308</t>
  </si>
  <si>
    <t>WOS:000340535200010</t>
  </si>
  <si>
    <t>Richter, I; Herbold, CW; Lee, CK; McDonald, IR; Barrett, JE; Cary, SC</t>
  </si>
  <si>
    <t>Richter, Ingrid; Herbold, Craig W.; Lee, Charles K.; McDonald, Ian R.; Barrett, John E.; Cary, Stephen C.</t>
  </si>
  <si>
    <t>Influence of soil properties on archaeal diversity and distribution in the McMurdo Dry Valleys, Antarctica</t>
  </si>
  <si>
    <t>Antarctic soils; Archaea; Euryarchaeota; Thaumarchaeota; pyrosequencing</t>
  </si>
  <si>
    <t>SOUTHERN VICTORIA-LAND; LAKE FRYXELL; MESOPHILIC CRENARCHAEOTA; KINGDOM CRENARCHAEOTA; MICROBIAL COMMUNITIES; PHYLOGENETIC ANALYSIS; AMOA GENES; BACTERIAL; ABUNDANCE; ECOLOGY</t>
  </si>
  <si>
    <t>Archaea are the least understood members of the microbial community in Antarctic mineral soils. Although their occurrence in Antarctic coastal soils has been previously documented, little is known about their distribution in soils across the McMurdo Dry Valleys, Victoria Land. In this study, terminal-restriction fragment length polymorphism (t-RFLP) analysis and 454 pyrosequencing were coupled with a detailed analysis of soil physicochemical properties to characterize archaeal diversity and identify environmental factors that might shape and maintain archaeal communities in soils of the three southern most McMurdo Dry Valleys (Garwood, Marshall, and Miers Valley). Archaea were successfully detected in all inland and coastal mineral soils tested, revealing a low overall richness (mean of six operational taxonomic units [OTUs] per sample site). However, OTU richness was higher in some soils and this higher richness was positively correlated with soil water content, indicating water as a main driver of archaeal community richness. In total, 18 archaeal OTUs were detected, predominately Thaumarchaeota affiliated with Marine Group 1.1b (&gt; 80% of all archaeal sequences recovered). Less abundant OTUs (2% of all archaeal sequences) were loosely related to members of the phylum Euryarchaeota. This is the first comprehensive study showing a widespread presence and distribution of Archaea in inland Antarctic soils.</t>
  </si>
  <si>
    <t>[Richter, Ingrid; Herbold, Craig W.; Lee, Charles K.; McDonald, Ian R.; Cary, Stephen C.] Univ Waikato, Sch Sci, Hamilton, New Zealand; [Herbold, Craig W.; Lee, Charles K.; McDonald, Ian R.; Cary, Stephen C.] Univ Waikato, Int Ctr Terr Antarctic Res, Hamilton, New Zealand; [Barrett, John E.] Virginia Tech, Dept Biol Sci, Blacksburg, VA USA; [Cary, Stephen C.] Univ Delaware, Coll Marine &amp; Earth Studies, Lewes, DE 19958 USA</t>
  </si>
  <si>
    <t>University of Waikato; University of Waikato; Virginia Polytechnic Institute &amp; State University; University of Delaware</t>
  </si>
  <si>
    <t>Cary, SC (corresponding author), Univ Waikato, Sch Sci, Private Bag 3105, Hamilton, New Zealand.</t>
  </si>
  <si>
    <t>caryc@waikato.ac.nz</t>
  </si>
  <si>
    <t>lee, charles/AAW-6627-2021; Herbold, Craig William/S-4397-2018; Lee, Charles/AAC-9417-2019; McDonald, Ian R/A-4851-2008; Barrett, John/D-5851-2016</t>
  </si>
  <si>
    <t>lee, charles/0000-0001-6906-4895; Herbold, Craig William/0000-0003-3479-0197; Lee, Charles/0000-0002-6562-4733; McDonald, Ian R/0000-0002-4847-6492; Richter, Ingrid/0000-0001-7700-039X; Cary, Stephen/0000-0002-2876-2387; Barrett, John/0000-0002-7610-0505</t>
  </si>
  <si>
    <t>Foundation for Research, Science and Technology; International Centre for Terrestrial Antarctic Research; National Science Foundation [ANT-0229836]; New Zealand Marsden Fund [UOW0802, UOW1003]</t>
  </si>
  <si>
    <t>Foundation for Research, Science and Technology(New Zealand Foundation for Research, Science and Technology); International Centre for Terrestrial Antarctic Research; National Science Foundation(National Science Foundation (NSF)); New Zealand Marsden Fund(Royal Society of New ZealandMarsden Fund (NZ))</t>
  </si>
  <si>
    <t>nzTABS was supported by funding from the Foundation for Research, Science and Technology and the International Centre for Terrestrial Antarctic Research. We acknowledge Antarctica New Zealand for logistics and their overriding support for the project. We especially thank Eric Bottos and Sarah Kelly (Waikato University) for assistance with DNA extraction and sample preparation for 454 pyrosequencing that was carried out at the Waikato DNA Sequencing Facility, Hamilton, New Zealand. We thank Steve Pointing for help with the manuscript. This research was also partially supported by a National Science Foundation grant to SCC and JEB (ANT-0229836). The New Zealand Marsden Fund provided financial support for CWH, IRM, and SCC (UOW0802) and CKL (UOW1003).</t>
  </si>
  <si>
    <t>10.1111/1574-6941.12322</t>
  </si>
  <si>
    <t>WOS:000340535200012</t>
  </si>
  <si>
    <t>Ganzert, L; Bajerski, F; Wagner, D</t>
  </si>
  <si>
    <t>Ganzert, Lars; Bajerski, Felizitas; Wagner, Dirk</t>
  </si>
  <si>
    <t>Bacterial community composition and diversity of five different permafrost-affected soils of Northeast Greenland</t>
  </si>
  <si>
    <t>Northeast Greenland; Arctic; active layer soil; T-RFLP; bacterial community</t>
  </si>
  <si>
    <t>16S RIBOSOMAL-RNA; MICROBIAL DIVERSITY; SP-NOV.; LENA DELTA; PSYCHROTOLERANT BACTERIUM; PHYLOGENETIC DIVERSITY; THERMOPHILIC BACTERIA; DOMINANT BACTERIA; GLOBAL TRANSPORT; CARBON TURNOVER</t>
  </si>
  <si>
    <t>Greenland is one of the regions of interest with respect to climate change and global warming in the Northern Hemisphere. Little is known about the structure and diversity of the terrestrial bacterial communities in ice-free areas in northern Greenland. These soils are generally poorly developed and usually carbon- and nitrogen-limited. Our goal was to provide the first insights into the soil bacterial communities from five different sites in Northeast Greenland using culture-independent and culture-dependent methods. The comparison of environmental and biological data showed that the soil bacterial communities are diverse and significantly pH-dependent. The most frequently detected OTUs belonged to the phyla Acidobacteria, Bacteroidetes and (Alpha-, Beta-, Delta-) Proteobacteria. Low pH together with higher nitrogen and carbon concentrations seemed to support the occurrence of (Alpha-, Beta-, Delta-) Proteobacteria (at the expense of Acidobacteria), whereas Bacteroidetes were predominant at higher values of soil pH. Our study indicates that pH is the main factor for shaping bacterial community, but carbon and nitrogen concentrations as well may become important, especially for selecting oligotrophic microorganisms.</t>
  </si>
  <si>
    <t>[Ganzert, Lars; Bajerski, Felizitas] Helmholtz Ctr Polar &amp; Marine Res, Alfred Wegener Inst, Potsdam, Germany; [Wagner, Dirk] GFZ German Res Ctr Geosci, Sect Geomicrobiol 4 5, D-14473 Potsdam, Germany</t>
  </si>
  <si>
    <t>Helmholtz Association; Alfred Wegener Institute, Helmholtz Centre for Polar &amp; Marine Research; Helmholtz Association; Helmholtz-Center Potsdam GFZ German Research Center for Geosciences</t>
  </si>
  <si>
    <t>Wagner, D (corresponding author), GFZ German Res Ctr Geosci, Sect Geomicrobiol 4 5, Telegrafenberg C-425, D-14473 Potsdam, Germany.</t>
  </si>
  <si>
    <t>Dirk.Wagner@gfz-potsdam.de</t>
  </si>
  <si>
    <t>Wagner, Dirk/C-3932-2012; Ganzert, Lars/AAT-1992-2021</t>
  </si>
  <si>
    <t>Wagner, Dirk/0000-0001-5064-497X; Ganzert, Lars/0000-0001-9595-1041</t>
  </si>
  <si>
    <t>Deutsche Forschungsgemeinschaft (DFG) [WA 1554/4]</t>
  </si>
  <si>
    <t>The fieldwork was conducted as part of the ARK XIX/4 expedition with RV Polarstern organized by the Alfred Wegener Institute, Helmholtz Centre for Polar and Marine Research. We thank the crew and captain of RV Polarstern, the crew of the helicopters, the expedition leader Wilfried Jokat and our fieldwork companions, particularly Bernd Wagner (University of Cologne) for organization of the land campaign and Svenja Kobabe (Alfred Wegener Institute) for soil sampling. We are grateful for the help and technical assistance of Ute Bastian and Friederike Bruns. We also thank Andre Lipski (University of Osnabrueck) for his support in classifying the isolated strains and Henrik Knecht (Stadtisches Krankenhaus Kiel, Hematology) for providing the R-based statistics. We thank Amedea Perfumo (GFZ German Research Centre for Geosciences Potsdam) for helping with the manuscript. This study was supported by the Deutsche Forschungsgemeinschaft (DFG) in the framework of the priority program 'Antarctic Research with Comparative Investigations in Arctic Ice Areas' by a grant to D. W. (WA 1554/4). The authors declare no conflict of interest.</t>
  </si>
  <si>
    <t>10.1111/1574-6941.12352</t>
  </si>
  <si>
    <t>WOS:000340535200018</t>
  </si>
  <si>
    <t>Archer, SDJ; McDonald, IR; Herbold, CW; Cary, SC</t>
  </si>
  <si>
    <t>Archer, Stephen D. J.; McDonald, Ian R.; Herbold, Craig W.; Cary, Stephen C.</t>
  </si>
  <si>
    <t>Characterisation of bacterioplankton communities in the meltwater ponds of Bratina Island, Victoria Land, Antarctica</t>
  </si>
  <si>
    <t>Antarctic; planktonic; microorganism; community; meltwater</t>
  </si>
  <si>
    <t>MCMURDO-ICE-SHELF; INTERGENIC SPACER ANALYSIS; MICROBIAL MATS; SP-NOV.; CYANOBACTERIAL MATS; DRY VALLEYS; BACTERIAL DIVERSITY; SPATIAL VARIABILITY; LAKE FRYXELL; GEN. NOV.</t>
  </si>
  <si>
    <t>A unique collection of Antarctic aquatic environments (meltwater ponds) lies in close proximity on the rock and sediment-covered undulating surface of the McMurdo Ice Shelf, near Bratina Island (Victoria Land, Antarctica). During the 2009-10 mid-austral summer, sets of discrete water samples were collected across the vertical geochemical gradients of five meltwater ponds (Egg, P70E, Legin, Salt and Orange) for geochemical and microbial community structure analysis. Bacterial DNA fingerprints (using Automated Ribosomal Intergenic Spacer Analysis) statistically clustered communities within ponds based on ANOSIM (R = 0.766, P = 0.001); however, one highly stratified pond (Egg) had two distinct depth-related bacterial communities (R = 0.975, P = 0.008). 454 pyrosequencing at three depths within Egg also identified phylum level shifts and increased diversity with depth, Bacteroidetes being the dominant phyla in the surface sample and Proteobacteria being dominant in the bottom two depths. BEST analysis, which attempts to link community structure and the geochemistry of a pond, identified conductivity and pH individually, and to a lesser extent Ag-109, NO2 and V-51 as dominant influences to the microbial community structure in these ponds. Increasing abundances of major halo-tolerant OTUs across the strong conductivity gradient reinforce it as the primary driver of community structure in this study.</t>
  </si>
  <si>
    <t>[Archer, Stephen D. J.; McDonald, Ian R.; Herbold, Craig W.; Cary, Stephen C.] Univ Waikato, Sch Sci, Int Ctr Terr Antarctic Res, Hamilton 3240, New Zealand</t>
  </si>
  <si>
    <t>University of Waikato</t>
  </si>
  <si>
    <t>Cary, SC (corresponding author), Univ Waikato, Sch Sci, Private Bag 3105, Hamilton 3240, New Zealand.</t>
  </si>
  <si>
    <t>Herbold, Craig William/S-4397-2018; McDonald, Ian R/A-4851-2008</t>
  </si>
  <si>
    <t>Herbold, Craig William/0000-0003-3479-0197; McDonald, Ian R/0000-0002-4847-6492; Cary, Stephen/0000-0002-2876-2387</t>
  </si>
  <si>
    <t>New Zealand Post; Antarctica New Zealand through their postgraduate research programme [K160]; International Centre for Terrestrial Antarctic Research (ICTAR) at the University of Waikato</t>
  </si>
  <si>
    <t>New Zealand Post; Antarctica New Zealand through their postgraduate research programme; International Centre for Terrestrial Antarctic Research (ICTAR) at the University of Waikato</t>
  </si>
  <si>
    <t>This Research was funded by New Zealand Post and logistical support was provided by Antarctica New Zealand through their postgraduate research programme (project number K160). Support was also provided by the International Centre for Terrestrial Antarctic Research (ICTAR) at the University of Waikato. We are grateful to Sarah Kelly for assistance with 454 sample preparation and Charles Lee for sequence data processing and other advice during the project.</t>
  </si>
  <si>
    <t>10.1111/1574-6941.12358</t>
  </si>
  <si>
    <t>WOS:000340535200020</t>
  </si>
  <si>
    <t>Geyer, KM; Altrichter, AE; Takacs-Vesbach, CD; Van Horn, DJ; Gooseff, MN; Barrett, JE</t>
  </si>
  <si>
    <t>Geyer, Kevin M.; Altrichter, Adam E.; Takacs-Vesbach, Cristina D.; Van Horn, David J.; Gooseff, Michael N.; Barrett, John E.</t>
  </si>
  <si>
    <t>Bacterial community composition of divergent soil habitats in a polar desert</t>
  </si>
  <si>
    <t>Antarctic Dry Valleys; environmental gradients; microbial ecology; geochemical severity</t>
  </si>
  <si>
    <t>VICTORIA LAND; DIVERSITY; BIOGEOGRAPHY</t>
  </si>
  <si>
    <t>Edaphic factors such as pH, organic matter, and salinity are often the most significant drivers of diversity patterns in soil bacterial communities. Desert ecosystems in particular are model locations for examining such relationships as food web complexity is low and the soil environment is biogeochemically heterogeneous. Here, we present the findings from a 16S rRNA gene sequencing approach used to observe the differences in diversity and community composition among three divergent soil habitats of the McMurdo Dry Valleys, Antarctica. Results show that alpha diversity is significantly lowered in high pH soils, which contain higher proportions of the phyla Acidobacteria and Actinobacteria, while mesic soils with higher soil organic carbon (and ammonium) content contain high proportions of Nitrospira, a nitrite-oxidizing bacteria. Taxonomic community resolution also had a significant impact on our conclusions, as pH was the primary predictor of phylum-level diversity, while moisture was the most significant predictor of diversity at the genus level. Predictive power also increased with increasing taxonomic resolution, suggesting a potential increase in niche-based drivers of bacterial community composition at such levels.</t>
  </si>
  <si>
    <t>[Geyer, Kevin M.; Altrichter, Adam E.; Barrett, John E.] Virginia Polytech Inst &amp; State Univ, Dept Biol Sci, Blacksburg, VA 24061 USA; [Takacs-Vesbach, Cristina D.; Van Horn, David J.] Univ New Mexico, Dept Biol, Albuquerque, NM 87131 USA; [Gooseff, Michael N.] Penn State Univ, Dept Civil &amp; Environm Engn, University Pk, PA 16802 USA</t>
  </si>
  <si>
    <t>Virginia Polytechnic Institute &amp; State University; University of New Mexico; Pennsylvania Commonwealth System of Higher Education (PCSHE); Pennsylvania State University; Pennsylvania State University - University Park</t>
  </si>
  <si>
    <t>Geyer, KM (corresponding author), Virginia Polytech Inst &amp; State Univ, Dept Biol Sci, Blacksburg, VA 24061 USA.</t>
  </si>
  <si>
    <t>geyerkev@vt.edu</t>
  </si>
  <si>
    <t>Gooseff, Michael N/N-6087-2015; Barrett, John/D-5851-2016</t>
  </si>
  <si>
    <t>Gooseff, Michael N/0000-0003-4322-8315; Barrett, John/0000-0002-7610-0505; Geyer, Kevin/0000-0002-5218-2745</t>
  </si>
  <si>
    <t>Directorate For Geosciences; Office of Polar Programs (OPP) [1115245] Funding Source: National Science Foundation; Division Of Environmental Biology; Direct For Biological Sciences [1210570] Funding Source: National Science Foundation</t>
  </si>
  <si>
    <t>Directorate For Geosciences; Office of Polar Programs (OPP)(National Science Foundation (NSF)NSF - Directorate for Geosciences (GEO)); Division Of Environmental Biology; Direct For Biological Sciences(National Science Foundation (NSF)NSF - Directorate for Biological Sciences (BIO))</t>
  </si>
  <si>
    <t>10.1111/1574-6941.12306</t>
  </si>
  <si>
    <t>WOS:000340535200023</t>
  </si>
  <si>
    <t>Faulkner, KT; Clusella-Trullas, S; Peck, LS; Chown, SL</t>
  </si>
  <si>
    <t>Faulkner, Katelyn T.; Clusella-Trullas, Susana; Peck, Lloyd S.; Chown, Steven L.</t>
  </si>
  <si>
    <t>Lack of coherence in the warming responses of marine crustaceans</t>
  </si>
  <si>
    <t>Exosphaeroma sp.; Hyale sp.; intertidal amphipod; macrophysiology; marine isopod; microclimate; phenotypic plasticity; temperature extremes; warming tolerance</t>
  </si>
  <si>
    <t>CRITICAL THERMAL LIMITS; CLIMATE-CHANGE; PHENOTYPIC PLASTICITY; TEMPERATURE; TOLERANCE; IMPACTS; ACCLIMATION; PATTERNS; RATES; CONSEQUENCES</t>
  </si>
  <si>
    <t>1. Understanding the extent to which organisms are affected by climate change and are capable of adapting to warming is essential for managing biodiversity. Recent macrophysiological analyses suggest that range-related responses to warming may be more coherent (less variable) and predictable in marine than in terrestrial systems. 2. To examine this generalization, we investigate basal upper thermal tolerances (measured as CTmax), the extent of their phenotypic plasticity and the impacts of different rates of temperature change on these tolerances, in five species of intertidal crustaceans from three distinct thermal regimes, incorporating South African (RSA) shores and sub-Antarctic Marion Island (MI). 3. For all species, lower rates of change resulted in lower CTmax, while acclimation resulted in varied responses depending on the rate of temperature change. At fast rates of temperature change, higher temperature acclimation resulted in elevated CTmax, while at slow rates of change, acclimation had no effect or resulted in a decline in CTmax. 4. Maximum habitat temperatures recorded at the organisms' microsites were lower than the CTmax for the MI populations but were above CTmax at slow rates of change for RSA populations. Thus, populations from more equatorward locations have a lower tolerance of extremes than those from cooler regions. In addition to reduced warming tolerance, RSA populations had a lower acclimation capacity than their sub-Antarctic counterparts. 5. We find substantial differences in long-term responses among groups in different areas as a consequence of spatial variation in the interactions among basal tolerance, phenotypic plasticity and thermal environments. These outcomes emphasize the significance of examining forecasts using a range of data and approaches so that their certainty can be established to inform key policy decisions in a spatially appropriate context.</t>
  </si>
  <si>
    <t>[Faulkner, Katelyn T.; Clusella-Trullas, Susana] Univ Stellenbosch, Ctr Invas Biol, Dept Bot &amp; Zool, ZA-7602 Matieland, South Africa; [Peck, Lloyd S.] NERC, British Antarct Survey, Cambridge CB3 0ET, England; [Chown, Steven L.] Monash Univ, Sch Biol Sci, Melbourne, Vic 3800, Australia</t>
  </si>
  <si>
    <t>Stellenbosch University; UK Research &amp; Innovation (UKRI); Natural Environment Research Council (NERC); NERC British Antarctic Survey; Monash University</t>
  </si>
  <si>
    <t>Clusella-Trullas, S (corresponding author), Univ Stellenbosch, Ctr Invas Biol, Dept Bot &amp; Zool, Private Bag X1, ZA-7602 Matieland, South Africa.</t>
  </si>
  <si>
    <t>sct333@sun.ac.za</t>
  </si>
  <si>
    <t>Chown, Steven/ABD-7646-2021; Chown, Steven/H-3347-2011</t>
  </si>
  <si>
    <t>Faulkner, Katelyn/0000-0002-3955-353X; Chown, Steven/0000-0001-6069-5105</t>
  </si>
  <si>
    <t>British Antarctic Survey [41326]; National Research Foundation [SNA2007042400003]; South African National Antarctic Programme</t>
  </si>
  <si>
    <t>British Antarctic Survey; National Research Foundation; South African National Antarctic Programme</t>
  </si>
  <si>
    <t>We thank the Seapoint Research Aquarium, Cape Town, and Erika Nortje, Charlene Janion, Richard Viljoen and Kriek Bekker for logistic support. Neil Bruce and Charles Griffiths provided help with species identifications. This work was supported by the British Antarctic Survey Grant 41326, by National Research Foundation Grant SNA2007042400003 and by the South African National Antarctic Programme. The research was undertaken under permit RES2010/35&amp;60 and RES2011/22, Department of Agriculture, Forestry and Fisheries, Republic of South Africa.</t>
  </si>
  <si>
    <t>10.1111/1365-2435.12219</t>
  </si>
  <si>
    <t>WOS:000340673900012</t>
  </si>
  <si>
    <t>Hyeong, K; Lee, J; Seo, I; Lee, MJ; Yoo, CM; Khim, BK</t>
  </si>
  <si>
    <t>Hyeong, Kiseong; Lee, Jongmin; Seo, Inah; Lee, Mi Jung; Yoo, Chan Min; Khim, Boo-Keun</t>
  </si>
  <si>
    <t>Southward shift of the Intertropical Convergence Zone due to Northern Hemisphere cooling at the Oligocene-Miocene boundary</t>
  </si>
  <si>
    <t>GEOLOGY</t>
  </si>
  <si>
    <t>ANTARCTIC ICE-SHEET; CARBON-CYCLE; CLIMATE; SEDIMENT; SEA; VARIABILITY; DUST</t>
  </si>
  <si>
    <t>The Mi-1 glaciation (ca. 23 Ma), which marks the Oligocene-Miocene boundary, was an aberrant cooling event that led to a build-up of the Antarctic ice sheet, which reached the near-modern volume (or greater) from its ephemeral or partial existence. An increase of similar to 1% in the delta O-18 of benthic foraminifera during this interval has been attributed to the development of Antarctic ice sheets and deep-water cooling. Without definitive evidence, Northern Hemisphere (NH) glaciation has not been a material consideration for the delta O-18 increase. Here we investigate the interhemispheric temperature contrast during Mi-1, with the movement of the Intertropical Convergence Zone (ITCZ) at a site (10 degrees 31'N) in the East Pacific (Integrated Ocean Drilling Program Site U1333), to understand NH cooling and the possibility of NH glaciation. The measured Nd-143/Nd-144, Sr-87/Sr-86, and clay mineral compositions of eolian dust fractions indicate unequivocally the deposition of Asian dust during Mi-1, and of Central American and South American dust before and after Mi-1. This is attributed to the southward displacement of the ITCZ over Site U1333 during Mi-1. The ITCZ shifts toward the warmer hemisphere. Thus our results suggest that the cooling during Mi-1 was more significant in the NH than in the Southern Hemisphere, which underwent a sudden expansion of continental ice sheets. Our data call for a forcing mechanism to drive significant NH cooling during this episode. Based on the available data, we propose that the widespread growth of NH ice sheets and/or changes in the production of North Atlantic-origin deep water could be possible causes of the NH cooling at that time.</t>
  </si>
  <si>
    <t>[Hyeong, Kiseong; Seo, Inah; Yoo, Chan Min] Korea Inst Ocean Sci &amp; Technol, Ansan 426744, South Korea; [Lee, Jongmin; Khim, Boo-Keun] Pusan Natl Univ, Dept Oceanog, Pusan 609735, South Korea; [Seo, Inah] Seoul Natl Univ, Sch Earth &amp; Environm Sci, Seoul 151747, South Korea; [Lee, Mi Jung] Korea Polar Res Inst, Inchon 406840, South Korea</t>
  </si>
  <si>
    <t>Korea Institute of Ocean Science &amp; Technology (KIOST); Pusan National University; Seoul National University (SNU); Korea Institute of Ocean Science &amp; Technology (KIOST); Korea Polar Research Institute (KOPRI)</t>
  </si>
  <si>
    <t>Hyeong, K (corresponding author), Korea Inst Ocean Sci &amp; Technol, 787 Haean Ro, Ansan 426744, South Korea.</t>
  </si>
  <si>
    <t>bkkhim@pusan.ac.kr</t>
  </si>
  <si>
    <t>Seo, Inah/0000-0002-3768-5125</t>
  </si>
  <si>
    <t>Ministry of Oceans and Fisheries (MOF), Republic of Korea [PM57383]; Korea MOF [PM57190]; Korea Institute of Ocean Science and Technology [PE99184]</t>
  </si>
  <si>
    <t>Ministry of Oceans and Fisheries (MOF), Republic of Korea(Ministry of Oceans &amp; Fisheries (MOF), Republic of Korea); Korea MOF(Ministry of Oceans &amp; Fisheries (MOF), Republic of Korea); Korea Institute of Ocean Science and Technology</t>
  </si>
  <si>
    <t>This research used samples provided by the International Ocean Drilling Program and was a part of the project titled International Ocean Discovery Program, funded by the Ministry of Oceans and Fisheries (MOF), Republic of Korea (PM57383). This study was also partly supported by the Korea MOF (PM57190) and the Korea Institute of Ocean Science and Technology (PE99184). This manuscript was improved by the comments of three anonymous reviewers and the editor Ellen Thomas.</t>
  </si>
  <si>
    <t>0091-7613</t>
  </si>
  <si>
    <t>1943-2682</t>
  </si>
  <si>
    <t>10.1130/G35664.1</t>
  </si>
  <si>
    <t>AM6GL</t>
  </si>
  <si>
    <t>WOS:000339961600007</t>
  </si>
  <si>
    <t>Sharples, AGWD; Huuse, M; Hollis, C; Totterdell, JM; Taylor, PD</t>
  </si>
  <si>
    <t>Sharples, Alexander G. W. D.; Huuse, Mads; Hollis, Cathy; Totterdell, Jennifer M.; Taylor, Paul D.</t>
  </si>
  <si>
    <t>Giant middle Eocene bryozoan reef mounds in the Great Australian Bight</t>
  </si>
  <si>
    <t>COOL-WATER; CONTINENTAL-MARGIN; SOUTHERN AUSTRALIA; EVOLUTION; PLATFORM</t>
  </si>
  <si>
    <t>This paper reports the discovery of extensive middle Eocene bryozoan reef complexes along the paleoshelf edge of the Great Australian Bight (GAB). The complexes form the earliest carbonate deposit in the GAB, which is the largest Cenozoic cool-water carbonate province on Earth. The bryozoan reef mounds, previously misidentified as volcanic bodies, were deposited parallel to the shelf margin for more than 500 km along strike. Individual reef mound complexes are 60-150 km long, as wide as 15 km, and as thick as 200 m, and dwarf all previously described examples. Superimposed on the distal margin of an underlying Paleocene to mid-Eocene siliciclastic delta complex, the reef mounds provide a critical insight into changing paleoenvironments of the Australo-Antarctic Gulf ca. 43 Ma, coinciding with global and continent-wide climatic and tectonic events. The rapid growth and demise of reef mound-building bryozoans raises new questions regarding the interplay of Southern Ocean opening, ocean currents, and biosphere interactions.</t>
  </si>
  <si>
    <t>[Sharples, Alexander G. W. D.; Huuse, Mads; Hollis, Cathy] Univ Manchester, Sch Earth Atmospher &amp; Environm Sci, Manchester M13 9PL, Lancs, England; [Totterdell, Jennifer M.] Geosci Australia, Basin Resources Grp, Canberra, ACT 2601, Australia; [Taylor, Paul D.] Nat Hist Museum, Dept Earth Sci, London SW7 5BD, England</t>
  </si>
  <si>
    <t>University of Manchester; Geoscience Australia; Natural History Museum London</t>
  </si>
  <si>
    <t>Huuse, M (corresponding author), Univ Manchester, Sch Earth Atmospher &amp; Environm Sci, Manchester M13 9PL, Lancs, England.</t>
  </si>
  <si>
    <t>mads.huuse@manchester.ac.uk</t>
  </si>
  <si>
    <t>Hollis, Cathy/A-1713-2016; Huuse, Mads/O-9960-2014</t>
  </si>
  <si>
    <t>Hollis, Cathy/0000-0002-3980-2583; Huuse, Mads/0000-0002-1766-4343; Taylor, Paul/0000-0002-3127-080X</t>
  </si>
  <si>
    <t>Danish Expedition Foundation; BP Australia Plc.</t>
  </si>
  <si>
    <t>Two-dimensional seismic lines were supplied by Geoscience Australia (GA). High-resolution seismic lines were supplied courtesy of GA and the Danish Expedition Foundation Galathea 3 expedition. We acknowledge the Danish Expedition Foundation for financing Galathea 3 Leg 8, and BP Australia Plc. for financial support of Sharples. We thank P. Burgess, reviewers S. Hageman, F. Surlyk, and B. McGowran, and editor E. Thomas for thorough reviews and insightful comments. J. Totterdell publishes with the permission of the Chief Executive Officer of Geoscience Australia.</t>
  </si>
  <si>
    <t>10.1130/G35704.1</t>
  </si>
  <si>
    <t>WOS:000339961600011</t>
  </si>
  <si>
    <t>Brennan, PV; Lok, LB; Nicholls, K; Corr, H</t>
  </si>
  <si>
    <t>Brennan, Paul V.; Lok, Lai Bun; Nicholls, Keith; Corr, Hugh</t>
  </si>
  <si>
    <t>Phase-sensitive FMCW radar system for high-precision Antarctic ice shelf profile monitoring</t>
  </si>
  <si>
    <t>IET RADAR SONAR AND NAVIGATION</t>
  </si>
  <si>
    <t>THICKNESS</t>
  </si>
  <si>
    <t>Ice shelves fringe much of the Antarctic continent, and, despite being up to 2 km thick, are vulnerable to climate change. Owing to their role in helping to control the ice sheet contribution to sea level change there is great interest in measuring the rate at which they are melting into the ocean. This study describes the development and deployment of an ice-penetrating phase-sensitive FMCW radar, sufficiently robust and with sufficiently low-power consumption to be run through the Antarctic winter as a standalone instrument, yet with the stability and mm-precision needed to detect the very slow changes in ice shelf thickness in this exceptionally demanding environment. A number of elegant processing techniques are described to achieve reliable, high-precision performance and results presented on field data obtained from the Larsen-C ice shelf, Antarctica.</t>
  </si>
  <si>
    <t>[Brennan, Paul V.; Lok, Lai Bun] UCL, Dept Elect &amp; Elect Engn, London WC1E 7JE, England; [Nicholls, Keith; Corr, Hugh] British Antarctic Survey, Cambridge CB3 0ET, England</t>
  </si>
  <si>
    <t>University of London; University College London; UK Research &amp; Innovation (UKRI); Natural Environment Research Council (NERC); NERC British Antarctic Survey</t>
  </si>
  <si>
    <t>Brennan, PV (corresponding author), UCL, Dept Elect &amp; Elect Engn, Torrington Pl, London WC1E 7JE, England.</t>
  </si>
  <si>
    <t>p.brennan@ucl.ac.uk</t>
  </si>
  <si>
    <t>Corr, Hugh/C-5398-2011</t>
  </si>
  <si>
    <t>Lok, Lai Bun/0000-0002-0033-9173</t>
  </si>
  <si>
    <t>NERC [NE/J005630/1, bas0100028] Funding Source: UKRI; Natural Environment Research Council [NE/J005630/1, bas0100028] Funding Source: researchfish</t>
  </si>
  <si>
    <t>INST ENGINEERING TECHNOLOGY-IET</t>
  </si>
  <si>
    <t>HERTFORD</t>
  </si>
  <si>
    <t>MICHAEL FARADAY HOUSE SIX HILLS WAY STEVENAGE, HERTFORD SG1 2AY, ENGLAND</t>
  </si>
  <si>
    <t>1751-8784</t>
  </si>
  <si>
    <t>1751-8792</t>
  </si>
  <si>
    <t>IET RADAR SONAR NAV</t>
  </si>
  <si>
    <t>IET Radar Sonar Navig.</t>
  </si>
  <si>
    <t>10.1049/iet-rsn.2013.0053</t>
  </si>
  <si>
    <t>Engineering, Electrical &amp; Electronic; Telecommunications</t>
  </si>
  <si>
    <t>Engineering; Telecommunications</t>
  </si>
  <si>
    <t>AN0HK</t>
  </si>
  <si>
    <t>Green Published, Green Submitted, Green Accepted, hybrid</t>
  </si>
  <si>
    <t>WOS:000340265100009</t>
  </si>
  <si>
    <t>Kim, JH; Choi, BH; Jo, M; Kim, SC; Lee, PC</t>
  </si>
  <si>
    <t>Kim, Jin Ho; Choi, Bo Hyun; Jo, Minho; Kim, Sun Chang; Lee, Pyung Cheon</t>
  </si>
  <si>
    <t>Flavobacterium faecale sp nov., an agarase-producing species isolated from stools of Antarctic penguins</t>
  </si>
  <si>
    <t>INTERNATIONAL JOURNAL OF SYSTEMATIC AND EVOLUTIONARY MICROBIOLOGY</t>
  </si>
  <si>
    <t>ESCHERICHIA-COLI; FAMILY FLAVOBACTERIACEAE; EMENDED DESCRIPTION; GEN. NOV.; SURFACE SEAWATER; MARINE BACTERIUM; PATHWAY; EXTENSION; SEQUENCE</t>
  </si>
  <si>
    <t>Taxonomic studies were performed on an agarase-producing strain, designated WV33(T), isolated from faeces of Antarctic penguins. Cells of strain WV33(T) were Gram-staining-negative, strictly aerobic, orange and rod-shaped. Strain WV33(T) displayed agarase activity and was able to utilize galactose as a sole carbon source. 16S rRNA gene sequence analysis revealed that strain WV33(T) was closely related to Flavobacterium algicola TC2(T) (98.0% similarity), F. frigidarium ATCC 700810(T) (96.9%) and F. frigoris LMG 21922(T) (96.1%). The predominant cellular fatty acids were iso-C-15:1 G, iso-C-15:0, C-15:0, C-16:0 and summed feature 3 (comprising iso-C-15:0 2-OH and/or C-16:1 omega 7c). Menaquinone 6 (MK-6) was the sole quinone identified, and the major pigment was zeaxanthin. The major polar lipid was phosphatidylethanolamine. DNA DNA relatedness of strain WV33(T) with respect to its closest phylogenetic neighbours was 25% for F. algicola NBRC 102673(T), 23% for F. frigidarium DSM 17623(T) and 21% for F. frigoris DSM 15719(T). The DNA G+C content of strain WV33(T) was 37 +/- 0.6 mol%. Based on the phenotypic, chemotaxonomic and phylogenetic data, strain WV33(T) is concluded to represent a novel species of the genus Flavobacterium, for which the name Flavobacterium faecale sp. nov. is proposed. The type strain is WV33(T) (=KCTC 32457(T)=CECT 8384(T)).</t>
  </si>
  <si>
    <t>[Kim, Jin Ho; Choi, Bo Hyun; Lee, Pyung Cheon] Ajou Univ, Dept Mol Sci &amp; Technol, Suwon 443749, South Korea; [Kim, Jin Ho; Choi, Bo Hyun; Lee, Pyung Cheon] Ajou Univ, Dept Appl Chem &amp; Biol Engn, Suwon 443749, South Korea; [Jo, Minho] Korea Atom Energy Res Inst, Adv Radiat Technol Inst, Jeongeup 500185, South Korea; [Kim, Sun Chang] Korea Adv Inst Sci &amp; Technol, Dept Biol Sci, Taejon 305701, South Korea</t>
  </si>
  <si>
    <t>Ajou University; Ajou University; Korea Atomic Energy Research Institute (KAERI); Korea Advanced Institute of Science &amp; Technology (KAIST)</t>
  </si>
  <si>
    <t>Lee, PC (corresponding author), Ajou Univ, Dept Mol Sci &amp; Technol, Suwon 443749, South Korea.</t>
  </si>
  <si>
    <t>pclee@ajou.ac.kr</t>
  </si>
  <si>
    <t>Kim, Sun/GSN-4867-2022; Jo, Minho/AAM-3058-2020; Kim, Sun Chang/C-2026-2011; Lee, Pyung Cheon/AAR-1021-2021</t>
  </si>
  <si>
    <t>Jo, Minho/0000-0001-7311-6459; Choi, Bohyun/0000-0001-5547-3911; Lee, Pyung Cheon/0000-0003-2014-6587</t>
  </si>
  <si>
    <t>Intelligent Synthetic Biology Center of Global Frontier Project - Ministry of Education, Science and Technology of Korea [2011-0031968]; Priority Research Centers Program through National Research Foundation of Korea (NRF) - Ministry of Education, Science, and Technology of Korea [2012-0006687, 2012M1A2A2026562]; National Research Foundation of Korea [21A20130000014] Funding Source: Korea Institute of Science &amp; Technology Information (KISTI), National Science &amp; Technology Information Service (NTIS)</t>
  </si>
  <si>
    <t>Intelligent Synthetic Biology Center of Global Frontier Project - Ministry of Education, Science and Technology of Korea; Priority Research Centers Program through National Research Foundation of Korea (NRF) - Ministry of Education, Science, and Technology of Korea; National Research Foundation of Korea(National Research Foundation of Korea)</t>
  </si>
  <si>
    <t>This work was supported by the Intelligent Synthetic Biology Center of Global Frontier Project, funded by the Ministry of Education, Science and Technology of Korea (2011-0031968), and by the Priority Research Centers Program through the National Research Foundation of Korea (NRF), funded by the Ministry of Education, Science, and Technology of Korea (2012-0006687, 2012M1A2A2026562).</t>
  </si>
  <si>
    <t>SOC GENERAL MICROBIOLOGY</t>
  </si>
  <si>
    <t>READING</t>
  </si>
  <si>
    <t>MARLBOROUGH HOUSE, BASINGSTOKE RD, SPENCERS WOODS, READING RG7 1AG, BERKS, ENGLAND</t>
  </si>
  <si>
    <t>1466-5026</t>
  </si>
  <si>
    <t>1466-5034</t>
  </si>
  <si>
    <t>INT J SYST EVOL MICR</t>
  </si>
  <si>
    <t>Int. J. Syst. Evol. Microbiol.</t>
  </si>
  <si>
    <t>10.1099/ijs.0.059618-0</t>
  </si>
  <si>
    <t>AQ5XY</t>
  </si>
  <si>
    <t>WOS:000342883100057</t>
  </si>
  <si>
    <t>Krinner, G; Largeron, C; Ménégoz, M; Agosta, C; Brutel-Vuilmet, C</t>
  </si>
  <si>
    <t>Krinner, Gerhard; Largeron, Chloe; Menegoz, Martin; Agosta, Cecile; Brutel-Vuilmet, Claire</t>
  </si>
  <si>
    <t>Oceanic Forcing of Antarctic Climate Change: A Study Using a Stretched-Grid Atmospheric General Circulation Model</t>
  </si>
  <si>
    <t>SURFACE MASS-BALANCE; ICE-SHEET; RESOLUTION; PRECIPITATION; 20TH-CENTURY; SIMULATIONS</t>
  </si>
  <si>
    <t>A variable-resolution atmospheric general circulation model (AGCM) is used for climate change projections over the Antarctic. The present-day simulation uses prescribed observed sea surface conditions, while a set of five simulations for the end of the twenty-first century (2070-99) under the Special Report on Emissions Scenarios (SRES) A1B scenario uses sea surface condition anomalies from selected coupled ocean atmosphere climate models from phase 3 of the Coupled Model Intercomparison Project (CMIP3). Analysis of the results shows that the prescribed sea surface condition anomalies have a very strong influence on the simulated climate change on the Antarctic continent, largely dominating the direct effect of the prescribed greenhouse gas concentration changes in the AGCM simulations. Complementary simulations with idealized forcings confirm these results. An analysis of circulation changes using self-organizing maps shows that the simulated climate change on regional scales is not principally caused by shifts of the frequencies of the dominant circulation patterns, except for precipitation changes in some coastal regions. The study illustrates that in some respects the use of bias-corrected sea surface boundary conditions in climate projections with a variable-resolution atmospheric general circulation model has some distinct advantages over the use of limited-area atmospheric circulation models directly forced by generally biased coupled climate model output.</t>
  </si>
  <si>
    <t>[Krinner, Gerhard; Largeron, Chloe; Menegoz, Martin; Agosta, Cecile; Brutel-Vuilmet, Claire] CNRS, LGGE, Grenoble, France; [Krinner, Gerhard; Largeron, Chloe; Menegoz, Martin; Agosta, Cecile; Brutel-Vuilmet, Claire] Univ Grenoble Alpes, Grenoble, France; [Agosta, Cecile] Univ Liege, Dept Geog, Liege, Belgium</t>
  </si>
  <si>
    <t>Communaute Universite Grenoble Alpes; Universite Grenoble Alpes (UGA); Centre National de la Recherche Scientifique (CNRS); Communaute Universite Grenoble Alpes; Universite Grenoble Alpes (UGA); University of Liege</t>
  </si>
  <si>
    <t>Krinner, G (corresponding author), CNRS, LGGE, 54 Rue Moliere,BP 96, F-38402 St Martin Dheres, France.</t>
  </si>
  <si>
    <t>krinner@lgge.obs.ujf-grenoble.fr</t>
  </si>
  <si>
    <t>Krinner, Gerhard/A-6450-2011; Agosta, Cécile/B-9625-2013; Menegoz, Martin/AAE-3523-2020; Krinner, Gerhard/AAB-8837-2022; Agosta, Cécile/HLQ-5577-2023</t>
  </si>
  <si>
    <t>Agosta, Cécile/0000-0003-4091-1653; Menegoz, Martin/0000-0001-7098-9270; Krinner, Gerhard/0000-0002-2959-5920; Largeron, Chloe/0000-0003-2395-2883</t>
  </si>
  <si>
    <t>European Union [226375, 177]; INSU (LEFE/EVE-IDAO) project Charmant; ANR [ANR-07-VULN-013]</t>
  </si>
  <si>
    <t>European Union(European Union (EU)); INSU (LEFE/EVE-IDAO) project Charmant; ANR(Agence Nationale de la Recherche (ANR))</t>
  </si>
  <si>
    <t>This work was supported by funding from the Ice2sea project from the European Union 7th Framework Programme, Grant 226375 (Ice2sea contribution number 177) and the INSU (LEFE/EVE-IDAO) project Charmant. The simulations were carried out at the French national IDRIS computing centre and at the Mirage computing facility in Grenoble. This is a contribution to ANR project Vanish (ANR-07-VULN-013). Comments by three anonymous reviewers helped to greatly improve the manuscript.</t>
  </si>
  <si>
    <t>10.1175/JCLI-D-13-00367.1</t>
  </si>
  <si>
    <t>AM2SY</t>
  </si>
  <si>
    <t>WOS:000339702300007</t>
  </si>
  <si>
    <t>Schram, JB; Schoenrock, KM; McClintock, JB; Amsler, CD; Angus, RA</t>
  </si>
  <si>
    <t>Schram, Julie B.; Schoenrock, Kathryn M.; McClintock, James B.; Amsler, Charles D.; Angus, Robert A.</t>
  </si>
  <si>
    <t>Multiple stressor effects of near-future elevated seawater temperature and decreased pH on righting and escape behaviors of two common Antarctic gastropods</t>
  </si>
  <si>
    <t>Behavioral response; Gastropod; Ocean acidification; Temperature</t>
  </si>
  <si>
    <t>OCEAN ACIDIFICATION; CONCINNA STREBEL; CLIMATE-CHANGE; PENINSULA; LIMPET; RESPONSES; GROWTH; WATER; INVERTEBRATES; BIOGEOGRAPHY</t>
  </si>
  <si>
    <t>Warming seawater temperatures and ocean acidification on the coastal western Antarctic Peninsula pose unique challenges to stenothermal marine invertebrates. The present study examines prospective sub-lethal effects of elevated temperature, pCO2, and resultant decrease in seawater pH, on righting behavior and maximal escape speeds for two common gastropods, the limpet Nacella concinna (Strebel) and mesogastropod snail Margarella antarctica (Lamy). Replicate individuals held in individual containers were exposed to four combinations of seawater temperature (1.5 degrees C - current average, 3.5 degrees C - projected average by 2100) and pH (pH 8.0 - current average, pH 7.8 - projected average by 2100 as a result of elevated pCO(2) levels) for a period of 6 weeks. Following this chronic exposure, righting behavior, determined for the limpets as proportion to right over 24 hand for snails as time to right as well as maximum escape speed following contact with a sea star predator were measured. We found no significant differences in proportions of limpets displaying the capacity to right among the four temperature-pH treatments. However, there was a significant temperature-pH interaction effect for mean righting times in snails, indicating that the effect of pH on the time to right is dependent on temperature. We found no significant effects of temperature or pH on mean maximal escape speed in limpets. Additionally, we observed a significant temperature-pH interaction effect for mean maximal escape speed in snails. These interactive effects make it difficult to make clear predictions about how these environmental factors may impact behavioral responses. (C) 2014 Elsevier B.V. All rights reserved.</t>
  </si>
  <si>
    <t>[Schram, Julie B.; Schoenrock, Kathryn M.; McClintock, James B.; Amsler, Charles D.; Angus, Robert A.] Univ Alabama Birmingham, Dept Biol, Birmingham, AL 35294 USA</t>
  </si>
  <si>
    <t>University of Alabama System; University of Alabama Birmingham</t>
  </si>
  <si>
    <t>Schram, JB (corresponding author), Univ Alabama Birmingham, Dept Biol, 1300 Univ Blvd, Birmingham, AL 35294 USA.</t>
  </si>
  <si>
    <t>jbschram@uab.edu</t>
  </si>
  <si>
    <t>Schoenrock, Kathryn/B-9082-2018</t>
  </si>
  <si>
    <t>Schoenrock, Kathryn/0000-0002-0407-3173; Amsler, Charles/0000-0002-4843-3759; Schram, Julie/0000-0002-1556-6483</t>
  </si>
  <si>
    <t>NSF [ANT-1041022]; UAB Endowed University Professorship in Polar and Marine Biology; Office of Polar Programs (OPP); Directorate For Geosciences [1041022] Funding Source: National Science Foundation</t>
  </si>
  <si>
    <t>NSF(National Science Foundation (NSF)); UAB Endowed University Professorship in Polar and Marine Biology; Office of Polar Programs (OPP); Directorate For Geosciences(National Science Foundation (NSF)NSF - Directorate for Geosciences (GEO))</t>
  </si>
  <si>
    <t>We appreciate the logistical support provided by Raytheon Polar Services Company (RPSC) and Antarctic Support Contract (ASC). In particular we wish to thank Ted McKinley, Lily Glass, Bill Burns, as well as Edward Quintanilla, Janice O'Reilly, Neil Schiebe and Steve Sweet. Margaret Amsler and Jerry Sewell from the Departments of Biology and Physics at UAB also provided valuable assistance. The present article benefitted from the constructive comments of an anonymous reviewer. This research was supported by a grant from NSF (ANT-1041022) to J.B.M., C.D.A., and R.A.A. J.B.M. wishes to acknowledge the support of a UAB Endowed University Professorship in Polar and Marine Biology. [SS]</t>
  </si>
  <si>
    <t>10.1016/j.jembe.2014.04.005</t>
  </si>
  <si>
    <t>AJ7HV</t>
  </si>
  <si>
    <t>WOS:000337868700011</t>
  </si>
  <si>
    <t>Venables, HJ; Meredith, MP</t>
  </si>
  <si>
    <t>Venables, Hugh J.; Meredith, Michael P.</t>
  </si>
  <si>
    <t>Feedbacks between ice cover, ocean stratification, and heat content in Ryder Bay, western Antarctic Peninsula</t>
  </si>
  <si>
    <t>NORTHERN MARGUERITE BAY; CIRCUMPOLAR DEEP-WATER; SEA-ICE; CLIMATE-CHANGE; VARIABILITY; TRENDS; TEMPERATURE; TRANSPORT; FRONTS; REGION</t>
  </si>
  <si>
    <t>A multiyear, all-season time series of water column physical properties and sea ice conditions in Ryder Bay, at the western Antarctic Peninsula (WAP), is used to assess the effects on the ocean of varying ice cover. Reduced ice cover leads to increased mixing and heat loss in the winter. The reduction in stratification persists into the following summer, preconditioning the water column to a greater vertical extent of surface-driven mixing. This leads to an increased amount of heat from insolation being mixed down, affecting approximately the top 100 m. The increased heat uptake in summer exceeds the heat lost the preceding winter, giving the initially counter-intuitive effect that enhanced winter cooling generates warmer temperatures in the following summer and autumn. This process is therefore a positive feedback on sea ice, as reduced sea ice leads to increased heat content in the ocean the following autumn. It also causes increased winter atmospheric temperatures due to the increased winter heat loss from the ocean. In the deeper part of the water column, heat and carbon stored in the Circumpolar Deep Water (CDW) layer are released by deep mixing events. At these depths, conditions are restored by advection and vertical mixing on multiyear time scales. In recent years, stronger deep mixing events in winter have led to a persistent reduction in CDW temperatures at the study site. Ocean glider data demonstrate the representativeness of these results across the wider region of Marguerite Bay, within which Ryder Bay is situated.</t>
  </si>
  <si>
    <t>[Venables, Hugh J.; Meredith, Michael P.] British Antarctic Survey, Cambridge CB3 0ET, England</t>
  </si>
  <si>
    <t>Venables, HJ (corresponding author), British Antarctic Survey, Cambridge CB3 0ET, England.</t>
  </si>
  <si>
    <t>hjv@bas.ac.uk</t>
  </si>
  <si>
    <t>We thank the series of Marine Assistants who have spent 1 or 2 years on base to collect the data used here and also all the base support staff, especially those in winter. This work is a contribution of the BAS Polar Oceans programme, funded by the Natural Environment Research Council.</t>
  </si>
  <si>
    <t>10.1002/2013JC009669</t>
  </si>
  <si>
    <t>WOS:000342519500035</t>
  </si>
  <si>
    <t>Lejosne, S</t>
  </si>
  <si>
    <t>Lejosne, Solene</t>
  </si>
  <si>
    <t>An algorithm for approximating the L * invariant coordinate from the real-time tracing of one magnetic field line between mirror points</t>
  </si>
  <si>
    <t>RADIATION BELT; PARTICLES; MODEL; MAGNETOSPHERE; MOTION</t>
  </si>
  <si>
    <t>The L * invariant coordinate depends on the global electromagnetic field topology at a given instance, and the standard method for its determination requires a computationally expensive drift contour tracing. This fact makes L * a cumbersome parameter to handle. In this paper, we provide new insights on the L * parameter, and we introduce an algorithm for an L * approximation that only requires the real- time tracing of one magnetic field line between mirrors points. This approximation is based on the description of the variation of the magnetic field mirror intensity after an adiabatic dipolarization, i. e., after the nondipolar components of a magnetic field have been turned off with a characteristic time very long in comparison with the particles' drift periods. The corresponding magnetic field topological variations are deduced, assuming that the field line foot points remain rooted in the Earth's surface, and the drift average operator is replaced with a computationally cheaper circular average operator. The algorithm results in a relative difference of a maximum of 12% between the approximate L * and the output obtained using the International Radiation Belt Environment Modeling library, in the case of the Tsyganenko 89 model for the external magnetic field (T89). This margin of error is similar to the margin of error due to small deviations between different magnetic field models at geostationary orbit. This approximate L * algorithm represents therefore a reasonable compromise between computational speed and accuracy of particular interest for real- time space weather forecast purposes.</t>
  </si>
  <si>
    <t>[Lejosne, Solene] British Antarctic Survey, NERC, Cambridge CB3 0ET, England</t>
  </si>
  <si>
    <t>Lejosne, S (corresponding author), Univ Calif Berkeley, Space Sci Lab, Berkeley, CA 94720 USA.</t>
  </si>
  <si>
    <t>solene.lejosne@yahoo.fr</t>
  </si>
  <si>
    <t>Lejosne, Solene/0000-0003-4238-8579</t>
  </si>
  <si>
    <t>Natural Environment Research Council; Natural Environment Research Council [bas0100023] Funding Source: researchfish; NERC [bas0100023] Funding Source: UKRI</t>
  </si>
  <si>
    <t>The author acknowledges financial support from the Natural Environment Research Council. She is grateful to Richard B. Horne who has encouraged this work and has taken the time to comment critically on the draft of this paper. She is also grateful to Juan G. Roederer for the valuable discussions and comments. IRBEM-LIB can be downloaded at http://sourceforge.net/projects/irbem/.</t>
  </si>
  <si>
    <t>10.1002/2014JA020016</t>
  </si>
  <si>
    <t>AT3BJ</t>
  </si>
  <si>
    <t>WOS:000344809600027</t>
  </si>
  <si>
    <t>Thomson, NR; Clilverd, MA; Rodger, CJ</t>
  </si>
  <si>
    <t>Thomson, Neil R.; Clilverd, Mark A.; Rodger, Craig J.</t>
  </si>
  <si>
    <t>Low-latitude ionospheric D region dependence on solar zenith angle</t>
  </si>
  <si>
    <t>VLF; PARAMETERS; AMPLITUDE</t>
  </si>
  <si>
    <t>Phase and amplitude measurements of VLF radio signals on a short, nearly all-sea path between two Hawaiian Islands are used to find the height and sharpness of the lower edge of the daytime tropical D region as a function of solar zenith angle (SZA). The path used was from U. S. Navy transmitter NPM (21.4 kHz) on Oahu to Keauhou, 306 km away, on the west coast of the Big Island of Hawaii, where ionospheric sensitivity was high due to the destructive interference between the ionospherically reflected wave and the ground wave, particularly around the middle of the day. The height and sharpness are thus found to vary from H'=69.3 +/- 0.3km and beta=0.49 +/- 0.02 km(-1) for SZA similar to 10 degrees, at midday, to H'&gt;80 km and beta similar to 0.30 km(-1) as the SZA approached similar to 70 degrees-90 degrees, near dawn and dusk for this tropical path. Additional values for the variations of H' and beta with solar zenith angle are also found from VLF phase and amplitude observations on other similar paths: the short path, NWC to Karratha (in NW Australia), and the long paths, NWC to Kyoto in Japan and NAU, Puerto Rico, to St. John's Canada. Significant differences in the SZA variations of H' and beta were found between low and middle latitudes resulting from the latitudinally varying interplay between Lyman a and galactic cosmic rays in forming the lower D region. Both latitude ranges showed beta&lt;0.30 km(-1) during sunrise/sunset conditions.</t>
  </si>
  <si>
    <t>[Thomson, Neil R.; Rodger, Craig J.] Univ Otago, Dept Phys, Dunedin, New Zealand; [Clilverd, Mark A.] British Antarctic Survey, Cambridge CB3 0ET, England</t>
  </si>
  <si>
    <t>University of Otago; UK Research &amp; Innovation (UKRI); Natural Environment Research Council (NERC); NERC British Antarctic Survey</t>
  </si>
  <si>
    <t>Thomson, NR (corresponding author), Univ Otago, Dept Phys, Dunedin, New Zealand.</t>
  </si>
  <si>
    <t>n_thomson@physics.otago.ac.nz</t>
  </si>
  <si>
    <t>Rodger, Craig/A-1501-2011</t>
  </si>
  <si>
    <t>Rodger, Craig J./0000-0002-6770-2707</t>
  </si>
  <si>
    <t>NERC [bas0100023] Funding Source: UKRI; Natural Environment Research Council [bas0100023] Funding Source: researchfish</t>
  </si>
  <si>
    <t>10.1002/2014JA020299</t>
  </si>
  <si>
    <t>WOS:000344809600061</t>
  </si>
  <si>
    <t>Troshichev, OA; Podorozhkina, NA; Sormakov, DA; Janzhura, AS</t>
  </si>
  <si>
    <t>Troshichev, O. A.; Podorozhkina, N. A.; Sormakov, D. A.; Janzhura, A. S.</t>
  </si>
  <si>
    <t>PC index as a proxy of the solar wind energy that entered into the magnetosphere: Development of magnetic substorms</t>
  </si>
  <si>
    <t>POLAR-CAP; GROWTH-PHASE; MAGNETOTAIL; DEPENDENCE; INPUT; AE; AL</t>
  </si>
  <si>
    <t>The Polar Cap (PC) index has been approved by the International Association of Geomagnetism and Aeronomy (IAGA XXII Assembly, Merida, Mexico, 2013) as a new index of magnetic activity. The PC index can be considered to be a proxy of the solar wind energy that enters the magnetosphere. This distinguishes PC from AL and Dst indices that are more related to the dissipation of energy through auroral currents or storage of energy in the ring current during magnetic substorms or storms. The association of the PC index with the direct coupling of the solar wind energy into the magnetosphere is based upon analysis of the relationship of PC with parameters in the solar wind, on the one hand, and correlation between the time series of PC and the AL index (substorm development), on the other hand. This paper (the first of a series) provides the results of statistical investigations that demonstrate a strong correlation between the behavior of PC and the development of magnetic substorms. Substorms are classified as isolated and expanded. We found that (1) substorms are preceded by growth in the.. index, (2) sudden substorm expansion onsets are related to leap or reverse signatures in the PC index which are indicative of a sharp increase in the PC growth rate, (3) substorms start to develop when PC exceeds a threshold level 1.5 +/- 0.5 mV/m irrespective of the length of the substorm growth phase, and (4) there is a linear relation between the intensity of substorms and PC for all substorm events.</t>
  </si>
  <si>
    <t>[Troshichev, O. A.; Podorozhkina, N. A.; Sormakov, D. A.; Janzhura, A. S.] Arctic &amp; Antarctic Res Inst, St Petersburg 199226, Russia</t>
  </si>
  <si>
    <t>Arctic &amp; Antarctic Research Institute</t>
  </si>
  <si>
    <t>Troshichev, OA (corresponding author), Arctic &amp; Antarctic Res Inst, St Petersburg 199226, Russia.</t>
  </si>
  <si>
    <t>olegtro@aari.ru</t>
  </si>
  <si>
    <t>Sormakov, Dmitry A/K-1695-2014</t>
  </si>
  <si>
    <t>10.1002/2014JA019940</t>
  </si>
  <si>
    <t>WOS:000344809600034</t>
  </si>
  <si>
    <t>Whittaker, IC; Rodger, CJ; Clilverd, MA; Sauvaud, JA</t>
  </si>
  <si>
    <t>Whittaker, Ian C.; Rodger, Craig J.; Clilverd, Mark A.; Sauvaud, Jean-Andre</t>
  </si>
  <si>
    <t>The effects and correction of the geometric factor for the POES/MEPED electron flux instrument using a multisatellite comparison</t>
  </si>
  <si>
    <t>ODD NITROGEN; BELT; PRECIPITATION; DEMETER; LOSSES</t>
  </si>
  <si>
    <t>Measurements from the Polar-Orbiting Environmental Satellite (POES) Medium Energy Proton and Electron Detector (MEPED) instrument are widely used in studies into radiation belt dynamics and atmospheric coupling. However, this instrument has been shown to have a complex energy-dependent response to incident particle fluxes, with the additional possibility of low-energy protons contaminating the electron fluxes. We test the recent Monte Carlo theoretical simulation of the instrument by comparing the responses against observations from an independent experimental data set. Our study examines the reported geometric factors for the MEPED electron flux instrument against the high-energy resolution Instrument for Detecting Particles (IDPs) on the Detection of Electromagnetic Emissions Transmitted from Earthquake Regions satellite when they are located at similar locations and times, thereby viewing the same quasi-trapped population of electrons. We find that the new Monte Carlo-produced geometric factors accurately describe the response of the POES MEPED instrument. We go on to develop a set of equations such that integral electron fluxes of a higher accuracy are obtained from the existing MEPED observations. These new MEPED integral fluxes correlated very well with those from the IDP instrument (&gt;99.9% confidence level). As part of this study we have also tested a commonly used algorithm for removing proton contamination from MEPED instrument observations. We show that the algorithm is effective, providing confirmation that previous work using this correction method is valid.</t>
  </si>
  <si>
    <t>[Whittaker, Ian C.; Rodger, Craig J.] Univ Otago, Dept Phys, Dunedin, New Zealand; [Clilverd, Mark A.] British Antarctic Survey, NERC, Cambridge CB3 0ET, England; [Sauvaud, Jean-Andre] Univ Toulouse, CNRS, IRAP, Toulouse, France</t>
  </si>
  <si>
    <t>University of Otago; UK Research &amp; Innovation (UKRI); Natural Environment Research Council (NERC); NERC British Antarctic Survey; Universite de Toulouse; Universite Toulouse III - Paul Sabatier; Centre National de la Recherche Scientifique (CNRS)</t>
  </si>
  <si>
    <t>Whittaker, IC (corresponding author), Univ Otago, Dept Phys, Dunedin, New Zealand.</t>
  </si>
  <si>
    <t>ian.whittaker@otago.ac.nz</t>
  </si>
  <si>
    <t>European Community [263218]; NERC [bas0100023] Funding Source: UKRI; Natural Environment Research Council [bas0100023] Funding Source: researchfish</t>
  </si>
  <si>
    <t>European Community; NERC(UK Research &amp; Innovation (UKRI)Natural Environment Research Council (NERC)); Natural Environment Research Council(UK Research &amp; Innovation (UKRI)Natural Environment Research Council (NERC))</t>
  </si>
  <si>
    <t>The research leading to these results has received funding from the European Community's Seventh Framework Programme ([FP7/2007-2013]) under grant agreement 263218. The authors wish to thank the NOAA personnel who developed, maintain, and operate the NOAA/POES spacecraft. The data used in this paper are available at NOAA's National Geophysical Data Center (NGDC, MetOp-2 MEPED data) and CNES/CESR Centre de Donnees pour la Physique des Plasmas (CDPP, for DEMETER IDP data) for all years of operation.</t>
  </si>
  <si>
    <t>10.1002/2014JA020021</t>
  </si>
  <si>
    <t>WOS:000344809600026</t>
  </si>
  <si>
    <t>Eastman, JT; Witmer, LM; Ridgely, RC; Kuhn, KL</t>
  </si>
  <si>
    <t>Eastman, Joseph T.; Witmer, Lawrence M.; Ridgely, Ryan C.; Kuhn, Kristen L.</t>
  </si>
  <si>
    <t>Divergence in Skeletal Mass and Bone Morphology in Antarctic Notothenioid Fishes</t>
  </si>
  <si>
    <t>JOURNAL OF MORPHOLOGY</t>
  </si>
  <si>
    <t>heterochrony; histology; micro-CT scans; Bovichtidae; Eleginopsidae; Channichthyidae</t>
  </si>
  <si>
    <t>TOOTHFISH DISSOSTICHUS-MAWSONI; PLEURAGRAMMA-ANTARCTICUM; TELEOST FISH; ADAPTIVE RADIATION; ACELLULAR BONE; NUCLEAR MARKERS; ROSS SEA; BUOYANCY; BIOLOGY; DIVERSIFICATION</t>
  </si>
  <si>
    <t>Although notothenioid fishes lack swim bladders, some species live temporarily or permanently in the water column. Given its relatively high density, skeletal mass is a key determinant of buoyancy. Notothenioids have reduced skeletal ossification, but there is little quantitative data on the phylogenetic distribution of this trait. We obtained dry skeletal masses for 54 specimens representing 20 species from six notothenioid families. Although comparative data are sparse, notothenioid skeletons comprise a smaller percentage of body mass, &lt; 3.5%, than those of three nonnotothenioid perciforms. With relatively high skeletal mass, the non-Antarctic Bovichtus diacanthus is similar in skeletal mass to some non-notothenioids. Eleginops maclovinus, the non-Antarctic sister group of the Antarctic clade, has a relatively light skeleton (&lt; 2% of body mass) similar to many species in the Antarctic clade. Low skeletal mass is therefore a synapomorphy shared by Eleginops plus the Antarctic clade. We provide gross, histological, and micro-CT documentation of the structure and location of bone and cartilage in skulls, pectoral girdles, and vertebrae, with emphasis on the bovichtid B. diacanthus, the eleginopsid E. maclovinus, and the channichthyid Chaenodraco wilsoni. In Eleginops and the Antarctic clade, most bone is spongy and most species have persisting cartilage in the skull and appendicular skeleton. We also measured the relative size of the notochordal canal in adult vertebral centra of 38 species representing all eight families. There is considerable interspecific variation in this pedomorphic trait and all species show an ontogenetic reduction in the relative size of the canal. However, large persisting canals are present in adults of the Antarctic clade, especially in the nototheniids Pleuragramma and Aethotaxis and in a number of bathydraconid and channichthyid genera. J. Morphol. 275: 841-861, 2014. (C) 2014 Wiley Periodicals, Inc.</t>
  </si>
  <si>
    <t>[Eastman, Joseph T.; Witmer, Lawrence M.; Ridgely, Ryan C.] Ohio Univ, Dept Biomed Sci, Heritage Coll Osteopath Med, Athens, OH 45701 USA; [Kuhn, Kristen L.] ARS, USDA, Beneficial Insects Intro Res Unit, Newark, DE 19713 USA</t>
  </si>
  <si>
    <t>University System of Ohio; Ohio University; United States Department of Agriculture (USDA)</t>
  </si>
  <si>
    <t>Eastman, JT (corresponding author), Ohio Univ, Dept Biomed Sci, Heritage Coll Osteopath Med, Athens, OH 45701 USA.</t>
  </si>
  <si>
    <t>eastman@ohiou.edu</t>
  </si>
  <si>
    <t>Eastman, Joseph T./O-6150-2019; Eastman, Joseph T/A-9786-2008</t>
  </si>
  <si>
    <t>Eastman, Joseph T./0000-0003-3868-261X; Witmer, Lawrence/0000-0002-7610-0118</t>
  </si>
  <si>
    <t>National Science Foundation [ANT 04-36190, IOB 0517257, IOS-1050154]; NSF [OPP 01-32032]; Direct For Biological Sciences; Division Of Integrative Organismal Systems [1050154] Funding Source: National Science Foundation</t>
  </si>
  <si>
    <t>National Science Foundation(National Science Foundation (NSF)); NSF(National Science Foundation (NSF)); Direct For Biological Sciences; Division Of Integrative Organismal Systems(National Science Foundation (NSF)NSF - Directorate for Biological Sciences (BIO)NSF - Division of Integrative Organismal Systems (IOS))</t>
  </si>
  <si>
    <t>Contract grant sponsor: National Science Foundation; Contract grant numbers: ANT 04-36190 (to J.T.E.); IOB 0517257 and IOS-1050154 (to L. M. W. and R. C. R.); Contract grant sponsor: NSF; Contract grant number: OPP 01-32032 (to H. W. D. [Northeastern University]; 2004 ICEFISH cruise on the RVIB Nathaniel B. Palmer).</t>
  </si>
  <si>
    <t>0362-2525</t>
  </si>
  <si>
    <t>1097-4687</t>
  </si>
  <si>
    <t>J MORPHOL</t>
  </si>
  <si>
    <t>J. Morphol.</t>
  </si>
  <si>
    <t>10.1002/jmor.20258</t>
  </si>
  <si>
    <t>Anatomy &amp; Morphology</t>
  </si>
  <si>
    <t>AL3ZD</t>
  </si>
  <si>
    <t>WOS:000339070400001</t>
  </si>
  <si>
    <t>Sleadd, IM; Lee, M; Hassumani, DO; Stecyk, TMA; Zeitz, OK; Buckley, BA</t>
  </si>
  <si>
    <t>Sleadd, Isaac M.; Lee, Marissa; Hassumani, Daniel O.; Stecyk, Tonya M. A.; Zeitz, Otto K.; Buckley, Bradley A.</t>
  </si>
  <si>
    <t>Sub-lethal heat stress causes apoptosis in an Antarctic fish that lacks an inducible heat shock response</t>
  </si>
  <si>
    <t>JOURNAL OF THERMAL BIOLOGY</t>
  </si>
  <si>
    <t>Antarctic fish; Thermal stress; Cell death</t>
  </si>
  <si>
    <t>CELL NUCLEAR ANTIGEN; GOBY GILLICHTHYS-MIRABILIS; CDNA MICROARRAY ANALYSIS; BINDING PROTEIN DELTA; TREMATOMUS-BERNACCHII; THERMAL-ACCLIMATION; OXIDATIVE STRESS; GENE-EXPRESSION; ELEVATED-TEMPERATURES; NOTOTHENIOID FISHES</t>
  </si>
  <si>
    <t>The endemic fish fauna of the Southern Ocean are cold-adapted stenotherms and are acutely sensitive to elevated temperature. Many of these species lack a heat shock response and cannot increase the production of heat shock proteins in their tissues. However, some species retain the ability to induce other stress-responsive genes, some of which are involved in cell cycle arrest and apoptosis. Here, the effect of heat on cell cycle stage and its ability to induce apoptosis were tested in thermally stressed hepatocytes from a common Antarctic fish species from McMurdo Sound in the Ross Sea. Levels of proliferating cell nuclear antigen were also measured as a marker of progression through the cell cycle. The results of these studies demonstrate that even sub-lethal heat stress can have deleterious impacts at the cellular level on these environmentally sensitive species. (C) 2014 Elsevier Ltd. All rights reserved.</t>
  </si>
  <si>
    <t>[Sleadd, Isaac M.; Lee, Marissa; Hassumani, Daniel O.; Stecyk, Tonya M. A.; Zeitz, Otto K.; Buckley, Bradley A.] Portland State Univ, Dept Biol, Ctr Life Extreme Environm, Portland, OR 97207 USA</t>
  </si>
  <si>
    <t>Portland State University</t>
  </si>
  <si>
    <t>Buckley, BA (corresponding author), Portland State Univ, Dept Biol, Ctr Life Extreme Environm, Portland, OR 97207 USA.</t>
  </si>
  <si>
    <t>bbuckley@pdx.edu</t>
  </si>
  <si>
    <t>Hassumani, Daniel/0009-0007-4731-3660</t>
  </si>
  <si>
    <t>NSF [OPP-0443754]</t>
  </si>
  <si>
    <t>This research was supported by NSF Grant OPP-0443754 to B.A.B. The authors gratefully thank the exceptional support staff of the United States Antarctic Program for their invaluable assistance on this project.</t>
  </si>
  <si>
    <t>0306-4565</t>
  </si>
  <si>
    <t>J THERM BIOL</t>
  </si>
  <si>
    <t>J. Therm. Biol.</t>
  </si>
  <si>
    <t>10.1016/j.jtherbio.2014.06.007</t>
  </si>
  <si>
    <t>Biology; Zoology</t>
  </si>
  <si>
    <t>Life Sciences &amp; Biomedicine - Other Topics; Zoology</t>
  </si>
  <si>
    <t>AO6QZ</t>
  </si>
  <si>
    <t>WOS:000341477900017</t>
  </si>
  <si>
    <t>Carneiro, APB; Manica, A; Phillips, RA</t>
  </si>
  <si>
    <t>Carneiro, Ana Paula B.; Manica, Andrea; Phillips, Richard A.</t>
  </si>
  <si>
    <t>Foraging behaviour and habitat use by brown skuas Stercorarius lonnbergi breeding at South Georgia</t>
  </si>
  <si>
    <t>CATHARACTA-ANTARCTICA-LONNBERGI; FOOD AVAILABILITY; REPRODUCTIVE CONSEQUENCES; FEEDING TERRITORIES; SEXUAL SEGREGATION; ACTIVITY PATTERNS; SIZE DIMORPHISM; ISLAND; POLAR; DIET</t>
  </si>
  <si>
    <t>Top predators are critical to ecosystem function, exerting a stabilising effect on the food web. Brown skuas are opportunistic predators and scavengers. Although skuas are often the dominant land-based predator at seabird colonies, this is the first detailed study of their movements and activity during breeding. The study was carried out at Bird Island, South Georgia (54A degrees 00'S, 38A degrees 03'W), in the austral summer of 2011/2012 and included GPS data from 33 breeding adults tracked during the late incubation and early chick-rearing periods. Brown skuas spent on average more than 80 % of time in the territory, and it was extremely rare for both partners to leave the territory simultaneously. Much more time was spent foraging at the coast than in penguin colonies and, based on saltwater immersion data, adults never foraged at sea. None of the tracked birds appeared to specialise in catching small petrels at night. Fewer foraging trips were made per day, and hence, more time was spent in the territory, during incubation than chick-rearing. Despite the pronounced sexual size dimorphism, there were no effects of sex on territorial attendance, foraging time or habitat use. Skuas at Bird Island show higher territorial attendance and are less likely to leave the territory unattended than those breeding elsewhere, suggesting closer proximity to more diverse or abundant food resources than at other colonies. The results tie in with previous diet studies, indicating that brown skuas at this site feed mostly on seal placentae and carrion and that birds may rely on a broader range of food resources as the season progresses.</t>
  </si>
  <si>
    <t>[Carneiro, Ana Paula B.; Manica, Andrea] Univ Cambridge, Dept Zool, Cambridge CB2 3EJ, England; [Phillips, Richard A.] British Antarctic Survey, Nat Environm Res Council, Cambridge CB3 0ET, England</t>
  </si>
  <si>
    <t>University of Cambridge; UK Research &amp; Innovation (UKRI); Natural Environment Research Council (NERC); NERC British Antarctic Survey</t>
  </si>
  <si>
    <t>Carneiro, APB (corresponding author), Univ Cambridge, Dept Zool, Downing St, Cambridge CB2 3EJ, England.</t>
  </si>
  <si>
    <t>apbc2@cam.ac.uk</t>
  </si>
  <si>
    <t>Carneiro, Ana Paula/IQT-6077-2023; Manica, Andrea/N-9013-2019</t>
  </si>
  <si>
    <t>Manica, Andrea/0000-0003-1895-450X; , Ana/0000-0003-0573-7549</t>
  </si>
  <si>
    <t>South Georgia Heritage Trust; Government of South Georgia; South Sandwich Islands; Natural Environment Research Council; Natural Environment Research Council [bas0100025] Funding Source: researchfish; NERC [bas0100025] Funding Source: UKRI</t>
  </si>
  <si>
    <t>South Georgia Heritage Trust; Government of South Georgia; South Sandwich Islands;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</si>
  <si>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grateful to the field team on Bird Island for assisting with device recoveries, and to the South Georgia Heritage Trust and Government of South Georgia and the South Sandwich Islands for part-funding the study. We would also like to thank Michelle King and Elaine Fitzcharles for assistance with molecular sexing. The study complied with the relevant laws of South Georgia and the South Sandwich Islands. This study is part of the Ecosystems component of the British Antarctic Survey Polar Science for Planet Earth Programme, funded by The Natural Environment Research Council.</t>
  </si>
  <si>
    <t>10.1007/s00227-014-2457-z</t>
  </si>
  <si>
    <t>WOS:000339900700006</t>
  </si>
  <si>
    <t>Yung, CCM; Chan, YK; Lacap, DC; Pérez-Ortega, S; de los Rios-Murillo, A; Lee, CK; Cary, SC; Pointing, SB</t>
  </si>
  <si>
    <t>Yung, Charmaine C. M.; Chan, Yuki; Lacap, Donnabella C.; Perez-Ortega, Sergio; de los Rios-Murillo, Asuncion; Lee, Charles K.; Cary, S. Craig; Pointing, Stephen B.</t>
  </si>
  <si>
    <t>Characterization of Chasmoendolithic Community in Miers Valley, McMurdo Dry Valleys, Antarctica</t>
  </si>
  <si>
    <t>MICROBIAL ECOLOGY</t>
  </si>
  <si>
    <t>HYPOLITHIC MICROBIAL COMMUNITIES; LICHEN ALGA TREBOUXIA; COLD DESERTS; ENVIRONMENTAL GRADIENTS; CHINA HOT; CYANOBACTERIA; COLONIZATION; DIVERSITY; ECOLOGY; SOILS</t>
  </si>
  <si>
    <t>The Antarctic Dry Valleys are unable to support higher plant and animal life and so microbial communities dominate biotic ecosystem processes. Soil communities are well characterized, but rocky surfaces have also emerged as a significant microbial habitat. Here, we identify extensive colonization of weathered granite on a landscape scale by chasmoendolithic microbial communities. A transect across north-facing and south-facing slopes plus valley floor moraines revealed 30-100 % of available substrate was colonized up to an altitude of 800 m. Communities were assessed at a multidomain level and were clearly distinct from those in surrounding soils and other rock-inhabiting cryptoendolithic and hypolithic communities. All colonized rocks were dominated by the cyanobacterial genus Leptolyngbya (Oscillatoriales), with heterotrophic bacteria, archaea, algae, and fungi also identified. Striking patterns in community distribution were evident with regard to microclimate as determined by aspect. Notably, a shift in cyanobacterial assemblages from Chroococcidiopsis-like phylotypes (Pleurocapsales) on colder-drier slopes, to Synechococcus-like phylotypes (Chroococcales) on warmer-wetter slopes. Greater relative abundance of known desiccation-tolerant bacterial taxa occurred on colder-drier slopes. Archaeal phylotypes indicated halotolerant taxa and also taxa possibly derived from nearby volcanic sources. Among the eukaryotes, the lichen photobiont Trebouxia (Chlorophyta) was ubiquitous, but known lichen-forming fungi were not recovered. Instead, fungal assemblages were dominated by ascomycetous yeasts. We conclude that chasmoendoliths likely constitute a significant geobiological phenomenon at lower elevations in granite-dominated Antarctic Dry Valley systems.</t>
  </si>
  <si>
    <t>[Yung, Charmaine C. M.] Duke Univ, Nicholas Sch Environm, Durham, NC 27708 USA; [Chan, Yuki; Lacap, Donnabella C.; Pointing, Stephen B.] Auckland Univ Technol, Inst Appl Ecol New Zealand, Sch Appl Sci, Auckland 1142, New Zealand; [Perez-Ortega, Sergio; de los Rios-Murillo, Asuncion] CSIC, Museo Nacl Ciencias Nat, Dept Environm Biol, E-28006 Madrid, Spain; [Lee, Charles K.; Cary, S. Craig; Pointing, Stephen B.] Univ Waikato, Dept Biol Sci, Int Ctr Terr Antarctic Res, Hamilton 3240, New Zealand</t>
  </si>
  <si>
    <t>Duke University; Consejo Superior de Investigaciones Cientificas (CSIC); CSIC - Museo Nacional de Ciencias Naturales (MNCN); University of Waikato</t>
  </si>
  <si>
    <t>Pointing, SB (corresponding author), Univ Waikato, Dept Biol Sci, Int Ctr Terr Antarctic Res, Private Bag 3105, Hamilton 3240, New Zealand.</t>
  </si>
  <si>
    <t>steve.pointing@aut.ac.nz</t>
  </si>
  <si>
    <t>lee, charles/AAW-6627-2021; de los Rios, Asuncion/L-3694-2014; Lee, Charles/AAC-9417-2019; Pointing, Stephen/JHT-2500-2023; Perez-Ortega, Sergio/G-1257-2016</t>
  </si>
  <si>
    <t>lee, charles/0000-0001-6906-4895; de los Rios, Asuncion/0000-0002-0266-3516; Lee, Charles/0000-0002-6562-4733; Chan, Yuki/0000-0002-9570-5462; Perez-Ortega, Sergio/0000-0002-5411-3698; Cary, Stephen/0000-0002-2876-2387</t>
  </si>
  <si>
    <t>Foundation for Research, Science and Technology of New Zealand [UOWX0710, UOWX0715]; Spanish Ministry of Economy and Competition [CTM2012-3822-C02-02]; New Zealand Marsden Fund [UOW1003, UOW0802]</t>
  </si>
  <si>
    <t>Foundation for Research, Science and Technology of New Zealand(New Zealand Foundation for Research, Science and Technology); Spanish Ministry of Economy and Competition(Spanish Government); New Zealand Marsden Fund(Royal Society of New ZealandMarsden Fund (NZ))</t>
  </si>
  <si>
    <t>The authors are extremely grateful to Antarctica New Zealand for logistics and field support in Antarctica. This research was supported by Foundation for Research, Science and Technology of New Zealand (UOWX0710 and UOWX0715). A.delR, SPO were supported by grant CTM2012-3822-C02-02 from the Spanish Ministry of Economy and Competition. CKL and SCC were supported by the New Zealand Marsden Fund (UOW1003 and UOW0802).</t>
  </si>
  <si>
    <t>0095-3628</t>
  </si>
  <si>
    <t>1432-184X</t>
  </si>
  <si>
    <t>MICROB ECOL</t>
  </si>
  <si>
    <t>Microb. Ecol.</t>
  </si>
  <si>
    <t>10.1007/s00248-014-0412-7</t>
  </si>
  <si>
    <t>Ecology; Marine &amp; Freshwater Biology; Microbiology</t>
  </si>
  <si>
    <t>Environmental Sciences &amp; Ecology; Marine &amp; Freshwater Biology; Microbiology</t>
  </si>
  <si>
    <t>AM3EL</t>
  </si>
  <si>
    <t>WOS:000339735300017</t>
  </si>
  <si>
    <t>Sigl, M; McConnell, JR; Toohey, M; Curran, M; Das, SB; Edwards, R; Isaksson, E; Kawamura, K; Kipfstuhl, S; Krüger, K; Layman, L; Maselli, OJ; Motizuki, Y; Motoyama, H; Pasteris, DR; Severi, M</t>
  </si>
  <si>
    <t>Sigl, Michael; McConnell, Joseph R.; Toohey, Matthew; Curran, Mark; Das, Sarah B.; Edwards, Ross; Isaksson, Elisabeth; Kawamura, Kenji; Kipfstuhl, Sepp; Krueger, Kirstin; Layman, Lawrence; Maselli, Olivia J.; Motizuki, Yuko; Motoyama, Hideaki; Pasteris, Daniel R.; Severi, Mirko</t>
  </si>
  <si>
    <t>Insights from Antarctica on volcanic forcing during the Common Era</t>
  </si>
  <si>
    <t>NATURE CLIMATE CHANGE</t>
  </si>
  <si>
    <t>SURFACE MASS-BALANCE; SULFATE DEPOSITION; ERUPTION; RECONSTRUCTIONS; VARIABILITY; RECORD; KUWAE</t>
  </si>
  <si>
    <t>Assessments of climate sensitivity to projected greenhouse gas concentrations underpin environmental policy decisions, with such assessments often based on model simulations of climate during recent centuries and millennia(1-3). These simulations depend critically on accurate records of past aerosol forcing from global-scale volcanic eruptions, reconstructed from measurements of sulphate deposition in ice cores(4-6). Non-uniform transport and deposition of volcanic fallout mean that multiple records from a wide array of ice cores must be combined to create accurate reconstructions. Here we re-evaluated the record of volcanic sulphate deposition using a much more extensive array of Antarctic ice cores. In our new reconstruction, many additional records have been added and dating of previously published records corrected through precise synchronization to the annually dated West Antarctic Ice Sheet Divide ice core(7), improving and extending the record throughout the Common Era. Whereas agreement with existing reconstructions is excellent after 1500, we found a substantially different history of volcanic aerosol deposition before 1500; for example, global aerosol forcing values from some of the largest eruptions (for example, 1257 and 1458) previously were overestimated by 20-30% and others underestimated by 20-50%.</t>
  </si>
  <si>
    <t>[Sigl, Michael; McConnell, Joseph R.; Layman, Lawrence; Maselli, Olivia J.; Pasteris, Daniel R.] Desert Res Inst, Reno, NV 89512 USA; [McConnell, Joseph R.; Kawamura, Kenji; Motoyama, Hideaki] Res Org Informat &amp; Syst, Natl Inst Polar Res, Tokyo 1908518, Japan; [Toohey, Matthew; Krueger, Kirstin] GEOMAR Helmholtz Ctr Ocean Res Kiel, D-24105 Kiel, Germany; [Curran, Mark] Australian Antarctic Div, Hobart, Tas 7004, Australia; [Curran, Mark] Antarctic Climate &amp; Ecosyst Cooperat Res Ctr, Hobart, Tas 7004, Australia; [Das, Sarah B.] Woods Hole Oceanog Inst, Woods Hole, MA 02543 USA; [Edwards, Ross] Curtin Univ, Dept Imaging &amp; Appl Phys, Perth, WA 6845, Australia; [Isaksson, Elisabeth] Norwegian Polar Res Inst, N-9296 Tromso, Norway; [Kawamura, Kenji] JAMSTEC, Dept Biogeochem, Yokosuka, Kanagawa 2370061, Japan; [Kipfstuhl, Sepp] Helmholtz Ctr Polar &amp; Marine Res, Alfred Wegener Inst, D-27570 Bremerhaven, Germany; [Krueger, Kirstin] Univ Oslo, N-0315 Oslo, Norway; [Motizuki, Yuko] RIKEN, Nishina Ctr, Wako, Saitama 3510198, Japan; [Severi, Mirko] Univ Florence, Dept Chem Ugo Schiff, I-50019 Florence, Italy</t>
  </si>
  <si>
    <t>Nevada System of Higher Education (NSHE); Desert Research Institute NSHE; Research Organization of Information &amp; Systems (ROIS); National Institute of Polar Research (NIPR) - Japan; Helmholtz Association; GEOMAR Helmholtz Center for Ocean Research Kiel; Australian Antarctic Division; Antarctic Climate &amp; Ecosystems Cooperative Research Centre (ACE CRC); Woods Hole Oceanographic Institution; Curtin University; Norwegian Polar Institute; Japan Agency for Marine-Earth Science &amp; Technology (JAMSTEC); Helmholtz Association; Alfred Wegener Institute, Helmholtz Centre for Polar &amp; Marine Research; University of Oslo; RIKEN; University of Florence</t>
  </si>
  <si>
    <t>Sigl, M (corresponding author), Desert Res Inst, Reno, NV 89512 USA.</t>
  </si>
  <si>
    <t>msigl@dri.edu</t>
  </si>
  <si>
    <t>Toohey, Matthew/AAL-1896-2021; Maselli, Olivia/A-6687-2013; Severi, Mirko/J-2508-2012; Kawamura, Kenji/C-7660-2011; Edwards, Ross/B-1433-2013</t>
  </si>
  <si>
    <t>Toohey, Matthew/0000-0002-7070-405X; Severi, Mirko/0000-0003-1511-6762; Kawamura, Kenji/0000-0003-1163-700X; Edwards, Ross/0000-0002-9233-8775; Sigl, Michael/0000-0002-9028-9703</t>
  </si>
  <si>
    <t>US National Science Foundation [0538416, 0538427, 0839093, 0632031, 0739780]; Cabinet Office, Government of Japan [GR098]; Japan Society for the Promotion of Science; Federal Ministry for Education and Research in Germany (BMBF) through the research program 'MiKlip' [FKZ:01LP130B]; Directorate For Geosciences; Division Of Polar Programs [0739780] Funding Source: National Science Foundation; Directorate For Geosciences; Office of Polar Programs (OPP) [0944348, 1142166, 1204176] Funding Source: National Science Foundation; Office Of The Director; Office Of Internatl Science &amp;Engineering [0968391] Funding Source: National Science Foundation; Grants-in-Aid for Scientific Research [21671001, 26241011] Funding Source: KAKEN</t>
  </si>
  <si>
    <t>US National Science Foundation(National Science Foundation (NSF)); Cabinet Office, Government of Japan; Japan Society for the Promotion of Science(Ministry of Education, Culture, Sports, Science and Technology, Japan (MEXT)Japan Society for the Promotion of Science); Federal Ministry for Education and Research in Germany (BMBF) through the research program 'MiKlip'(Federal Ministry of Education &amp; Research (BMBF)); Directorate For Geosciences; Division Of Polar Programs(National Science Foundation (NSF)NSF - Directorate for Geosciences (GEO)); Directorate For Geosciences; Office of Polar Programs (OPP)(National Science Foundation (NSF)NSF - Directorate for Geosciences (GEO)); Office Of The Director; Office Of Internatl Science &amp;Engineering(National Science Foundation (NSF)NSF - Office of the Director (OD)); Grants-in-Aid for Scientific Research(Ministry of Education, Culture, Sports, Science and Technology, Japan (MEXT)Japan Society for the Promotion of ScienceGrants-in-Aid for Scientific Research (KAKENHI))</t>
  </si>
  <si>
    <t>This work is financially supported through the US National Science Foundation grants 0538416, 0538427, 0839093 (to J.R.M.), 0632031 (to S. B. D.), and 0739780 (to R. E.). The authors appreciate the support of the WAIS Divide Science Coordination Office (M. Twickler and J. Souney) for collection and distribution of the WAIS Divide ice core; Ice Drilling and Design and Operations (K. Dahnert) for drilling; the National Ice Core Laboratory (B. Bencivengo) for curating the core; Raytheon Polar Services (M. Kippenhan) for logistics support in Antarctica; and the 109th New York Air National Guard for airlift in Antarctica. We thank the Japanese Antarctic Research Expedition and the Dome Fuji drilling team for drilling of the DFS10 core. Y.M. acknowledges the Funding Program for Next Generation World-Leading Researchers (NEXT Program, Grant Number GR098) supported by the Cabinet Office, Government of Japan and the Japan Society for the Promotion of Science. This work was supported by the Federal Ministry for Education and Research in Germany (BMBF) through the research program 'MiKlip' (FKZ:01LP130B). Computations were done at the German Climate Computer Center (DKRZ).</t>
  </si>
  <si>
    <t>1758-678X</t>
  </si>
  <si>
    <t>1758-6798</t>
  </si>
  <si>
    <t>NAT CLIM CHANGE</t>
  </si>
  <si>
    <t>Nat. Clim. Chang.</t>
  </si>
  <si>
    <t>10.1038/nclimate2293</t>
  </si>
  <si>
    <t>Environmental Sciences; Environmental Studies; Meteorology &amp; Atmospheric Sciences</t>
  </si>
  <si>
    <t>Environmental Sciences &amp; Ecology; Meteorology &amp; Atmospheric Sciences</t>
  </si>
  <si>
    <t>AO7YF</t>
  </si>
  <si>
    <t>WOS:000341568200022</t>
  </si>
  <si>
    <t>Jenouvrier, S; Holland, M; Stroeve, J; Serreze, M; Barbraud, C; Weimerskirch, H; Caswell, H</t>
  </si>
  <si>
    <t>Jenouvrier, Stephanie; Holland, Marika; Stroeve, Julienne; Serreze, Mark; Barbraud, Christophe; Weimerskirch, Henri; Caswell, Hal</t>
  </si>
  <si>
    <t>Projected continent-wide declines of the emperor penguin under climate change</t>
  </si>
  <si>
    <t>THREATENS; SEA</t>
  </si>
  <si>
    <t>Climate change has been projected to affect species distribution(1) and future trends of local populations(2,3), but projections of global population trends are rare. We analyse global population trends of the emperor penguin (Aptenodytes forsteri), an iconic Antarctic top predator, under the influence of sea ice conditions projected by coupled climate models assessed in the Intergovernmental Panel on Climate Change (IPCC) effort(4). We project the dynamics of all 45 known emperor penguin colonies(5) by forcing a sea-ice-dependent demographic model(6,7) with local, colony-specific, sea ice conditions projected through to the end of the twenty-first century. Dynamics differ among colonies, but by 2100 all populations are projected to be declining. At least two-thirds are projected to have declined by &gt; 50% from their current size. The global population is projected to have declined by at least 19%. Because criteria to classify species by their extinction risk are based on the global population dynamics(8), global analyses are critical for conservation(9). We discuss uncertainties arising in such global projections and the problems of defining conservation criteria for species endangered by future climate change.</t>
  </si>
  <si>
    <t>[Jenouvrier, Stephanie; Caswell, Hal] Woods Hole Oceanog Inst, Dept Biol, Woods Hole, MA 02543 USA; [Jenouvrier, Stephanie; Barbraud, Christophe; Weimerskirch, Henri] Univ La Rochelle, CNRS, UMR 7372, Ctr Etud Biol Chize, F-79360 Villiers En Bois, France; [Holland, Marika] Natl Ctr Atmospher Res, Boulder, CO 80305 USA; [Stroeve, Julienne; Serreze, Mark] Univ Colorado, Cooperat Inst Res Environm Sci, Natl Snow &amp; Ice Data Ctr, Boulder, CO 80309 USA; [Stroeve, Julienne] UCL, Ctr Polar Observat &amp; Modelling, London WC1E 6BT, England; [Caswell, Hal] Univ Amsterdam, Inst Biodivers &amp; Ecosyst Dynam, NL-1090 GE Amsterdam, Netherlands</t>
  </si>
  <si>
    <t>Woods Hole Oceanographic Institution; La Rochelle Universite; Centre National de la Recherche Scientifique (CNRS); CNRS - Institute of Ecology &amp; Environment (INEE); National Center Atmospheric Research (NCAR) - USA; University of Colorado System; University of Colorado Boulder; University of London; University College London; University of Amsterdam</t>
  </si>
  <si>
    <t>Jenouvrier, S (corresponding author), Woods Hole Oceanog Inst, Dept Biol, MS-50, Woods Hole, MA 02543 USA.</t>
  </si>
  <si>
    <t>sjenouvrier@whoi.edu</t>
  </si>
  <si>
    <t>Barbraud, Christophe/A-5870-2012; Stroeve, Julienne/ABE-7227-2020; Weimerskirch, Henri/F-5562-2013; Weimerskirch, Henri/K-7306-2019</t>
  </si>
  <si>
    <t>Barbraud, Christophe/0000-0003-0146-212X; Weimerskirch, Henri/0000-0002-0457-586X; jenouvrier, stephanie/0000-0003-3324-2383; Caswell, Hal/0000-0003-4394-6894; Holland, Marika/0000-0001-5621-8939</t>
  </si>
  <si>
    <t>Institute Paul Emile Victor [IPEV 109]; CIRES; WHOI; Grayce B. Kerr Fund; Penzance Endowed Fund; NSF [DEB-1145017]; Alexander von Humboldt Foundation; ERC [322989]; Direct For Biological Sciences; Division Of Environmental Biology [1145017] Funding Source: National Science Foundation; NERC [cpom30001] Funding Source: UKRI; Natural Environment Research Council [cpom30001] Funding Source: researchfish; European Research Council (ERC) [322989] Funding Source: European Research Council (ERC)</t>
  </si>
  <si>
    <t>Institute Paul Emile Victor; CIRES; WHOI; Grayce B. Kerr Fund; Penzance Endowed Fund; NSF(National Science Foundation (NSF)); Alexander von Humboldt Foundation(Alexander von Humboldt Foundation); ERC(European Research Council (ERC)); Direct For Biological Sciences; Division Of Environmental Biology(National Science Foundation (NSF)NSF - Directorate for Biological Sciences (BIO)); NERC(UK Research &amp; Innovation (UKRI)Natural Environment Research Council (NERC)); Natural Environment Research Council(UK Research &amp; Innovation (UKRI)Natural Environment Research Council (NERC)); European Research Council (ERC)(European Research Council (ERC)Spanish Government)</t>
  </si>
  <si>
    <t>We acknowledge Institute Paul Emile Victor (Programme IPEV 109) and Terres Australes et Antarctiques Francaises for TA penguin data and the modelling groups Program for Climate Model Diagnosis and Intercomparison (PCMDI) and the WCRP's Working Group on Coupled Modelling (WGCM) for sea ice data. S.J. acknowledges support from CIRES Visiting fellowships, WHOI Unrestricted funds, the Grayce B. Kerr Fund and the Penzance Endowed Fund in Support of Assistant Scientists and H. C. acknowledges support from NSF Grant DEB-1145017, the Alexander von Humboldt Foundation and ERC Advanced Grant 322989. We acknowledge D. Besson and K. Delord for TA penguin data management, P. Trathan and P. Fretwell for making satellite population counts available for earlier analysis and D. Ainley, L. Desvilettes and J. Garnier for fruitful discussions.</t>
  </si>
  <si>
    <t>10.1038/NCLIMATE2280</t>
  </si>
  <si>
    <t>WOS:000341568200026</t>
  </si>
  <si>
    <t>Kelley, JL; Peyton, JT; Fiston-Lavier, AS; Teets, NM; Yee, MC; Johnston, JS; Bustamante, CD; Lee, RE; Denlinger, DL</t>
  </si>
  <si>
    <t>Kelley, Joanna L.; Peyton, Justin T.; Fiston-Lavier, Anna-Sophie; Teets, Nicholas M.; Yee, Muh-Ching; Johnston, J. Spencer; Bustamante, Carlos D.; Lee, Richard E.; Denlinger, David L.</t>
  </si>
  <si>
    <t>Compact genome of the Antarctic midge is likely an adaptation to an extreme environment</t>
  </si>
  <si>
    <t>TRANSFER-RNA GENES; TRANSPOSABLE ELEMENTS; BELGICA-ANTARCTICA; SEQUENCE; EXPRESSION; IDENTIFICATION; ANNOTATION; NUCLEOTIDE; GENERATION; DIPTERA</t>
  </si>
  <si>
    <t>The midge, Belgica antarctica, is the only insect endemic to Antarctica, and thus it offers a powerful model for probing responses to extreme temperatures, freeze tolerance, dehydration, osmotic stress, ultraviolet radiation and other forms of environmental stress. Here we present the first genome assembly of an extremophile, the first dipteran in the family Chironomidae, and the first Antarctic eukaryote to be sequenced. At 99 megabases, B. antarctica has the smallest insect genome sequenced thus far. Although it has a similar number of genes as other Diptera, the midge genome has very low repeat density and a reduction in intron length. Environmental extremes appear to constrain genome architecture, not gene content. The few transposable elements present are mainly ancient, inactive retroelements. An abundance of genes associated with development, regulation of metabolism and responses to external stimuli may reflect adaptations for surviving in this harsh environment.</t>
  </si>
  <si>
    <t>[Kelley, Joanna L.; Yee, Muh-Ching; Bustamante, Carlos D.] Stanford Univ, Dept Genet, Stanford, CA 94305 USA; [Kelley, Joanna L.] Washington State Univ, Sch Biol Sci, Pullman, WA 99164 USA; [Peyton, Justin T.; Teets, Nicholas M.; Denlinger, David L.] Ohio State Univ, Dept Entomol, Aronoff Lab 300, Columbus, OH 43210 USA; [Peyton, Justin T.; Denlinger, David L.] Ohio State Univ, Dept Ecol Evolut &amp; Organismal Biol, Aronoff Lab 300, Columbus, OH 43210 USA; [Fiston-Lavier, Anna-Sophie] Stanford Univ, Dept Biol, Stanford, CA 94305 USA; [Fiston-Lavier, Anna-Sophie] Univ Montpellier 2, Inst Sci Evolut, CNRS, UMR5554, Montpellier 05, France; [Teets, Nicholas M.] Univ Florida, Dept Entomol &amp; Nematol, Gainesville, FL 32611 USA; [Yee, Muh-Ching] Carnegie Inst Sci, Dept Plant Biol, Stanford, CA 94305 USA; [Johnston, J. Spencer] Texas A&amp;M Univ, Dept Entomol, College Stn, TX 77843 USA; [Lee, Richard E.] Miami Univ, Dept Zool, Oxford, OH 45056 USA</t>
  </si>
  <si>
    <t>Stanford University; Washington State University; University System of Ohio; Ohio State University; University System of Ohio; Ohio State University; Stanford University; Centre National de la Recherche Scientifique (CNRS); Institut de Recherche pour le Developpement (IRD); Universite de Montpellier; State University System of Florida; University of Florida; Carnegie Institution for Science; Texas A&amp;M University System; Texas A&amp;M University College Station; University System of Ohio; Miami University</t>
  </si>
  <si>
    <t>Kelley, JL (corresponding author), Stanford Univ, Dept Genet, 300 Pasteur Dr, Stanford, CA 94305 USA.</t>
  </si>
  <si>
    <t>joanna.l.kelley@wsu.edu; denlinger.1@osu.edu</t>
  </si>
  <si>
    <t>Kelley, Joanna L/H-1693-2012; Fiston-Lavier, Anna-Sophie/ABC-4950-2020; Teets, Nicholas/IQT-5328-2023; Teets, Nicholas/H-7386-2013</t>
  </si>
  <si>
    <t>Kelley, Joanna L/0000-0002-7731-605X; Fiston-Lavier, Anna-Sophie/0000-0002-7306-6532; Teets, Nicholas/0000-0003-0963-7457; Bustamante, Carlos D./0000-0002-4187-7920</t>
  </si>
  <si>
    <t>NSF [OPP-ANT-0837613, ANT-0837559]; NIH NRSA [GM087069]; Office of Polar Programs (OPP); Directorate For Geosciences [1341393] Funding Source: National Science Foundation</t>
  </si>
  <si>
    <t>NSF(National Science Foundation (NSF)); NIH NRSA(United States Department of Health &amp; Human ServicesNational Institutes of Health (NIH) - USA); Office of Polar Programs (OPP); Directorate For Geosciences(National Science Foundation (NSF)NSF - Directorate for Geosciences (GEO))</t>
  </si>
  <si>
    <t>This work was funded by NSF OPP-ANT-0837613 and ANT-0837559 to D. L. D. and R. E. L. and NIH NRSA GM087069 to J.L.K. We thank Marc Mangel for making this collaboration possible through a timely introduction. We thank Jeffrey D. Jensen for useful discussions.</t>
  </si>
  <si>
    <t>10.1038/ncomms5611</t>
  </si>
  <si>
    <t>AO1FE</t>
  </si>
  <si>
    <t>WOS:000341057000002</t>
  </si>
  <si>
    <t>Sheen, KL; Garabato, ACN; Brearley, JA; Meredith, MP; Polzin, KL; Smeed, DA; Forryan, A; King, BA; Sallée, JB; Laurent, LS; Thurnherr, AM; Toole, JM; Waterman, SN; Watson, AJ</t>
  </si>
  <si>
    <t>Sheen, K. L.; Garabato, A. C. Naveira; Brearley, J. A.; Meredith, M. P.; Polzin, K. L.; Smeed, D. A.; Forryan, A.; King, B. A.; Sallee, J-B.; Laurent, L. St.; Thurnherr, A. M.; Toole, J. M.; Waterman, S. N.; Watson, A. J.</t>
  </si>
  <si>
    <t>Eddy-induced variability in Southern Ocean abyssal mixing on climatic timescales</t>
  </si>
  <si>
    <t>OVERTURNING CIRCULATION; INTERNAL WAVES; DRIVEN; ENERGY; TURBULENCE; BREAKING; EDDIES</t>
  </si>
  <si>
    <t>The Southern Ocean plays a pivotal role in the global ocean circulation and climate(1-3). There, the deep water masses of the world ocean upwell to the surface and subsequently sink to intermediate and abyssal depths, forming two overturning cells that exchange substantial quantities of heat and carbon with the atmosphere(4,5). The sensitivity of the upper cell to climatic changes in forcing is relatively well established(6). However, little is known about how the lower cell responds, and in particular whether small-scale mixing in the abyssal Southern Ocean, an important controlling process of the lower cell(7,8), is influenced by atmospheric forcing. Here, we present observational evidence that relates changes in abyssal mixing to oceanic eddy variability on timescales of months to decades. Observational estimates of mixing rates, obtained along a repeat hydrographic transect across Drake Passage, are shown to be dependent on local oceanic eddy energy, derived from moored current meter and altimetric measurements. As the intensity of the regional eddy field is regulated by the Southern Hemisphere westerly winds(9,10), our findings suggest that Southern Ocean abyssal mixing and overturning are sensitive to climatic perturbations in wind forcing.</t>
  </si>
  <si>
    <t>[Sheen, K. L.; Garabato, A. C. Naveira; Brearley, J. A.; Forryan, A.] Univ Southampton, Natl Oceanog Ctr, Southampton SO14 3ZH, Hants, England; [Meredith, M. P.; Sallee, J-B.] British Antarctic Survey, Cambridge CB3 0ET, England; [Meredith, M. P.] Scottish Assoc Marine Sci, Oban PA37 1QA, Argyll, Scotland; [Polzin, K. L.; Laurent, L. St.; Toole, J. M.] Woods Hole Oceanog Inst, Woods Hole, MA 02543 USA; [Smeed, D. A.; King, B. A.] Natl Oceanog Ctr, Southampton SO14 3ZH, Hants, England; [Sallee, J-B.] Lab Oceanog &amp; Climat, F-75252 Paris, France; [Thurnherr, A. M.] Lamont Doherty Earth Observ, Palisades, NY 10964 USA; [Waterman, S. N.] Univ New S Wales, Climate Change Res Ctr, Sydney, NSW 2052, Australia; [Waterman, S. N.] Univ New S Wales, ARC Ctr Excellence Climate Syst Sci, Sydney, NSW 2052, Australia; [Waterman, S. N.] Univ British Columbia, Vancouver, BC V6T 1Z4, Canada; [Watson, A. J.] Univ Exeter, Exeter EX4 4SB, Devon, England</t>
  </si>
  <si>
    <t>University of Southampton; NERC National Oceanography Centre; UK Research &amp; Innovation (UKRI); Natural Environment Research Council (NERC); NERC British Antarctic Survey; UHI Millennium Institute; Woods Hole Oceanographic Institution; NERC National Oceanography Centre; Sorbonne Universite; Columbia University; University of New South Wales Sydney; ARC Centre of Excellence for Climate System Science; University of New South Wales Sydney; University of British Columbia; University of Exeter</t>
  </si>
  <si>
    <t>Sheen, KL (corresponding author), Univ Southampton, Natl Oceanog Ctr, Southampton SO14 3ZH, Hants, England.</t>
  </si>
  <si>
    <t>K.Sheen@soton.ac.uk</t>
  </si>
  <si>
    <t>Garabato, Alberto Naveira/AAQ-1114-2020; Brearley, Alexander/C-3313-2012; Waterman, Stephanie/AAY-6033-2020; Smeed, David/B-4726-2012; SALLEE, Jean baptiste/HDO-5355-2022; SALLEE, Jean baptiste/A-5837-2010</t>
  </si>
  <si>
    <t>Garabato, Alberto Naveira/0000-0001-6071-605X; Waterman, Stephanie/0000-0001-5797-1092; Smeed, David/0000-0003-1740-1778; Watson, Andrew/0000-0002-9654-8147; Meredith, Michael/0000-0002-7342-7756; Brearley, Alexander/0000-0003-3700-8017; SALLEE, Jean baptiste/0000-0002-6109-5176; Toole, John/0000-0003-2905-0637</t>
  </si>
  <si>
    <t>Natural Environment Research Council (NERC) of the UK; US National Science Foundation; NERC; NERC [NE/E007058/1, NE/E005985/1, NE/E005985/2, bas0100028] Funding Source: UKRI; Directorate For Geosciences; Division Of Ocean Sciences [1232962] Funding Source: National Science Foundation; Natural Environment Research Council [NE/E005985/2, NE/E005985/1, noc010012, NE/E007058/1, bas0100028] Funding Source: researchfish</t>
  </si>
  <si>
    <t>Natural Environment Research Council (NERC) of the UK(UK Research &amp; Innovation (UKRI)Natural Environment Research Council (NERC)); US National Science Foundation(National Science Foundation (NSF)); NERC(UK Research &amp; Innovation (UKRI)Natural Environment Research Council (NERC)); NERC(UK Research &amp; Innovation (UKRI)Natural Environment Research Council (NERC)); Directorate For Geosciences; Division Of Ocean Sciences(National Science Foundation (NSF)NSF - Directorate for Geosciences (GEO)); Natural Environment Research Council(UK Research &amp; Innovation (UKRI)Natural Environment Research Council (NERC))</t>
  </si>
  <si>
    <t>The DIMES experiment is supported by the Natural Environment Research Council (NERC) of the UK and the US National Science Foundation. K.L.S. is supported by NERC. We are grateful to J. Ledwell, A. Bogdanoff, P. Courtois, K. Decoteau, D. Evans and X. Liang for their help in data collection and acknowledge the valuable assistance and hard work of the crew and technicians on the RRS James Cook, the RRS James Clark Ross and the RV Thomas G. Thompson. We also thank A. Thompson who provided many helpful comments, and E. Murowinski, R. Lueck and F. Wolk from Rockland Scientific for their support in microstructure data analysis.</t>
  </si>
  <si>
    <t>10.1038/NGEO2200</t>
  </si>
  <si>
    <t>AO8WE</t>
  </si>
  <si>
    <t>WOS:000341635100014</t>
  </si>
  <si>
    <t>Plancq, J; Mattioli, E; Pittet, B; Simon, L; Grossi, V</t>
  </si>
  <si>
    <t>Plancq, Julien; Mattioli, Emanuela; Pittet, Bernard; Simon, Laurent; Grossi, Vincent</t>
  </si>
  <si>
    <t>Productivity and sea-surface temperature changes recorded during the late Eocene-early Oligocene at DSDP Site 511 (South Atlantic)</t>
  </si>
  <si>
    <t>Paleotemperatures; Productivity; Upwelling conditions; DSDP Site 511; Calcareous nannofossils; Lipid-biomarkers</t>
  </si>
  <si>
    <t>HYDROXY METHYL ALKANOATES; DRILLING-PROJECT LEG-71; LONG-CHAIN ALKENONES; CALCAREOUS NANNOFOSSILS; ANTARCTIC GLACIATION; EMILIANIA-HUXLEYI; NORTH-ATLANTIC; CALCITE COMPENSATION; BIOMARKER APPROACH; KERGUELEN PLATEAU</t>
  </si>
  <si>
    <t>This study investigates paleoenvironmental changes during the Eocene-Oligocene transition (EOT) at Deep Sea Drilling Project (DSDP) Site 511 (South Atlantic), as inferred from lipid biomarker (long-chain diols, alkenones) and calcareous nannofossil accumulation rates, as well as changes in sedimentation regime (Le. relative contributions of total organic carbon-TOC-, calcium carbonate, and biogenic silica). Sea-surface temperatures (SSTs) reconstructed from the alkenone unsaturation index U(K')37 indicate a progressive but significant cooling (similar to 8 degrees C) from 34.5 Ma to 33.6 Ma, consistent with estimates derived from other temperature proxies (TEX86; delta O-18) at the same site and for the same time interval. This cooling is associated with a marked increase in primary productivity, as indicated by high accumulation rates of biogenic silica, TOC, alkenones, long-chain diols, and calcareous nannofossils. Together, these results are consistent with an enhancement of upwelling conditions favorable to the development of siliceous organisms at DSDP Site 511, possibly induced by the Oi-1 glaciation in Antarctica that occurred during this period. (C) 2014 Elsevier B.V. All rights reserved.</t>
  </si>
  <si>
    <t>[Plancq, Julien; Mattioli, Emanuela; Pittet, Bernard; Grossi, Vincent] Univ Lyon 1, Ecole Normale Super Lyon, LGL TPE, CNRS,UMR 5276, F-69622 Villeurbanne, France; [Simon, Laurent] Univ Lyon 1, ENTPE, LEHNA, CNRS,UMR 5023, F-69622 Villeurbanne, France</t>
  </si>
  <si>
    <t>Universite Claude Bernard Lyon 1; Centre National de la Recherche Scientifique (CNRS); CNRS - National Institute for Earth Sciences &amp; Astronomy (INSU); Ecole Normale Superieure de Lyon (ENS de LYON); Centre National de la Recherche Scientifique (CNRS); Universite Claude Bernard Lyon 1; CNRS - Institute of Ecology &amp; Environment (INEE)</t>
  </si>
  <si>
    <t>Plancq, J (corresponding author), Univ Caen Basse Normandie, Lab Morphodynam Continentale &amp; Cotiere M2C, CNRS, UMR 6143, Campus 1,24 Rue Tilleuls, Caen, France.</t>
  </si>
  <si>
    <t>plancq.julien@orange.fr; emanuela.mattioli@univ-lyon1.fr; bernard.pittet@univ-lyon1.fr; laurent.simon@univ-lyon1.fr; vincent.grossi@univ-lyon1.fr</t>
  </si>
  <si>
    <t>Mattioli, Emanuela/D-7951-2012; Pittet, Bernard/B-9664-2012; Grossi, Vincent/G-6493-2010; Simon, Laurent/B-4641-2009; Plancq, Julien/L-2995-2015</t>
  </si>
  <si>
    <t>Grossi, Vincent/0000-0001-6263-3813; Simon, Laurent/0000-0003-1389-9871; Mattioli, Emanuela/0000-0003-0990-1641; Plancq, Julien/0000-0001-7682-8419</t>
  </si>
  <si>
    <t>10.1016/j.palaeo.2014.04.016</t>
  </si>
  <si>
    <t>AJ6CO</t>
  </si>
  <si>
    <t>WOS:000337777500004</t>
  </si>
  <si>
    <t>Ladant, JB; Donnadieu, Y; Lefebvre, V; Dumas, C</t>
  </si>
  <si>
    <t>Ladant, Jean-Baptiste; Donnadieu, Yannick; Lefebvre, Vincent; Dumas, Christophe</t>
  </si>
  <si>
    <t>The respective role of atmospheric carbon dioxide and orbital parameters on ice sheet evolution at the Eocene-Oligocene transition</t>
  </si>
  <si>
    <t>ANTARCTIC GLACIATION; BIPOLAR GLACIATION; GLOBAL CLIMATE; SOUTHERN-OCEAN; CO2; CIRCULATION; ICEHOUSE; HISTORY; RECORDS; MA</t>
  </si>
  <si>
    <t>The continental scale initiation of the Antarctic ice sheet at the Eocene-Oligocene boundary (Eocene-Oligocene transition (EOT), 34 Ma) is associated with a global reorganization of the climate. If data studies have assessed the precise timing and magnitudes of the ice steps, modeling studies have been unable to reproduce a transient ice evolution during the Eocene-Oligocene transition in agreement with the data. Here we simulate this transition using general circulation models coupled to an ice sheet model. Our simulations reveal a threshold for continental scale glaciation of 900 ppm, 100 to 150 ppm higher than previous studies. This result supports the existence of ephemeral ice sheets during the middle Eocene, as similar CO2 levels (900-1000 ppm) have been reached episodically during this period. Transient runs show that the ice growth is accurately timed with EOT-1 and Oi-1, the two delta O-18 excursions occurring during the transition. We show that CO2 and orbital variations are crucial in initiating these steps, with EOT-1 corresponding to the occurrence of low summer insolation, whereas Oi-1 is controlled by a major CO2 drop. The two delta O-18 steps record both ice growth and temperature, representing some 10-30m eustatic sea level fall and 2-4 degrees C cooling at EOT-1 and 70 +/- 20m and 0-2 degrees C for Oi-1. The simulated magnitude of the ice steps (10m for EOT-1 and 63m for Oi-1) and the overall cooling at various locations show a good agreement with the data, which supports our results concerning this critical transition.</t>
  </si>
  <si>
    <t>[Ladant, Jean-Baptiste; Donnadieu, Yannick; Lefebvre, Vincent; Dumas, Christophe] UVSQ, CEA, CNRS, Lab Sci Climat &amp; Environm, Gif Sur Yvette, France</t>
  </si>
  <si>
    <t>CEA; Centre National de la Recherche Scientifique (CNRS); Universite Paris Saclay; Universite Paris Cite</t>
  </si>
  <si>
    <t>Ladant, JB (corresponding author), UVSQ, CEA, CNRS, Lab Sci Climat &amp; Environm, Gif Sur Yvette, France.</t>
  </si>
  <si>
    <t>jean-baptiste.ladant@lsce.ipsl.fr</t>
  </si>
  <si>
    <t>Lefebvre, Vincent/F-4900-2013; donnadieu, yannick/G-7546-2016</t>
  </si>
  <si>
    <t>donnadieu, yannick/0000-0002-7315-2684</t>
  </si>
  <si>
    <t>CEA PhD grant CFR; ANR COLORS project</t>
  </si>
  <si>
    <t>CEA PhD grant CFR; ANR COLORS project(Agence Nationale de la Recherche (ANR))</t>
  </si>
  <si>
    <t>We are very grateful to Heiko Palike for his editorial handling and to two anonymous reviewers for their very constructive comments that greatly enhanced the quality of this manuscript. We thank Gilles Ramstein and Pierre Sepulchre for insightful discussions and Helen Coxall and Aimee Pusz for providing some of their data. We thank the CEA/CCRT for providing access to the HPC resources of TGCC under the allocation 2014-012212 made by GENCI. This research was funded by CEA PhD grant CFR and ANR COLORS project.</t>
  </si>
  <si>
    <t>10.1002/2013PA002593</t>
  </si>
  <si>
    <t>AQ0YA</t>
  </si>
  <si>
    <t>WOS:000342507400004</t>
  </si>
  <si>
    <t>Colesie, C; Green, TGA; Türk, R; Hogg, ID; Sancho, LG; Büdel, B</t>
  </si>
  <si>
    <t>Colesie, C.; Green, T. G. A.; Tuerk, R.; Hogg, I. D.; Sancho, L. G.; Buedel, B.</t>
  </si>
  <si>
    <t>Terrestrial biodiversity along the Ross Sea coastline, Antarctica: lack of a latitudinal gradient and potential limits of bioclimatic modeling</t>
  </si>
  <si>
    <t>Lichens; Biogeography; Microclimate; Diamond Hill; Bioclimatic envelope; Antarctic biodiversity</t>
  </si>
  <si>
    <t>SOUTHERN VICTORIA LAND; LICHEN GROWTH-RATES; LAKE WELLMAN AREA; TAYLOR VALLEY; COMMUNITY STRUCTURE; DARWIN MOUNTAINS; CLIMATE-CHANGE; DRY VALLEYS; DIVERSITY; ECOSYSTEM</t>
  </si>
  <si>
    <t>Antarctica has several apparent advantages for the study of biodiversity change along latitudinal gradients including a relatively pristine environment and simple community structures. Published analyses for lichens and mosses show no apparent gradient in biodiversity along the western Ross Sea coast line, the longest ice-free area in Antarctica spanning 14A degrees latitude. One suggestion is that the area remains poorly surveyed. Here, we combine available species lists from four sites along the coast with new own data from two additional sites [Taylor Valley (77A degrees 30'S) and Diamond Hill (79A degrees S)]. We show a decline in total terrestrial biodiversity with latitude from Cape Hallett (72A degrees S) to Diamond Hill. However, the southernmost site, the Queen Maud Mountains (84A degrees S), is exceptional with almost the same diversity as Cape Hallett. A categorization of lichens according to their proposed ecology shows the proportion of tolerant species remains relatively constant. However, the absolute number of conformant species declines with latitude, again with a minimum at Diamond Hill. Similarity indices are low and not very different between sites with Diamond Hill being the exception with very few species. We suggest that terrestrial biodiversity best reflects microhabitat water availability rather than macroclimatic temperature changes and use climate data from Taylor Valley and Diamond Hill to support this suggestion. We propose that the importance of microhabitats and landscape location is one of several possible limitations to the application of bioclimatic modeling along the Ross sea coastline. In the absence of a definitive link between macroclimate and the biota, predicting the effects of climate changes will be more challenging.</t>
  </si>
  <si>
    <t>[Colesie, C.; Buedel, B.] Univ Kaiserslautern, Dept Plant Ecol &amp; Systemat, D-67635 Kaiserslautern, Germany; [Green, T. G. A.; Hogg, I. D.] Univ Waikato, Dept Biol Sci, Hamilton, New Zealand; [Green, T. G. A.; Sancho, L. G.] Univ Complutense, Dept Biol Vegetal 2, Farm Fac, E-28040 Madrid, Spain; [Tuerk, R.] Salzburg Univ, Fachbereich Organism Biol, A-5020 Salzburg, Austria</t>
  </si>
  <si>
    <t>University of Kaiserslautern; University of Waikato; Complutense University of Madrid; Salzburg University</t>
  </si>
  <si>
    <t>Colesie, C (corresponding author), Univ Kaiserslautern, Dept Plant Ecol &amp; Systemat, Erwin Schrodinger Str 13-213, D-67635 Kaiserslautern, Germany.</t>
  </si>
  <si>
    <t>claudia.colesie@biologie.uni-kl.de</t>
  </si>
  <si>
    <t>Colesie, Claudia/H-4258-2015; Hogg, Ian D./HNS-7393-2023; SANCHO, LEOPOLDO/G-9120-2015</t>
  </si>
  <si>
    <t>Colesie, Claudia/0000-0003-1136-0290; Hogg, Ian D./0000-0002-6685-0089; SANCHO, LEOPOLDO/0000-0002-4751-7475</t>
  </si>
  <si>
    <t>University of Waikato Vice Chancellor's Fund; Department of Biological Sciences, University of Waikato; New Zealand MBIE; TGAG by the Spanish Education Ministry [POL2006-08405, CTM2009-12838-C04-01]; DFG [Schwerpunktprogramm 1158 (BU 666/11-1)]</t>
  </si>
  <si>
    <t>University of Waikato Vice Chancellor's Fund; Department of Biological Sciences, University of Waikato; New Zealand MBIE(New Zealand Ministry of Business, Innovation and Employment (MBIE)); TGAG by the Spanish Education Ministry; DFG(German Research Foundation (DFG))</t>
  </si>
  <si>
    <t>We are grateful to Antarctica New Zealand (AntNZ) for logistical support over several years as part of the LGP coordinated by Shulamit Gordon. Logistics support was also provided by the Australian Antarctic Programme, the Spanish National Antarctic Program and the US Coastguard Reserve. The University of Waikato Vice Chancellor's Fund and the Department of Biological Sciences, University of Waikato provided financial assistance with field costs. The research was supported by the New Zealand MBIE grant, Understanding, valuing and protecting Antarctica's unique terrestrial ecosystems: predicting biocomplexity in Dry Valley ecosystems, and TGAG by the Spanish Education Ministry Grants Nos. POL2006-08405 and CTM2009-12838-C04-01. BB and CC acknowledge the DFG Schwerpunktprogramm 1158 (BU 666/11-1). Thanks to O. Breuss for the identification of Verrucaria species, to U. Ruprecht, and to H. Reichenberger for field support. We thank Dr. A. Fountain for making available the microclimate data from Lake Fryxell (Lake Fryxell Meteorological Station Measurements, knb-lter-mcm. 7010.7). Special thanks to Dr. R. Wirth for support with the statistical analyses and to two anonymous reviewers for their helpful and constructive comments on the manuscript.</t>
  </si>
  <si>
    <t>10.1007/s00300-014-1513-y</t>
  </si>
  <si>
    <t>WOS:000341378000012</t>
  </si>
  <si>
    <t>Kanna, N; Toyota, T; Nishioka, J</t>
  </si>
  <si>
    <t>Kanna, Naoya; Toyota, Takenobu; Nishioka, Jun</t>
  </si>
  <si>
    <t>Iron and macro-nutrient concentrations in sea ice and their impact on the nutritional status of surface waters in the southern Okhotsk Sea</t>
  </si>
  <si>
    <t>PROGRESS IN OCEANOGRAPHY</t>
  </si>
  <si>
    <t>NORTHERN BALTIC SEA; INTERMEDIATE WATER; ANTARCTIC WATERS; ORGANIC-MATTER; PACIFIC-OCEAN; PHYTOPLANKTON; BLOOM; SNOW; ENRICHMENT; DEPOSITION</t>
  </si>
  <si>
    <t>To elucidate the roles of sea ice in biogeochemical cycles in the Sea of Okhotsk, the concentrations of macro-nutrients (NO3 + NO2, PO4, SiO2, and NH4) and trace elements (Fe, Al) were measured in samples of sea ice, overlying snow, and seawater. The oxygen isotope ratio (delta O-18) in the sea ice was used to distinguish between snow ice and seawater-origin ice. Except for NH4, the macro-nutrient concentrations were lower in sea ice than in surface water in the ice-covered area. A linear relationship between salinity and concentrations of NO3 + NO2, PO4, and SiO2 in the sea ice indicated that these macro-nutrients originated mainly from seawater. The Fe concentrations in sea ice were variable and several orders of magnitude higher than those in surface water in the ice-covered area. The Fe concentrations in the sea ice were positively correlated with Al concentrations, the suggestion being that the Fe contained in the sea ice originated mainly from lithogenic mineral particles. The annual Fe flux into the surface water from sea ice melting in the southern Sea of Okhotsk was estimated to be similar to 740 mu mol Fe m(-2) yr(-1). This flux is comparable to the reported annual atmospheric Fe flux (267-929 mu mol Fe m(-2) yr(-1)) in the western North Pacific. In spring, sea ice melting may slightly dilute macro-nutrient concentrations but increase Fe concentrations in surface water. These results suggest that sea ice may contribute to phytoplankton growth by release of Fe into the water column and have a large impact on biogeochemical cycles in the Sea of Okhotsk. Crown Copyright (C) 2014 Published by Elsevier Ltd. All rights reserved.</t>
  </si>
  <si>
    <t>[Kanna, Naoya] Hokkaido Univ, Grad Sch Environm Earth Sci, Sapporo, Hokkaido 060, Japan; [Toyota, Takenobu; Nishioka, Jun] Hokkaido Univ, Inst Low Temp Sci, Sapporo, Hokkaido 060, Japan</t>
  </si>
  <si>
    <t>Hokkaido University; Hokkaido University</t>
  </si>
  <si>
    <t>Kanna, N (corresponding author), Hokkaido Univ, Grad Sch Environm Earth Sci, Sapporo, Hokkaido 060, Japan.</t>
  </si>
  <si>
    <t>Kanna@pop.lowtem.hokudai.ac.jp</t>
  </si>
  <si>
    <t>Toyota, Takenobu/D-9101-2012; Nishioka, Jun/F-5314-2011</t>
  </si>
  <si>
    <t>Nishioka, Jun/0000-0003-1723-9344</t>
  </si>
  <si>
    <t>Japan Ministry of Education, Science, and Culture (KAKEN) [25121501, B22310001, S22221001]; Canon foundation; Grants-in-Aid for Scientific Research [24510001, 25257206] Funding Source: KAKEN</t>
  </si>
  <si>
    <t>Japan Ministry of Education, Science, and Culture (KAKEN); Canon foundation(Canon Foundation); Grants-in-Aid for Scientific Research(Ministry of Education, Culture, Sports, Science and Technology, Japan (MEXT)Japan Society for the Promotion of ScienceGrants-in-Aid for Scientific Research (KAKENHI))</t>
  </si>
  <si>
    <t>We thank the officers and crew of the AV Soya of the Japan Coast Guard for their support during the cruise. We are grateful to A. Murayama for assistance with the laboratory work. We also thank S. Matoba, K. Nakamura, and S. Aoki for enabling us to measure oxygen isotope ratios, and K. Ono for allowing us to measure the salinity of our samples. This work was supported by Grants-in-aid for scientific research on innovation Areas 25121501, B22310001 and S22221001 from the Japan Ministry of Education, Science, and Culture (KAKEN) and by the Canon foundation.</t>
  </si>
  <si>
    <t>0079-6611</t>
  </si>
  <si>
    <t>PROG OCEANOGR</t>
  </si>
  <si>
    <t>Prog. Oceanogr.</t>
  </si>
  <si>
    <t>10.1016/j.pocean.2014.04.012</t>
  </si>
  <si>
    <t>AN8JV</t>
  </si>
  <si>
    <t>WOS:000340851400005</t>
  </si>
  <si>
    <t>Cerda, C; Barkmann, J; Marggraf, R</t>
  </si>
  <si>
    <t>Cerda, Claudia; Barkmann, Jan; Marggraf, Rainer</t>
  </si>
  <si>
    <t>Non-market economic valuation of the benefits provided by temperate ecosystems at the extreme south of the Americas</t>
  </si>
  <si>
    <t>REGIONAL ENVIRONMENTAL CHANGE</t>
  </si>
  <si>
    <t>Choice experiment; Willingness to accept; Biological diversity; Navarino Island; Chile</t>
  </si>
  <si>
    <t>EXISTENCE VALUE; BIODIVERSITY CONSERVATION; ENVIRONMENTAL VALUATION; CONTINGENT VALUATION; CHOICE EXPERIMENTS; SERVICES; FRAMEWORK; DESIGN</t>
  </si>
  <si>
    <t>The island of Navarino, Chile, located at the extreme southern end of the Americas, is one of the few regions in the world with undivided and only slightly transformed temperate forests. Currently, fundamental issues are being addressed, such as how local fuel wood demands will be met without destroying primary forests and how a sustainable tourism industry may be developed. This study aims to inform these planning processes by providing data on the economic valuation of several non-market benefits provided by the temperate ecosystems of Navarino Island that have relevance to the local population. We focus this valuation on landscape esthetics, nature access restrictions, esthetic and ethno-symbolic benefits at the species level and the existence value of non-vascular endemic species. A choice experiment was applied to a sample of local residents (n = 230). Decisions about future development strategies were influenced by landscape esthetics being threatened by progressing levels of tourist infrastructure, nature access restrictions in favor of both economic and conservationist concerns, continued visits of an ethno-culturally important hummingbird, the protection of a moss endemic to the sub-Antarctic forests and species diversity. From a non-market valuation perspective, local residents favor a low-impact tourism development scenario. Little is known about the monetary value of Chile's temperate forests. Knowledge of the economic value of Navarino's temperate forests facilitates the understanding of local natural resource management at the microlevel and assists in formulating conservation policies at the regional and national levels.</t>
  </si>
  <si>
    <t>[Cerda, Claudia] Univ Chile, Dept Forest Resource Management, Fac Forestry Sci &amp; Conservat Nat, Santiago 11315, Chile; [Barkmann, Jan; Marggraf, Rainer] Univ Gottingen, Inst Agr Econ, Dept Environm &amp; Resource Econ, D-37073 Gottingen, Germany</t>
  </si>
  <si>
    <t>Universidad de Chile; University of Gottingen</t>
  </si>
  <si>
    <t>Cerda, C (corresponding author), Univ Chile, Dept Forest Resource Management, Fac Forestry Sci &amp; Conservat Nat, Santiago 11315, Chile.</t>
  </si>
  <si>
    <t>claudcerda@gmail.com; jbarkma@gwdg.de; rmarggr@gwdg.de</t>
  </si>
  <si>
    <t>Barkmann, Jan/B-7928-2014; Cerda, Claudia/D-5315-2014</t>
  </si>
  <si>
    <t>Cerda, Claudia/0000-0001-9478-9978</t>
  </si>
  <si>
    <t>BMBF (German Federal Ministry of Education and Research), FKZ [01LM0208]</t>
  </si>
  <si>
    <t>BMBF (German Federal Ministry of Education and Research), FKZ</t>
  </si>
  <si>
    <t>Financial support was provided by BMBF (German Federal Ministry of Education and Research), FKZ 01LM0208.</t>
  </si>
  <si>
    <t>1436-3798</t>
  </si>
  <si>
    <t>1436-378X</t>
  </si>
  <si>
    <t>REG ENVIRON CHANGE</t>
  </si>
  <si>
    <t>Reg. Envir. Chang.</t>
  </si>
  <si>
    <t>10.1007/s10113-014-0591-2</t>
  </si>
  <si>
    <t>Environmental Sciences; Environmental Studies</t>
  </si>
  <si>
    <t>AM3EX</t>
  </si>
  <si>
    <t>WOS:000339736700019</t>
  </si>
  <si>
    <t>Bomfleur, B; Schöner, R; Schneider, JW; Viereck, L; Kerp, H; McKellar, JL</t>
  </si>
  <si>
    <t>Bomfleur, Benjamin; Schoener, Robert; Schneider, Joerg W.; Viereck, Lothar; Kerp, Hans; McKellar, John L.</t>
  </si>
  <si>
    <t>From the Transantarctic Basin to the Ferrar Large Igneous Province-New palynostratigraphic age constraints for Triassic-Jurassic sedimentation and magmatism in East Antarctica</t>
  </si>
  <si>
    <t>REVIEW OF PALAEOBOTANY AND PALYNOLOGY</t>
  </si>
  <si>
    <t>Beacon Supergroup; Ferrar Province; Classopollis; Alisporites; Palynostratigraphy; Transantarctic Mountains</t>
  </si>
  <si>
    <t>SOUTH VICTORIA LAND; FLOOD-BASALT VOLCANISM; COOMBS-HILLS; BREAK-UP; CARAPACE-NUNATAK; VENT COMPLEX; MOUNTAINS; STRATIGRAPHY; ASSEMBLAGES; PENINSULA</t>
  </si>
  <si>
    <t>We present new palynological data from the Transantarctic Mountains that clarify the timing of sedimentary and magmatic processes in the transition from continental deposition of the Beacon Supergroup to emplacement of the Ferrar Large Igneous Province. Samples were collected from twenty-three Triassic and Jurassic sections in the southern area of north Victoria Land (NVL), East Antarctica. Recovered palynomorph assemblages are correlated with the widely used, although informal palynostratigraphic framework established for eastern Australia by Price. The associated Late Triassic-earliest Jurassic zone, APT5, is modified here with a proposed new subdivision: Lower APT5 (APT5L; middle-late Norian), Middle APT5 (APT5M; Rhaetian), and Upper APT5 (APT5U; Hettangian-earliest Sinemurian). We further propose a modification unifying the relevant formal eastern Australian and New Zealand palynostratigraphic zones, with a new Polycingulatisporites crenulatus Association Zone (new zonal status) that includes the P. crenulatus Association Subzone ( new subzone; equivalent to APT5L) and the following Foveosporites moretonensis Association Subzone (new subzonal status; equivalent to APT5M). Our palynostratigraphic dating of the NVL assemblages demonstrates that the onset of sedimentation was diachronous in this part of the Transantarctic Basin, ranging from at least the Rhaetian to, in places, early Sinemurian. By lack of evidence for rocks containing APT5U assemblages and by analogy with the few coeval sections in Australia, we infer that the Hettangian interval in NVL is probably consumed by unconformity. Deposition of ashes from distal silicic volcanism commenced in the early Sinemurian and reached a peak phase beginning in middle Pliensbachian (ca 187 Ma), coinciding with the first major magmatic interval of the silicic Chon Aike Province in Patagonia and West Antarctica. Two major episodes of phreatomagmatic activity, driven by shallow-level sill intrusion into sandstone aquifers, occurred during the middle Pliensbachian and during the late Pliensbachian-early Toarcian. The latter episode was closely followed by the first pillow extrusion and local lava effusion. Contrary to some previous studies, we further conclude that all available palynological evidence is compatible with a short-lived emplacement of the plateau-forming Kirkpatrick Basalt at around 180 Ma during the early Toarcian. (C) 2014 Elsevier B.V. All rights reserved.</t>
  </si>
  <si>
    <t>[Bomfleur, Benjamin; Kerp, Hans] Univ Munster, Inst Geol &amp; Palaontol, Forsch Stelle Palaobot, D-48149 Munster, Germany; [Schoener, Robert] Univ Erlangen Nurnberg, GeoZentrum Nordbayern, D-91054 Erlangen, Germany; [Schneider, Joerg W.] TU Bergakad Freiberg, Inst Geol, D-09596 Freiberg, Germany; [Schneider, Joerg W.] Kazan Fed Univ, Kazan 420008, Russia; [Viereck, Lothar] Univ Jena, Inst Geowissensch, D-07749 Jena, Germany; [McKellar, John L.] Geol Survey Queensland, Dept Nat Resources &amp; Mines, Brisbane, Qld 4002, Australia</t>
  </si>
  <si>
    <t>University of Munster; University of Erlangen Nuremberg; Technical University Freiberg; Kazan Federal University; Friedrich Schiller University of Jena</t>
  </si>
  <si>
    <t>Bomfleur, B (corresponding author), Swedish Museum Nat Hist, Dept Palaeobiol, Box 50007, SE-10405 Stockholm, Sweden.</t>
  </si>
  <si>
    <t>benjamin.bomfleur@nrm.se</t>
  </si>
  <si>
    <t>Kerp, Hans/AAJ-1102-2020</t>
  </si>
  <si>
    <t>Schoner, Robert/0000-0001-6125-1389; Bomfleur, Benjamin/0000-0002-2186-4970</t>
  </si>
  <si>
    <t>Deutsche Forschungsgemeinschaft [DFG] [KE584/12-1, KE584/16-1, KE584/16-2, GA457/11-1, GA457/13-2, GA457/13-3, SCHN408/11-1, SCHN408/13-2, SCHN408/13-3, VI215/6-1, VI215/6-2, VI215/6-3, 1158]</t>
  </si>
  <si>
    <t>Deutsche Forschungsgemeinschaft [DFG](German Research Foundation (DFG))</t>
  </si>
  <si>
    <t>We thank the Bundesanstalt fur Geowissenschaften und Rohstoffe (BGR, Hannover), for the invitation to join the GANOVEX IX expedition, and for generous logistical support and a great time in the field. Technical support during field work by the Alfred-Wegener-Institut fur Meeres- und Polarforschung (AWI), Bremerhaven, is gratefully acknowledged. We wish to thank D.H. Elliot (Columbus, OH) for providing palynological samples from Kirkpatrick Basalt interbeds collected during the 1981/1982 US-New Zealand-Australia Joint International Expedition; Noel J. de Jersey (retired, previously of the Geological Survey of Queensland) for very helpful discussion on the subdivision and dating of the south-eastern Queensland and New Zealand Late Triassic-Early Jurassic palynostratigraphic successions; Geoff Wood of Santos Ltd (Adelaide) for help with the identification of cf. Concavissimisporites-Impardecispora sp.; Nigel Ellis and Christine Klimek (Lune River, Tasmania) for an enjoyable field excursion to the Lune River site and for access to their superb collection of plant fossils from the area; Cindy Looy (Berkeley, CA) for assistance in obtaining literature; and an anonymous reviewer for a detailed and critical evaluation of an earlier version of this manuscript. Financial support has been provided by the Deutsche Forschungsgemeinschaft [DFG grants KE584/12-1, 16-1, and 16-2; GA457/11-1, 13-2, and 13-3; SCHN408/11-1, 13-2, and 13-3; VI215/6-1, 6-2, and 6-3; all in Priority Programme 1158: Antarctic Research with comparative investigations in Arctic ice areas (http://www.spp-antarktisforschung.de/)].</t>
  </si>
  <si>
    <t>0034-6667</t>
  </si>
  <si>
    <t>1879-0615</t>
  </si>
  <si>
    <t>REV PALAEOBOT PALYNO</t>
  </si>
  <si>
    <t>Rev. Palaeobot. Palynology</t>
  </si>
  <si>
    <t>10.1016/j.revpalbo.2014.04.002</t>
  </si>
  <si>
    <t>Plant Sciences; Paleontology</t>
  </si>
  <si>
    <t>AJ7MC</t>
  </si>
  <si>
    <t>WOS:000337879800003</t>
  </si>
  <si>
    <t>Elberling, B; Greenfield, LG; Gregorich, EG; Hopkins, DW; Novis, P; Sparrow, AD</t>
  </si>
  <si>
    <t>Elberling, B.; Greenfield, L. G.; Gregorich, E. G.; Hopkins, D. W.; Novis, P.; Sparrow, A. D.</t>
  </si>
  <si>
    <t>Comments on Abiotic processes dominate CO2 fluxes in Antarctic soils by Shanhun et al. Soil Biology &amp; Biochemistry 53, 99-111 (2012)</t>
  </si>
  <si>
    <t>SOIL BIOLOGY &amp; BIOCHEMISTRY</t>
  </si>
  <si>
    <t>DRY VALLEY SOIL; CARBON; SUPPLEMENTATION; RESPONSES</t>
  </si>
  <si>
    <t>[Elberling, B.] Univ Copenhagen, DK-1168 Copenhagen, Denmark; [Greenfield, L. G.] Univ Canterbury, Christchurch 1, New Zealand; [Gregorich, E. G.] Agr &amp; Agri Food Canada, Ottawa, ON, Canada; [Hopkins, D. W.] Heriot Watt Univ, Edinburgh, Midlothian, Scotland; [Novis, P.] Landcare Res, Lincoln, New Zealand; [Sparrow, A. D.] CSIRO, Alice Springs, NT, Australia</t>
  </si>
  <si>
    <t>University of Copenhagen; University of Canterbury; Agriculture &amp; Agri Food Canada; Heriot Watt University; Landcare Research - New Zealand; Commonwealth Scientific &amp; Industrial Research Organisation (CSIRO)</t>
  </si>
  <si>
    <t>Gregorich, EG (corresponding author), Agr &amp; Agri Food Canada, Ottawa, ON, Canada.</t>
  </si>
  <si>
    <t>Ed.Gregorich@agr.gc.ca</t>
  </si>
  <si>
    <t>Sparrow, Ashley/D-7872-2011; Gregorich, Edward G./J-9785-2012; Sparrow, Ashley/AAD-7709-2020; Elberling, Bo/M-4000-2014</t>
  </si>
  <si>
    <t>Sparrow, Ashley/0000-0003-0388-8255; Novis, Phil/0000-0002-8802-4984; Hopkins, David/0000-0003-0953-8643; Gregorich, Edward/0000-0003-3652-2946</t>
  </si>
  <si>
    <t>0038-0717</t>
  </si>
  <si>
    <t>SOIL BIOL BIOCHEM</t>
  </si>
  <si>
    <t>Soil Biol. Biochem.</t>
  </si>
  <si>
    <t>10.1016/j.soilbio.2013.10.046</t>
  </si>
  <si>
    <t>AK7PG</t>
  </si>
  <si>
    <t>WOS:000338619600034</t>
  </si>
  <si>
    <t>Shanhun, FL; Almond, PC; Clough, TJ</t>
  </si>
  <si>
    <t>Shanhun, Fiona L.; Almond, Peter C.; Clough, Tim J.</t>
  </si>
  <si>
    <t>Reply to Elberling et al.'s (2013) comments on Abiotic processes dominate CO2 fluxes in Antarctic soils (Soil Biol. Biochem. 53, 99-111)</t>
  </si>
  <si>
    <t>VALLEY</t>
  </si>
  <si>
    <t>[Shanhun, Fiona L.; Almond, Peter C.; Clough, Tim J.] Lincoln Univ, Dept Soil &amp; Phys Sci, Lincoln 7647, New Zealand</t>
  </si>
  <si>
    <t>Lincoln University - New Zealand</t>
  </si>
  <si>
    <t>Shanhun, FL (corresponding author), Lincoln Univ, Dept Soil &amp; Phys Sci, POB 85084, Lincoln 7647, New Zealand.</t>
  </si>
  <si>
    <t>fiona.shanhun@lincoln.ac.nz; peter.almond@lincoln.ac.nz; timothy.clough@lincoln.ac.nz</t>
  </si>
  <si>
    <t>Clough, Tim/Q-4982-2018</t>
  </si>
  <si>
    <t>Clough, Tim/0000-0002-5978-5274</t>
  </si>
  <si>
    <t>10.1016/j.soilbio.2013.10.039</t>
  </si>
  <si>
    <t>WOS:000338619600035</t>
  </si>
  <si>
    <t>Jackman, CM; Arridge, CS; André, N; Bagenal, F; Birn, J; Freeman, MP; Jia, X; Kidder, A; Milan, SE; Radioti, A; Slavin, JA; Vogt, MF; Volwerk, M; Walsh, AP</t>
  </si>
  <si>
    <t>Jackman, C. M.; Arridge, C. S.; Andre, N.; Bagenal, F.; Birn, J.; Freeman, M. P.; Jia, X.; Kidder, A.; Milan, S. E.; Radioti, A.; Slavin, J. A.; Vogt, M. F.; Volwerk, M.; Walsh, A. P.</t>
  </si>
  <si>
    <t>Large-Scale Structure and Dynamics of the Magnetotails of Mercury, Earth, Jupiter and Saturn</t>
  </si>
  <si>
    <t>SPACE SCIENCE REVIEWS</t>
  </si>
  <si>
    <t>Magnetotail; Mercury; Earth; Jupiter; Saturn; Magnetosphere</t>
  </si>
  <si>
    <t>INTERPLANETARY MAGNETIC-FIELD; PLASMA SHEET BOUNDARY; THIN CURRENT SHEETS; SOLAR-WIND CONTROL; TRANSPOLAR POTENTIAL SATURATION; ENERGETIC PARTICLE MEASUREMENTS; TRAVELING COMPRESSION REGIONS; AURORAL KILOMETRIC RADIATION; BURSTY BULK FLOWS; HIGH-SPEED FLOWS</t>
  </si>
  <si>
    <t>Spacecraft observations have established that all known planets with an internal magnetic field, as part of their interaction with the solar wind, possess well-developed magnetic tails, stretching vast distances on the nightside of the planets. In this review paper we focus on the magnetotails of Mercury, Earth, Jupiter and Saturn, four planets which possess well-developed tails and which have been visited by several spacecraft over the years. The fundamental physical processes of reconnection, convection, and charged particle acceleration are common to the magnetic tails of Mercury, Earth, Jupiter and Saturn. The great differences in solar wind conditions, planetary rotation rates, internal plasma sources, ionospheric properties, and physical dimensions from Mercury's small magnetosphere to the giant magnetospheres of Jupiter and Saturn provide an outstanding opportunity to extend our understanding of the influence of such factors on basic processes. In this review article, we study the four planetary environments of Mercury, Earth, Jupiter and Saturn, comparing their common features and contrasting their unique dynamics.</t>
  </si>
  <si>
    <t>[Jackman, C. M.] UCL, Dept Phys &amp; Astron, London WC1E 6BT, England; [Jackman, C. M.; Arridge, C. S.] UCL Birkbeck, Ctr Planetary Sci, London WC1E 6BT, England; [Jackman, C. M.] Univ Southampton, Dept Phys &amp; Astron, Southampton SO17 1BJ, Hants, England; [Arridge, C. S.] Univ Coll London, Mullard Space Sci Lab, Holmbury RH5 6NT, Surrey, England; [Andre, N.] Univ Toulouse 3, Inst Rech Astrophys &amp; Planetol, F-31062 Toulouse, France; [Andre, N.] CNRS, Inst Rech Astrophys &amp; Planetol, Toulouse, France; [Bagenal, F.] Univ Colorado, Atmospher &amp; Space Phys Lab, Boulder, CO 80309 USA; [Birn, J.] Space Sci Inst, Boulder, CO USA; [Birn, J.] Los Alamos Natl Lab, Los Alamos, NM USA; [Freeman, M. P.] British Antarctic Survey, Cambridge CB3 0ET, England; [Jia, X.; Slavin, J. A.] Univ Michigan, Dept Atmospher Ocean &amp; Space Sci, Ann Arbor, MI 48109 USA; [Kidder, A.] Univ Washington, Dept Earth &amp; Space Sci, Seattle, WA 98195 USA; [Milan, S. E.; Vogt, M. F.] Univ Leicester, Dept Phys &amp; Astron, Leicester LE1 7RH, Leics, England; [Radioti, A.] Univ Liege, Inst Astrophys &amp; Geophys, Lab Phys Atmospher &amp; Planetaire, Liege, Belgium; [Vogt, M. F.] Boston Univ, Ctr Space Phys, Boston, MA 02215 USA; [Volwerk, M.] Austrian Acad Sci, Space Res Inst, A-8010 Graz, Austria; [Walsh, A. P.] ESA, Estec, NL-2201 AZ Noordwiik ZH, Netherlands</t>
  </si>
  <si>
    <t>University of London; University College London; University of London; Birkbeck University London; University College London; University of Southampton; University of Cambridge; University of London; University College London; Universite de Toulouse; Universite Toulouse III - Paul Sabatier; Universite de Toulouse; Universite Toulouse III - Paul Sabatier; Centre National de la Recherche Scientifique (CNRS); University of Colorado System; University of Colorado Boulder; United States Department of Energy (DOE); Los Alamos National Laboratory; UK Research &amp; Innovation (UKRI); Natural Environment Research Council (NERC); NERC British Antarctic Survey; University of Michigan System; University of Michigan; University of Washington; University of Washington Seattle; University of Leicester; University of Liege; Boston University; Austrian Academy of Sciences; European Space Agency</t>
  </si>
  <si>
    <t>Jackman, CM (corresponding author), UCL, Dept Phys &amp; Astron, Gower Pl, London WC1E 6BT, England.</t>
  </si>
  <si>
    <t>c.jackman@soton.ac.uk</t>
  </si>
  <si>
    <t>Slavin, James A/H-3170-2012; Walsh, Andrew/N-8749-2019; Arridge, Christopher/A-2894-2009; Freeman, Mervyn/E-5687-2019; Vogt, Marissa/C-6237-2014; Jia, Xianzhe/C-5171-2012</t>
  </si>
  <si>
    <t>Slavin, James A/0000-0002-9206-724X; Walsh, Andrew/0000-0002-1682-1212; Jackman, Caitriona/0000-0003-0635-7361; Arridge, Christopher/0000-0002-0431-6526; Freeman, Mervyn/0000-0002-8653-8279; Milan, Steve/0000-0001-5050-9604; Vogt, Marissa/0000-0003-4885-8615; Jia, Xianzhe/0000-0002-8685-1484</t>
  </si>
  <si>
    <t>International Space Science Institute; Leverhulme Trust; Royal Astronomical Society Fellowship (subsequently at University of Southampton); Royal Society; STFC Postdoctoral fellowship; MESSENGER project - NASA [NASW-00002, NAS5-97271]; NASA [NNX07AJ80G, NNG08EJ63I, NNH11AQ42I, NNH10A045I]; Belgian Fund for Scientific Research (FNRS); NASA Cassini Data Analysis Program [NNX12AK34G]; NASA Cassini mission [1409449]; Polar Science for Planet Earth Programme at the British Antarctic Survey; Science and Technology Facilities Council (STFC) [ST/K001000/1]; NSF [1203711]; US Department of Energy; NERC [bas0100023] Funding Source: UKRI; STFC [ST/K000977/1, ST/L004399/1, ST/K001000/1] Funding Source: UKRI; Natural Environment Research Council [bas0100023] Funding Source: researchfish; Science and Technology Facilities Council [ST/L004399/1, ST/K001000/1, ST/K000977/1] Funding Source: researchfish; Div Atmospheric &amp; Geospace Sciences; Directorate For Geosciences [1203711] Funding Source: National Science Foundation</t>
  </si>
  <si>
    <t>International Space Science Institute; Leverhulme Trust(Leverhulme Trust); Royal Astronomical Society Fellowship (subsequently at University of Southampton); Royal Society(Royal Society); STFC Postdoctoral fellowship(UK Research &amp; Innovation (UKRI)Science &amp; Technology Facilities Council (STFC)); MESSENGER project - NASA; NASA(National Aeronautics &amp; Space Administration (NASA)); Belgian Fund for Scientific Research (FNRS)(Fonds de la Recherche Scientifique - FNRS); NASA Cassini Data Analysis Program(National Aeronautics &amp; Space Administration (NASA)); NASA Cassini mission; Polar Science for Planet Earth Programme at the British Antarctic Survey; Science and Technology Facilities Council (STFC)(UK Research &amp; Innovation (UKRI)Science &amp; Technology Facilities Council (STFC)Science and Technology Development Fund (STDF)); NSF(National Science Foundation (NSF)); US Department of Energy(United States Department of Energy (DOE));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Div Atmospheric &amp; Geospace Sciences; Directorate For Geosciences(National Science Foundation (NSF)NSF - Directorate for Geosciences (GEO))</t>
  </si>
  <si>
    <t>We acknowledge the generous support of the International Space Science Institute. All authors are members of ISSI team number 195, Investigating the Dynamics of Planetary Magnetotails. CMJ's work at UCL was funded through a Leverhulme Trust Early Career Fellowship and a Royal Astronomical Society Fellowship (subsequently at University of Southampton). CMJ acknowledges useful discussion with Edward Smith. CSA was funded through a Royal Society University Research Fellowship and an STFC Postdoctoral fellowship. JAS is funded by the MESSENGER project which is supported by the NASA Discovery Program under contracts NASW-00002 to the Carnegie Institution of Washington and NAS5-97271 to The Johns Hopkins University Applied Physics Laboratory. AK is supported by NASA grant NNX07AJ80G to the University of Washington. AR is funded by the Belgian Fund for Scientific Research (FNRS). XJ is supported by the NASA Cassini Data Analysis Program through grant NNX12AK34G and by the NASA Cassini mission under contract 1409449 with JPL. MPF was supported by the Polar Science for Planet Earth Programme at the British Antarctic Survey. MFV's work at the University of Leicester was supported by the Science and Technology Facilities Council (STFC) Consolidated grant ST/K001000/1. JB acknowledges support through NASA grants NNG08EJ63I, NNH11AQ42I, NNH10A045I, and NSF grant 1203711. Most of JB's work was performed under the auspices of the US Department of Energy, while JB was a Staff Member at Los Alamos. CMJ would like to acknowledge the comments of two reviewers who helped to improve the manuscript.</t>
  </si>
  <si>
    <t>0038-6308</t>
  </si>
  <si>
    <t>1572-9672</t>
  </si>
  <si>
    <t>SPACE SCI REV</t>
  </si>
  <si>
    <t>Space Sci. Rev.</t>
  </si>
  <si>
    <t>1-4</t>
  </si>
  <si>
    <t>10.1007/s11214-014-0060-8</t>
  </si>
  <si>
    <t>AM5JT</t>
  </si>
  <si>
    <t>WOS:000339894600003</t>
  </si>
  <si>
    <t>Everatt, MJ; Convey, P; Worland, MR; Bale, JS; Hayward, SAL</t>
  </si>
  <si>
    <t>Everatt, M. J.; Convey, P.; Worland, M. R.; Bale, J. S.; Hayward, S. A. L.</t>
  </si>
  <si>
    <t>Are the Antarctic dipteran, Eretmoptera murphyi, and Arctic collembolan, Megaphorura arctica, vulnerable to rising temperatures?</t>
  </si>
  <si>
    <t>BULLETIN OF ENTOMOLOGICAL RESEARCH</t>
  </si>
  <si>
    <t>rapid heat hardening; acclimation; thermal sensitivity; recovery; Diptera; Collembola</t>
  </si>
  <si>
    <t>COLD SHOCK INJURY; CRYPTOPYGUS-ANTARCTICUS; CLIMATE-CHANGE; THERMAL TOLERANCES; DESICCATION; PHYSIOLOGY; RESPONSES; MIDGE; MITE; MICROARTHROPODS</t>
  </si>
  <si>
    <t>Polar terrestrial invertebrates are suggested as being vulnerable to temperature change relative to lower latitude species, and hence possibly also to climate warming. Previous studies have shown Antarctic and Arctic Collembola and Acari to possess good heat tolerance and survive temperature exposures above 30 degrees C. To test this feature further, the heat tolerance and physiological plasticity of heat stress were explored in the Arctic collembolan, Megaphorura arctica, from Svalbard and the Antarctic midge, Eretmoptera murphyi, from Signy Island. The data obtained demonstrate considerable heat tolerance in both species, with upper lethal temperatures &gt;= 35 degrees C (1h exposures), and tolerance of exposure to 10 and 15 degrees C exceeding 56 days. This tolerance is far beyond that required in their current environment. Average microhabitat temperatures in August 2011 ranged between 5.1 and 8.1 degrees C, and rarely rose above 10 degrees C, in Ny-angstrom lesund, Svalbard. Summer soil microhabitat temperatures on Signy Island have previously been shown to range between 0 and 10 degrees C. There was also evidence to suggest that E. murphyi can recover from high-temperature exposure and that M. arctica is capable of rapid heat hardening. M. arctica and E. murphyi therefore have the physiological capacity to tolerate current environmental conditions, as well as future warming. If the features they express are characteristically more general, such polar terrestrial invertebrates will likely fare well under climate warming scenarios.</t>
  </si>
  <si>
    <t>[Everatt, M. J.; Bale, J. S.; Hayward, S. A. L.] Univ Birmingham, Sch Biosci, Birmingham B15 2TT, W Midlands, England; [Convey, P.; Worland, M. R.] British Antarctic Survey, NERC, Cambridge CB3 0ET, England; [Convey, P.] Univ Malaya, Natl Antarctic Res Ctr, Kuala Lumpur 50603, Malaysia; [Convey, P.] Univ Canterbury, Gateway Antarctica, Christchurch 8140, New Zealand</t>
  </si>
  <si>
    <t>University of Birmingham; UK Research &amp; Innovation (UKRI); Natural Environment Research Council (NERC); NERC British Antarctic Survey; Universiti Malaya; University of Canterbury</t>
  </si>
  <si>
    <t>Everatt, MJ (corresponding author), Univ Birmingham, Sch Biosci, Birmingham B15 2TT, W Midlands, England.</t>
  </si>
  <si>
    <t>mxe746@bham.ac.uk</t>
  </si>
  <si>
    <t>Convey, Peter/AAV-5728-2020</t>
  </si>
  <si>
    <t>Convey, Peter/0000-0001-8497-9903; Hayward, Scott/0000-0002-1899-6630</t>
  </si>
  <si>
    <t>Natural Environment Research Council [RRBN15266]; British Antarctic Survey; University of Birmingham</t>
  </si>
  <si>
    <t>Natural Environment Research Council(UK Research &amp; Innovation (UKRI)Natural Environment Research Council (NERC)); British Antarctic Survey; University of Birmingham</t>
  </si>
  <si>
    <t>MJE was funded by the Natural Environment Research Council (RRBN15266) and was supported by the British Antarctic Survey and the University of Birmingham. This paper contributes to the BAS 'Polar Science for Planet Earth' and SCAR 'Evolution and Biodiversity in Antarctica' research programmes.</t>
  </si>
  <si>
    <t>0007-4853</t>
  </si>
  <si>
    <t>1475-2670</t>
  </si>
  <si>
    <t>B ENTOMOL RES</t>
  </si>
  <si>
    <t>Bull. Entomol. Res.</t>
  </si>
  <si>
    <t>10.1017/S0007485314000261</t>
  </si>
  <si>
    <t>Entomology</t>
  </si>
  <si>
    <t>AK0MA</t>
  </si>
  <si>
    <t>WOS:000338105900010</t>
  </si>
  <si>
    <t>Schlüter, L; Mohlenberg, F; Kaas, H</t>
  </si>
  <si>
    <t>Schluter, Louise; Mohlenberg, Flemming; Kaas, Hanne</t>
  </si>
  <si>
    <t>Temporal and spatial variability of phytoplankton monitored by a combination of monitoring buoys, pigment analysis and fast screening microscopy in the Fehmarn Belt Estuary</t>
  </si>
  <si>
    <t>ENVIRONMENTAL MONITORING AND ASSESSMENT</t>
  </si>
  <si>
    <t>Phytoplankton; Pigment analysis; Baseline monitoring; Monitoring buoys; Fehmarn Belt</t>
  </si>
  <si>
    <t>BALTIC SEA; DIEL MIGRATION; BLOOMS; CYANOBACTERIA; COMMUNITY; DYNAMICS; STRAINS; CHEMTAX; LIGHT; RIA</t>
  </si>
  <si>
    <t>For 2 years, a baseline investigation was carried out to collect reference information of the present environmental status in the Fehmarn Belt and adjacent area. The temporal and spatial variability of phytoplankton was monitored by a combination of monitoring buoys, pigment analysis and fast screening microscopy. The overall phytoplankton succession in the Fehmarn Belt area was found to be influenced primarily by the seasonal changes, where various diatoms dominated the spring and autumn blooms and flagellates like Chrysochromulina sp., Dictyocha speculum and various dinoflagellates were occasionally abundant in late spring and summer. The phytoplankton groups were remarkably uniform horizontally in the investigation area while large differences in both biomasses and composition of individual phytoplankton groups were seen vertically in the water column, especially in the summer periods, in which the two-layer exchange flow between the North Sea and the Baltic Sea is showing a particularly strong stratification in the Fehmarn Belt. The chlorophyll a concentrations ranged continuously from 1 to 3 mu g/L at the three permanent buoy stations during the 2 years of monitoring, except for the spring and autumn blooms where chlorophyll a increased up to 18 mu g/L in the spring of 2010 and up to 8 mu g/L in the autumn of 2009. Recurrent blooms of filamentous cyanobacteria are common during the summer period in the Baltic Sea and adjacent areas, but excessive blooms of cyanobacteria did not occur in 2009 and 2010 in the Fehmarn Belt area. The combination of the HPLC pigment analysis method and monitoring buoys continuously measuring fluorescence at selected stations with fast screening of samples in the microscope proved advantageous for obtaining information on both the phytoplankton succession and dynamic and, at the same time, getting information on duration and intensity of the blooms as well as specific information on the dominant species present both temporally and spatially in the large Fehmarn Belt area.</t>
  </si>
  <si>
    <t>[Schluter, Louise] Danish Hydraul Inst, Dept Environm &amp; Toxicol, DK-2970 Horsholm, Denmark; [Mohlenberg, Flemming; Kaas, Hanne] Danish Hydraul Inst, Dept Ecol &amp; Environm, DK-2970 Horsholm, Denmark</t>
  </si>
  <si>
    <t>Danish Hydraulic Institute (DHI); Danish Hydraulic Institute (DHI)</t>
  </si>
  <si>
    <t>Schlüter, L (corresponding author), Danish Hydraul Inst, Dept Environm &amp; Toxicol, Agern Alle 5, DK-2970 Horsholm, Denmark.</t>
  </si>
  <si>
    <t>lsc@dhigroup.com</t>
  </si>
  <si>
    <t>Femern A/S</t>
  </si>
  <si>
    <t>This work was carried out under contract to Femern A/S, and their consent to publish the results is gratefully acknowledged. We are grateful to Simon Wright, Australian Antarctic Division, CSIRO, for the CHEMTAX programver. 1.95. M. Allerup is thanked for skilful technical assistance.</t>
  </si>
  <si>
    <t>0167-6369</t>
  </si>
  <si>
    <t>1573-2959</t>
  </si>
  <si>
    <t>ENVIRON MONIT ASSESS</t>
  </si>
  <si>
    <t>Environ. Monit. Assess.</t>
  </si>
  <si>
    <t>10.1007/s10661-014-3767-9</t>
  </si>
  <si>
    <t>AK2UR</t>
  </si>
  <si>
    <t>WOS:000338275500041</t>
  </si>
  <si>
    <t>Belosi, F; Santachiara, G; Prodi, F</t>
  </si>
  <si>
    <t>Belosi, F.; Santachiara, G.; Prodi, F.</t>
  </si>
  <si>
    <t>Ice-forming nuclei in Antarctica: New and past measurements</t>
  </si>
  <si>
    <t>ATMOSPHERIC RESEARCH</t>
  </si>
  <si>
    <t>Ice nuclei; Homogeneous freezing; Heterogeneous freezing; Saturation vapour pressure</t>
  </si>
  <si>
    <t>SOUTH-POLE; CONDENSATION NUCLEI; NUCLEATION; TROPOSPHERE; AEROSOLS; STATION; CLOUDS; SNOW; SEA</t>
  </si>
  <si>
    <t>The paper provides a review of past and a few new measurements of Ice-forming Nuclei (IN) in Antarctica. The few available published data were mostly obtained adopting different devices and methods and for a limited period of time. Consequently, data are scattered and give an incomplete picture of the Antarctic situation. It should be pointed out, however, that ice nucleation is an intricate process, depending on many parameters (supersaturation relative to ice and water, aerosol physical-chemical properties, possible conditioning and preactivation of particles, different modes of nucleation). Therefore, the uncertainty does not concern the Antarctic continent alone, but all measurements performed world-wide. A comparison of the published data can be made between Saxena and Weintraub (1988) at Palmer Station, and Ardon-Dryer et al. (2011) at the South Pole, as both studies measured IN in the immersion mode, even if at different temperature. Saxena and Weintraub (1988) obtained in three filters IN concentrations of about 10(4) m(-3) at T = -6 degrees C, -11 degrees C and -13 degrees C, and 10(3) m(-3) at T = -17 degrees C, in an additional filter (February-December 1983). At the South Pole Ardon-Dryer et al. (2011) obtained a concentration of about 5 x 10(2) m(-3) at T = -19 degrees C, and the IN concentration increased until about 40 x 10(3) m(-3) at the activation temperature of -26 degrees C. Such values are higher than those measured by Bigg (1973) near Antarctica, using a thermal diffusion chamber (deposition or deposition-condensation modes). IN concentrations measured at Terra Nova Bay are lower than those reported above, and are comparable to values reported for the Scott Base, Byrd Station and cruises at latitude 60 degrees-70 degrees S. (C) 2014 Elsevier B.V. All rights reserved.</t>
  </si>
  <si>
    <t>[Belosi, F.; Santachiara, G.; Prodi, F.] CNR, ISAC, Inst Atmospher Sci &amp; Climate, I-40129 Bologna, Italy</t>
  </si>
  <si>
    <t>Belosi, F (corresponding author), CNR, ISAC, Inst Atmospher Sci &amp; Climate, Via Gobetti, I-40129 Bologna, Italy.</t>
  </si>
  <si>
    <t>F.Belosi@isac.cnr.it</t>
  </si>
  <si>
    <t>belosi, franco/C-7580-2015</t>
  </si>
  <si>
    <t>belosi, franco/0000-0003-0089-1299</t>
  </si>
  <si>
    <t>PNRA (Programma Nazionale di Ricerca in Antartide) [2009/A3/06]</t>
  </si>
  <si>
    <t>PNRA (Programma Nazionale di Ricerca in Antartide)</t>
  </si>
  <si>
    <t>This work was carried out with contribution of the PNRA (Programma Nazionale di Ricerca in Antartide) Grant Number 2009/A3/06 Ice mass balance and precipitation characterization in Antarctica. We are grateful to Meteo-Climatological Observatory of PNRA (ENEA, UTA) for the meteorological data at Mario Zucchelli Station.</t>
  </si>
  <si>
    <t>0169-8095</t>
  </si>
  <si>
    <t>1873-2895</t>
  </si>
  <si>
    <t>ATMOS RES</t>
  </si>
  <si>
    <t>Atmos. Res.</t>
  </si>
  <si>
    <t>AUG-SEP</t>
  </si>
  <si>
    <t>10.1016/j.atmosres.2014.03.030</t>
  </si>
  <si>
    <t>AJ8UK</t>
  </si>
  <si>
    <t>WOS:000337983100009</t>
  </si>
  <si>
    <t>Decembrini, F; Bergamasco, A; Mangoni, O</t>
  </si>
  <si>
    <t>Decembrini, Franco; Bergamasco, Alessandro; Mangoni, Olga</t>
  </si>
  <si>
    <t>Seasonal characteristics of size-fractionated phytoplankton community and fate of photosynthesized carbon in a sub-Antarctic area (Straits of Magellan)</t>
  </si>
  <si>
    <t>Phytoplankton biomass; Size-fractions; Primary production; Biogenic carbon fate; Straits of Magellan</t>
  </si>
  <si>
    <t>SOUTHERN-OCEAN; BIOMASS; CHLOROPHYLL; ECOSYSTEM; VARIABILITY; PLANKTON; PRODUCTIVITY; DYNAMICS; ENERGY; CHILE</t>
  </si>
  <si>
    <t>Phytoplankton community size drives the rates of biogenic carbon and the overall structure and dynamics of the marine pelagic food web. The Straits of Magellan, an inland passage between the Pacific and Atlantic Oceans, can be separated into three main sub-basins: the western-Pacific, the V-shaped central zone, and the eastern-Atlantic. To provide insights into the food structure of the phytoplankton community, size-fractionated chlorophyll a concentration and primary production rates were measured across the three sectors of the Magellan Straits in four periods between 1989 and 1995 in the Straits. Phytoplanktonic biomass and production ratios provided ecological insights into the food web structure, including the relevance of grazing in its largest fraction. The micro-phytoplanktonic fraction (&gt;10 mu m) in the Pacific sub-basin is significantly less abundant than in the Central and Atlantic ones. Conversely, the lowest abundance of the pico-fraction (&lt;2.0 mu m) is encountered in the Atlantic sub-basin. The observed patterns agree with the diffusion of smaller-size fractions from the western towards the eastemmost sector of the Straits, and suggest that the largest phytoplankton tend to accumulate in the inner stretch of the Straits, being constrained by a clockwise gyre generated by tidal phases or partially spilling out into the Atlantic sector. The most active grazing activities occur in the Central sub-basin during the spring bloom and appear even stronger in summer. Our results pinpoint also that the basic levels of the planktonic food web rely on the nanophytoplankton (10-2 mu m) fraction, which is the main contributor to the continuum multivorous food web. When external energy (e.g. nutrient pulses from land freshwater and water mixing) enters the system, the structure of the plankton in the Straits shifts towards the herbivorous food web and is characterized by the presence of large-size diatoms. This dynamics keeps the system in a persistent mesotrophic state, featuring a lower trophic status than the Antarctic ones but much higher than that of oligotrophic temperate areas. (C) 2014 Elsevier B.V. All rights reserved.</t>
  </si>
  <si>
    <t>[Decembrini, Franco; Bergamasco, Alessandro] CNR, IAMC, I-98122 Messina, Italy; [Mangoni, Olga] Univ Naples Federico II, Dipartimento Biol, I-80100 Naples, Italy</t>
  </si>
  <si>
    <t>Consiglio Nazionale delle Ricerche (CNR); L'Istituto per l'Ambiente Marino Costiero (IAMC-CNR); University of Naples Federico II</t>
  </si>
  <si>
    <t>Decembrini, F (corresponding author), CNR, IAMC, Spianata San Raineri 86, I-98122 Messina, Italy.</t>
  </si>
  <si>
    <t>franco.decembrini@iamc.cnr.it</t>
  </si>
  <si>
    <t>Bergamasco, Alessandro/ABB-5648-2021</t>
  </si>
  <si>
    <t>Bergamasco, Alessandro/0000-0003-3138-8418; DECEMBRINI, FRANCO/0000-0002-4208-1238</t>
  </si>
  <si>
    <t>Laboratorio Centrale di Idrobiologia, Rome, Italy; Universita di Messina, Italy</t>
  </si>
  <si>
    <t>The study has been strongly supported by Dr. Sergio Panella (Laboratorio Centrale di Idrobiologia, Rome, Italy) and the late Prof. Giuseppe Magazzu (Universita di Messina, Italy) to whom the authors wish to address their heartfelt thanks. Two anonymous reviewers provided useful comments and suggestions on an early version of the manuscript</t>
  </si>
  <si>
    <t>10.1016/j.jmarsys.2014.03.008</t>
  </si>
  <si>
    <t>AJ7GP</t>
  </si>
  <si>
    <t>WOS:000337865500004</t>
  </si>
  <si>
    <t>Vautravers, MJ</t>
  </si>
  <si>
    <t>Vautravers, Maryline J.</t>
  </si>
  <si>
    <t>Insight into the latest Messinian (5.7-5.2 Ma) palaeoclimatic events from two deep-sea Atlantic Ocean ODP Sites</t>
  </si>
  <si>
    <t>Late Messinian; Planktonic foraminifera; Climatic seesaw; Deglaciation; Mio-Pliocene transition</t>
  </si>
  <si>
    <t>JAMES-ROSS-ISLAND; NORTHERN ANTARCTIC PENINSULA; LATE MIOCENE; BENTHIC FORAMINIFERA; SOUTH ATLANTIC; LAND MAMMALS; LATE NEOGENE; GLACIATION; EVOLUTION; CLIMATE</t>
  </si>
  <si>
    <t>The results of a multi-proxy study, including quantitative planktonic foraminifera faunal analysis, geochemistry of foraminifera tests, and lithogenic counts (IRD) are presented for two open marine sites. The sites are located in the eastern South Atlantic (ODP Leg 177 Site 1088) and the western tropical North Atlantic (ODP Leg 154 Site 925). Both sedimentary records span the interval 5.7-5.2 Ma (i.e. late Miocene to early Pliocene), which encompasses the time of deposition of the upper evaporites (UE) in the Mediterranean basin. The observations confirm a major oceanographic and climatologic event which occurred during the Messinian at the transition between the glacial TG12 and the prominent TG11 warm interglacial at 5.5 Ma. However, some oceanographic changes also occurred at the Miocene-Pliocene (M-P) transition in the northern tropical Atlantic and in the Southern Ocean with the first input of IRD at ODP Site 1088. In contrast to the termination across the lower evaporites (LE) at 5.5 Ma, the M-P transition may not have involved a large change in ice volume. The potential causes behind the data across the major climatic transient are examined in the light of published information, including evidence from polar areas with focus on the climatic impact of fluctuating meridional oceanic circulation (MOC). A thermal seesaw mechanism in pre-Quaternary times is hypothesised as part of the large late Messinian deglaciation across the TG12-TG11 transition. An implication of the major Southern Atlantic warming before 5.5 Ma is that an abrupt event freshening the surface of the North Atlantic might be present in the sub-polar Northern Hemisphere, but this has yet to be verified. This deglaciation may have been reinforced by a freshening of the North Atlantic as a result of discontinuous connection of the Mediterranean Sea. (C) 2014 Published by Elsevier B.V.</t>
  </si>
  <si>
    <t>[Vautravers, Maryline J.] British Antarctic Survey, Cambridge CB3 0ET, England</t>
  </si>
  <si>
    <t>Vautravers, MJ (corresponding author), Univ Cambridge, Godwin Inst Paleoclimat Res, Cambridge CB2 3EQ, England.</t>
  </si>
  <si>
    <t>mv217@cam.ac.uk</t>
  </si>
  <si>
    <t>Mleneck-Vautravers, Maryline/0000-0003-2534-219X</t>
  </si>
  <si>
    <t>10.1016/j.palaeo.2014.03.039</t>
  </si>
  <si>
    <t>WOS:000337777500002</t>
  </si>
  <si>
    <t>Mason, GE; Sameoto, JA; Metaxas, A</t>
  </si>
  <si>
    <t>Mason, Gwyn E.; Sameoto, Jessica A.; Metaxas, Anna</t>
  </si>
  <si>
    <t>In situ swimming characteristics of the sea scallop, Placopecten magellanicus, on German Bank, Gulf of Maine</t>
  </si>
  <si>
    <t>Placopecten magellanicus; scallop; in situ swimming; German Bank; remotely operated vehicle; size distribution; scallop swimming</t>
  </si>
  <si>
    <t>GIANT SCALLOP; GEORGES BANK; ADAMUSSIUM-COLBECKI; ANTARCTIC SCALLOP; PECTEN-MAXIMUS; GMELIN; SIZE; JUVENILE; PERFORMANCE; PECTINIDAE</t>
  </si>
  <si>
    <t>Size distribution and swimming activity of the sea scallop, Placopecten magellanicus, were measured in situ from high-definition video recordings collected by a remotely operated vehicle on a fished scallop bed on German Bank, Gulf of Maine in August 2010. Scallop densities ranged from 0.004 to 3.89 m(-2) and shell height (SH) ranged from 16.3 to 193.8 mm. The size distribution was bimodal, with high abundance from 20 to 40 mm SH indicating a recent recruitment event in the area. The low abundance of scallops &gt; 100 mm SH was likely due to the active fishery in this area. Of 535 observed swims, 200 were characterized for swim distance, time, velocity and distance travelled per adduction. The size of scallops observed to swim ranged from 18.9 to 99.9 mm SH. Both swim time and swim distance increased linearly with SH, and quadratic relationships were observed between velocity and SH, and between distance travelled per adduction and SH. Swimming velocities peaked at similar to 50 cm s(-1) for scallops between 60 and 80 mm, and maximum velocity was 103.2 cm s(-1) observed for an individual of 64.0 mm SH. Our study provided a unique opportunity to investigate size distribution and associated swimming activity of scallops in their natural habitat, rather than in a simulated study in the laboratory, and at depths not reachable by SCUBA diving.</t>
  </si>
  <si>
    <t>[Mason, Gwyn E.; Metaxas, Anna] Dalhousie Univ, Dept Oceanog, Halifax, NS B3H 4R2, Canada; [Sameoto, Jessica A.] Bedford Inst Oceanog, Dept Fisheries &amp; Oceans Canada, Dartmouth, NS B2Y 4A2, Canada</t>
  </si>
  <si>
    <t>Dalhousie University; Bedford Institute of Oceanography; Fisheries &amp; Oceans Canada</t>
  </si>
  <si>
    <t>Mason, GE (corresponding author), Dalhousie Univ, Dept Oceanog, 1355 Oxford St,POB 15000, Halifax, NS B3H 4R2, Canada.</t>
  </si>
  <si>
    <t>gwyn.e.mason@gmail.com</t>
  </si>
  <si>
    <t>Sameoto, Jessica/KGL-2942-2024</t>
  </si>
  <si>
    <t>Sameoto, Jessica/0009-0001-8170-280X</t>
  </si>
  <si>
    <t>NSERC Strategic Network CHONe; NSERC Shiptime Allocation; NSERC Discovery Grants</t>
  </si>
  <si>
    <t>NSERC Strategic Network CHONe(Natural Sciences and Engineering Research Council of Canada (NSERC)); NSERC Shiptime Allocation; NSERC Discovery Grants(Natural Sciences and Engineering Research Council of Canada (NSERC))</t>
  </si>
  <si>
    <t>Funding was provided by the NSERC Strategic Network CHONe, NSERC Shiptime Allocation, and NSERC Discovery Grants to Anna Metaxas.</t>
  </si>
  <si>
    <t>10.1017/S0025315414000496</t>
  </si>
  <si>
    <t>AJ5WP</t>
  </si>
  <si>
    <t>WOS:000337761300016</t>
  </si>
  <si>
    <t>Uematsu, S; Uematsu, K; Layers, JL; Congdon, BC</t>
  </si>
  <si>
    <t>Uematsu, Sayaka; Uematsu, Kazuyoshi; Layers, Jennifer L.; Congdon, Bradley C.</t>
  </si>
  <si>
    <t>Reduced vitamin A (retinol) levels indicate radionuclide exposure in Streaked Shearwaters (Calonectris leucomelas) following the 2011 Fukushima nuclear accident</t>
  </si>
  <si>
    <t>ECOLOGICAL INDICATORS</t>
  </si>
  <si>
    <t>Antioxidants; Bioindicator; Biomagnification; Radionuclide; Seabird; Trophic transfer</t>
  </si>
  <si>
    <t>BARN SWALLOWS; OXIDATIVE STRESS; GREAT-LAKES; REPRODUCTIVE SUCCESS; ANTIOXIDANT ACTIVITY; LIPID-PEROXIDATION; SPATIAL TRENDS; HERRING-GULLS; RADIATION; RESPONSES</t>
  </si>
  <si>
    <t>The Fukushima nuclear accident in 2011 released significant amounts of radionuclides into the marine environment. Exposure to radiation reduces levels of antioxidants such as carotenoids and vitamins A and E within exposed individuals. Such reductions can cause teratogenic or mutagenetic effects leading to reduced reproductive viability and fitness. Reduced antioxidant levels therefore may be used as an indicator of radionuclide contamination and to infer individual or population level impacts; however, the taxa-specific responses of marine organisms, such as seabirds, are poorly understood. As top predators, seabirds are ideal bio-indicators of the prevalence of contaminants and pollutants in marine ecosystems. At-sea foraging distributions of Streaked Shearwaters (Calonectris leucomelas) from Mikura Island (MKR), Japan during the post egg-laying period coincide with the Fukushima nuclear plume while the breeding colony on Birou Island (BRU) lies outside the affected zone. We examined the physiological responses of Streaked Shearwater chicks at MKR and BRU to possible radiation exposure during the 2011 breeding season, four to seven months after the Fukushima nuclear accident. Fledging mass did not differ between islands but fledglings from MKR displayed significantly reduced vitamin A levels. Available information suggests these depletions most likely result from radiation exposure due to the Fukushima nuclear accident, implying that the risk of radionuclide contamination is considerably elevated for Streaked Shearwaters on MKR, where more than 60% of the world's population breeds. While additional negative impacts are expected due to delayed effects of radionuclide transport via biomagnification in the food chain, this study highlights the potential immediate and worrisome consequences of the Fukushima nuclear accident for marine wildlife. (C) 2014 Elsevier Ltd. All rights reserved.</t>
  </si>
  <si>
    <t>[Uematsu, Sayaka] James Cook Univ, Sch Marine &amp; Trop Biol, Cairns, Qld 4870, Australia; [Uematsu, Sayaka; Uematsu, Kazuyoshi] NRDA Asia, Tachikawa, Tokyo 1900023, Japan; [Layers, Jennifer L.] Univ Tasmania, Inst Marine &amp; Antarctic Studies, Hobart, Tas 7005, Australia; [Congdon, Bradley C.] James Cook Univ, Ctr Trop Environm &amp; Sustainabil Sci TESS, Cairns, Qld 4870, Australia; [Congdon, Bradley C.] James Cook Univ, Sch Marine &amp; Trop Biol, Cairns, Qld 4870, Australia</t>
  </si>
  <si>
    <t>James Cook University; University of Tasmania; James Cook University; James Cook University</t>
  </si>
  <si>
    <t>Uematsu, S (corresponding author), NRDA Asia, 3-6-17-704 Shibasaki Cho, Tachikawa, Tokyo 1900023, Japan.</t>
  </si>
  <si>
    <t>sayaka.uematsu@my.jcu.edu.au; brad.congdon@jcu.edu.au</t>
  </si>
  <si>
    <t>Congdon, Bradley C/J-9181-2012; Lavers, Jennifer/O-4831-2017; Lavers, Jennifer/IWM-5417-2023</t>
  </si>
  <si>
    <t>Congdon, Bradley C/0000-0002-8751-0892; Lavers, Jennifer/0000-0001-7596-6588; Uematsu, Sayaka/0000-0002-7643-0993</t>
  </si>
  <si>
    <t>WWF Japan; NRDA Asia</t>
  </si>
  <si>
    <t>Funding for this project was provided by WWF Japan and NRDA Asia. NRDA Asia, Mikurashima Information Centre, and James Cook University provided logistical support. Staff at WWF Japan, Y. Nakamura and A. Takemoto provided valuable assistance in the field. M. Shirai provided data on Streaked Shearwater adult weights from Awa Island. We thank M. Westcott for graphical support; T. Sako, F. McDuie and two anonymous reviewers for their valuable feedback on earlier drafts of this manuscript. Animal experiments were approved by the James Cook University Animal Ethics Committee (A1815). This work was conducted under permit from the Ministry of the Environment, Government of Japan (Environment of Tokyo, 4050-4055; Kyushu Regional Environment Office, 10, 0106-0111).</t>
  </si>
  <si>
    <t>1470-160X</t>
  </si>
  <si>
    <t>1872-7034</t>
  </si>
  <si>
    <t>ECOL INDIC</t>
  </si>
  <si>
    <t>Ecol. Indic.</t>
  </si>
  <si>
    <t>10.1016/j.ecolind.2014.02.025</t>
  </si>
  <si>
    <t>Biodiversity Conservation; Environmental Sciences</t>
  </si>
  <si>
    <t>AI6AN</t>
  </si>
  <si>
    <t>WOS:000336952300024</t>
  </si>
  <si>
    <t>Wallace, L; Watson, C; Lucieer, A</t>
  </si>
  <si>
    <t>Wallace, Luke; Watson, Christopher; Lucieer, Arko</t>
  </si>
  <si>
    <t>Detecting pruning of individual stems using Airborne Laser Scanning data captured from an Unmanned Aerial Vehicle</t>
  </si>
  <si>
    <t>INTERNATIONAL JOURNAL OF APPLIED EARTH OBSERVATION AND GEOINFORMATION</t>
  </si>
  <si>
    <t>Laser Scanning; Unmanned Aerial Vehicle; Forest management; Pruning; Change detection</t>
  </si>
  <si>
    <t>CROWN BASE HEIGHT; SCOTS PINE; TREE ATTRIBUTES; LIDAR; PREDICTION; GROWTH; VOLUME; SEGMENTATION; DEFOLIATION; SYSTEM</t>
  </si>
  <si>
    <t>Modern forest management involves implementing optimal pruning regimes. These regimes aim to achieve the highest quality timber in the shortest possible rotation period. Although a valuable addition to forest management activities, tracking the application of these treatments in the field to ensure best practice management is not economically viable. This paper describes the use of Airborne Laser Scanner (ALS) data to track the rate of pruning in a Eucalyptus globulus stand. Data is obtained from an Unmanned Aerial Vehicle (UAV) and we describe automated processing routines that provide a cost-effective alternative to field sampling. We manually prune a 500 m(2) plot to 2.5 m above the ground at rates of between 160 and 660 stems/ha. Utilising the high density ALS data, we first derived crown base height (CBH) with an RMSE of 0.60 m at each stage of pruning. Variability in the measurement of CBH resulted in both false positive (mean rate of 11%) and false negative detection (3.5%), however, detected rates of pruning of between 96% and 125% of the actual rate of pruning were achieved. The successful automated detection of pruning within this study highlights the suitability of UAV laser scanning as a cost-effective tool for monitoring forest management activities. (C) 2014 Elsevier B.V. All rights reserved.</t>
  </si>
  <si>
    <t>[Wallace, Luke; Watson, Christopher; Lucieer, Arko] Univ Tasmania, Sch Land &amp; Food, Hobart, Tas 7001, Australia</t>
  </si>
  <si>
    <t>University of Tasmania</t>
  </si>
  <si>
    <t>Wallace, L (corresponding author), Univ Tasmania, Sch Land &amp; Food, Private Bag 76, Hobart, Tas 7001, Australia.</t>
  </si>
  <si>
    <t>Luke.Wallace@utas.edu.au</t>
  </si>
  <si>
    <t>Wallace, Luke/HKO-4124-2023; Lucieer, Arko/F-1247-2013; Watson, Christopher S/D-4707-2013</t>
  </si>
  <si>
    <t>Lucieer, Arko/0000-0002-9468-4516; Wallace, Luke/0000-0002-4642-8374; Watson, Christopher/0000-0002-7464-4592</t>
  </si>
  <si>
    <t>Winifred Violet Scott Trust</t>
  </si>
  <si>
    <t>We acknowledge the Winifred Violet Scott Trust for funding support. We thank Forestry Tasmania, in particularly Rob Musk and David McElwee, for advice and support in the collection of ground data. The Australian Antarctic Division is acknowledged for providing workshop time in constructing the sensor mount. We also acknowledge the considerable help and technical input of Tony Veness in design and construction of the sensor mount and Darren Turner for his suggestions, UAV testing and field operations.</t>
  </si>
  <si>
    <t>1569-8432</t>
  </si>
  <si>
    <t>1872-826X</t>
  </si>
  <si>
    <t>INT J APPL EARTH OBS</t>
  </si>
  <si>
    <t>Int. J. Appl. Earth Obs. Geoinf.</t>
  </si>
  <si>
    <t>10.1016/j.jag.2014.01.010</t>
  </si>
  <si>
    <t>AG7UT</t>
  </si>
  <si>
    <t>WOS:000335625000008</t>
  </si>
  <si>
    <t>Zhao, X; Stein, A; Zhang, X; Feng, L; Chen, XL</t>
  </si>
  <si>
    <t>Zhao, Xi; Stein, Alfred; Zhang, Xiang; Feng, Lian; Chen, Xiaoling</t>
  </si>
  <si>
    <t>Variation analysis of lake extension in space and time from MODIS images using random sets</t>
  </si>
  <si>
    <t>Water extent; Spatial-temporal pattern; Variation; Random spread process; Random set; Multitemporal images</t>
  </si>
  <si>
    <t>POYANG LAKE; FLOOD INUNDATION; CHINA; UNCERTAINTY; FREQUENCY; DYNAMICS; MODELS; IMPACT; SERIES; AREA</t>
  </si>
  <si>
    <t>Understanding inundation in wetlands may benefit from a joint variation analysis in changes of size, shape, position and extent of water bodies. In this study, we modeled wetland inundation as a random spread process and used random sets to characterize stochastic properties of water body extents. Periodicity, trend and random components were captured by monthly and yearly random sets that were derived from multitemporal images. The Covering-Distance matrix and related operators summarized and visualized the spatial pattern and quantified the similarity of different inundation stages. The study was carried out on the Poyang Lake wetland area in China, and MODIS images for a period of eleven years were used. Results revealed the substantial seasonal dynamic pattern of the inundation and a subtle interannual change in its extension from 2000 to 2010. Various spatial properties including the size, shape, position and extent are visible: areas of high flooding risk are very elongated and locate along the water channel; few of the inundation areas tend to be more circular and spread extensively; the majority of the inundation areas have various extent and size in different month and year. Large differences in the spatial distribution of inundation extents were shown to exist between months from different seasons. A unique spatial pattern occurred during those months that a dramatic flooding or recession happened. Yearly random sets gave detailed information on the spatial distributions of inundation frequency and showed a shrinking trend from 2000 to 2009. 2003 is the partition year in the declining trend and 2010 breaking the trend as an abnormal year. Besides, probability bounds were derived from the model for a region that was attacked by flooding. This ability of supporting decision making is shown in a simple management scenario. We conclude that a random sets analysis is a valuable addition to a frequency analysis that quantifies inundation variation in space and time. (C), 2014 Elsevier B.V. All rights reserved.</t>
  </si>
  <si>
    <t>[Zhao, Xi] Wuhan Univ, Chinese Antarctic Ctr Surveying &amp; Mapping, Wuhan 430079, Peoples R China; [Zhao, Xi; Stein, Alfred; Zhang, Xiang] Univ Twente, Fac Geoinformat Sci &amp; Earth Observat, NL-7500 AE Enschede, Netherlands; [Feng, Lian; Chen, Xiaoling] Wuhan Univ, State Key Lab Informat Engn Surveying Mapping &amp; R, Wuhan 430079, Peoples R China; [Zhang, Xiang] Wuhan Univ, Sch Resource &amp; Environm Sci, Wuhan 430079, Peoples R China; [Feng, Lian] Univ S Florida, Coll Marine Sci, St Petersburg, FL 33701 USA</t>
  </si>
  <si>
    <t>Wuhan University; University of Twente; Wuhan University; Wuhan University; State University System of Florida; University of South Florida</t>
  </si>
  <si>
    <t>Zhao, X (corresponding author), Luo Yu Rd 129, Wuhan 430079, Hubei, Peoples R China.</t>
  </si>
  <si>
    <t>xi.zhao@whu.edu.cn</t>
  </si>
  <si>
    <t>zhao, xi/HJY-6017-2023; Zhang, Xiangyu/ABC-2896-2021; Feng, Lian/JQI-0512-2023</t>
  </si>
  <si>
    <t>Zhang, Xiangyu/0000-0003-3716-4722; Feng, Lian/0000-0002-4590-3022; Zhao, Xi/0000-0003-2274-891X</t>
  </si>
  <si>
    <t>National Natural Science Foundation of China [41331174]</t>
  </si>
  <si>
    <t>National Natural Science Foundation of China(National Natural Science Foundation of China (NSFC))</t>
  </si>
  <si>
    <t>This work was partially supported by the National Natural Science Foundation of China (No: 41331174). We thank the editors and reviewers for their valuable comments and suggestions.</t>
  </si>
  <si>
    <t>0303-2434</t>
  </si>
  <si>
    <t>10.1016/j.jag.2014.01.003</t>
  </si>
  <si>
    <t>WOS:000335625000009</t>
  </si>
  <si>
    <t>Goldner, A; Herold, N; Huber, M</t>
  </si>
  <si>
    <t>Goldner, A.; Herold, N.; Huber, M.</t>
  </si>
  <si>
    <t>Antarctic glaciation caused ocean circulation changes at the Eocene-Oligocene transition</t>
  </si>
  <si>
    <t>CIRCUMPOLAR CURRENT; DRAKE PASSAGE; ONSET; PARAMETERIZATION; SENSITIVITY; GREENHOUSE; INITIATION; IMPACTS; GATEWAY; MODEL</t>
  </si>
  <si>
    <t>Two main hypotheses compete to explain global cooling and the abrupt growth of the Antarctic ice sheet across the Eocene-Oligocene transition about 34 million years ago: thermal isolation of Antarctica due to southern ocean gateway opening(1-4), and declining atmospheric CO2 (refs 5, 6). Increases in ocean thermal stratification and circulation in proxies across the Eocene-Oligocene transition have been interpreted as a unique signature of gateway opening(2,4),but at present both mechanisms remain possible. Here, using a coupled ocean-atmosphere model, we show that the rise of Antarctic glaciation, rather than altered palaeogeography, is best able to explain the observed oceanographic changes. We find that growth of the Antarctic ice sheet caused enhanced northward transport of Antarctic intermediate water and invigorated the formation of Antarctic bottom water, fundamentally reorganizing ocean circulation. Conversely, gateway openings had much less impact on ocean thermal stratification and circulation. Our results support available evidence that CO2 draw down not gateway opening-caused Antarctic ice sheet growth, and further show that these feedbacks in turn altered ocean circulation. The precise timing and rate of glaciation, and thus its impacts on ocean circulation, reflect the balance between potentially positive feedbacks (increases in sea ice extent and enhanced primary productivity) and negative feedbacks (stronger southward heat transport and localized high-latitude warming). The Antarctic ice sheet had a complex, dynamic role in ocean circulation and heat fluxes during its initiation, and these processes are likely to operate in the future.</t>
  </si>
  <si>
    <t>[Goldner, A.] Purdue Univ, Dept Earth Atmospher &amp; Planetary Sci, W Lafayette, IN 47907 USA; [Goldner, A.] Amer Geophys Union, Washington, DC 20009 USA; [Herold, N.; Huber, M.] Univ New Hampshire, Dept Earth Sci, Durham, NH 03824 USA; [Huber, M.] Univ New Hampshire, Earth Syst Res Ctr, Inst Earth Ocean &amp; Space Sci, Durham, NH 03824 USA</t>
  </si>
  <si>
    <t>Purdue University System; Purdue University; University System Of New Hampshire; University of New Hampshire; University System Of New Hampshire; University of New Hampshire</t>
  </si>
  <si>
    <t>Goldner, A (corresponding author), Purdue Univ, Dept Earth Atmospher &amp; Planetary Sci, W Lafayette, IN 47907 USA.</t>
  </si>
  <si>
    <t>aarongoldner@gmail.com; matthew.huber@unh.edu</t>
  </si>
  <si>
    <t>Huber, Matthew/A-7677-2008</t>
  </si>
  <si>
    <t>Huber, Matthew/0000-0002-2771-9977</t>
  </si>
  <si>
    <t>Graduate Assistance in Areas of National Need (GAANN) fellowship through the Computational Sciences and Engineering Program at Purdue University; National Science Foundation (NSF) [OCE 0902882, EAR 1049921]; National Center for Atmospheric Research; NSF; Directorate For Geosciences; Division Of Earth Sciences [1445404] Funding Source: National Science Foundation; EPSCoR; Office Of The Director [1101245] Funding Source: National Science Foundation</t>
  </si>
  <si>
    <t>Graduate Assistance in Areas of National Need (GAANN) fellowship through the Computational Sciences and Engineering Program at Purdue University; National Science Foundation (NSF)(National Science Foundation (NSF)); National Center for Atmospheric Research; NSF(National Science Foundation (NSF)); Directorate For Geosciences; Division Of Earth Sciences(National Science Foundation (NSF)NSF - Directorate for Geosciences (GEO)); EPSCoR; Office Of The Director(National Science Foundation (NSF)NSF - Office of the Director (OD)NSF - Office of Integrative Activities (OIA))</t>
  </si>
  <si>
    <t>A.G. was funded by a Graduate Assistance in Areas of National Need (GAANN) fellowship through the Computational Sciences and Engineering Program at Purdue University. M.H. and N.H. were supported by National Science Foundation (NSF) P2C2 grants OCE 0902882 and EAR 1049921. Computing was performed on Rosen Center for Advanced Computing resources on the Hansen and Coates cluster at Purdue University. Proxy records were compiled from refs 2, 4, and specific records and references are described in extended data. The CESM model is supported and developed by the National Center for Atmospheric Research, which is supported by the NSF.</t>
  </si>
  <si>
    <t>JUL 30</t>
  </si>
  <si>
    <t>10.1038/nature13597</t>
  </si>
  <si>
    <t>AM0VT</t>
  </si>
  <si>
    <t>WOS:000339566300031</t>
  </si>
  <si>
    <t>Lunt, D</t>
  </si>
  <si>
    <t>Lunt, Dan</t>
  </si>
  <si>
    <t>PALAEOCLIMATE SCIENCE Causes and effects of Antarctic ice</t>
  </si>
  <si>
    <t>Univ Bristol, Sch Geog Sci, Bristol BS8 1SS, Avon, England</t>
  </si>
  <si>
    <t>University of Bristol</t>
  </si>
  <si>
    <t>Lunt, D (corresponding author), Univ Bristol, Sch Geog Sci, Bristol BS8 1SS, Avon, England.</t>
  </si>
  <si>
    <t>d.j.lunt@bristol.ac.uk</t>
  </si>
  <si>
    <t>Lunt, Daniel/G-9451-2011</t>
  </si>
  <si>
    <t>Lunt, Daniel/0000-0003-3585-6928</t>
  </si>
  <si>
    <t>Natural Environment Research Council [NE/I006281/1] Funding Source: researchfish; NERC [NE/I006281/1] Funding Source: UKRI</t>
  </si>
  <si>
    <t>10.1038/511536a</t>
  </si>
  <si>
    <t>WOS:000339566300019</t>
  </si>
  <si>
    <t>Tartu, S; Bustamante, P; Goutte, A; Cherel, Y; Weimerskirch, H; Bustnes, JO; Chastel, O</t>
  </si>
  <si>
    <t>Tartu, Sabrina; Bustamante, Paco; Goutte, Aurelie; Cherel, Yves; Weimerskirch, Henri; Bustnes, Jan Ove; Chastel, Olivier</t>
  </si>
  <si>
    <t>Age-Related Mercury Contamination and Relationship with Luteinizing Hormone in a Long-Lived Antarctic Bird</t>
  </si>
  <si>
    <t>STABLE-ISOTOPE SIGNATURES; REPRODUCTIVE SUCCESS; HEAVY-METALS; CATHARACTA-SKUA; SURVIVAL RATES; FORAGING AREAS; GIANT PETRELS; ADELIE LAND; BLOOD; SEABIRD</t>
  </si>
  <si>
    <t>Seabirds, as long-lived top predators, accumulate contaminants such as mercury (Hg), an established endocrine disruptor. In long lived species hormonal secretion varies with age; therefore, Hg-induced endocrine disruption may be exacerbated in some age classes. Here we investigated relationships between blood total Hg and luteinizing hormone (LH, a key pituitary hormone for the onset of breeding), in pre-laying known-age (11-45 years old) snow petrels (Pagodroma nivea) from Adelie Land, Antarctica. We predicted that 1) blood Hg would increase with advancing age as a consequence of bio-accumulation; and that 2) increasing blood Hg would be related to decreased concentrations of LH in the most Hg-contaminated individuals. Hg concentrations were higher in females than in males (p&lt;0.001), and contrary to our prediction, decreased with advancing age in males (p = 0.009) and tended to do so in females (p = 0.06). The analysis of stable isotopes (delta C-13 and delta N-15) suggested that this unexpected pattern could originate from age and sex-related variations in trophic niche, and hence Hg exposure. Regarding LH, our prediction was only supported in young birds (&lt;= 23 years) where baseline LH was inversely correlated with Hg concentrations (p = 0.04). Hg burden did not predict baseline LH or GnRH-induced LH in birds that were more than 23 years old. These results show that age and contaminants may interfere with major endocrine mechanisms and, together with other recent studies, support the view that Hg could be connected to LH secretion and could then impair the fitness of long-lived birds.</t>
  </si>
  <si>
    <t>[Tartu, Sabrina; Goutte, Aurelie; Cherel, Yves; Weimerskirch, Henri; Chastel, Olivier] Univ La Rochelle, CNRS, CEBC, UMR 7372, Villiers En Bois, France; [Bustamante, Paco] Univ La Rochelle, CNRS, Littoral Environm Soc LIENSs, UMR 7266, La Rochelle, France; [Bustnes, Jan Ove] Norwegian Inst Nat Res, FRAM, High North Res Ctr Climate &amp; Environm, Tromso, Norway</t>
  </si>
  <si>
    <t>La Rochelle Universite; Centre National de la Recherche Scientifique (CNRS); CNRS - Institute of Ecology &amp; Environment (INEE); Centre National de la Recherche Scientifique (CNRS); CNRS - Institute of Ecology &amp; Environment (INEE); La Rochelle Universite; Norwegian Institute Nature Research</t>
  </si>
  <si>
    <t>Tartu, S (corresponding author), Univ La Rochelle, CNRS, CEBC, UMR 7372, Villiers En Bois, France.</t>
  </si>
  <si>
    <t>tartu.sabrina@gmail.com</t>
  </si>
  <si>
    <t>Goutte, Aurelie/F-7572-2017; Weimerskirch, Henri/K-7306-2019; Tartu, Sabrina/Q-4062-2018; Goutte, Aurelie/JZT-6808-2024; Weimerskirch, Henri/F-5562-2013; Bustamante, Paco/G-5833-2011</t>
  </si>
  <si>
    <t>Weimerskirch, Henri/0000-0002-0457-586X; Bustamante, Paco/0000-0003-3877-9390; Goutte, Aurelie/0000-0001-8322-5843</t>
  </si>
  <si>
    <t>Agence Nationale de la Recherche (program POLARTOP); Institut Polaire Francais Paul Emile Victor (IPEV) [109]; Terres Australes et Antarctiques Francaises (TAAF)</t>
  </si>
  <si>
    <t>Agence Nationale de la Recherche (program POLARTOP)(Agence Nationale de la Recherche (ANR)); Institut Polaire Francais Paul Emile Victor (IPEV); Terres Australes et Antarctiques Francaises (TAAF)</t>
  </si>
  <si>
    <t>Financial support was provided by the Agence Nationale de la Recherche (program POLARTOP, O. Chastel), the Institut Polaire Francais Paul Emile Victor (IPEV, program no. 109, H. Weimerskirch), and the Terres Australes et Antarctiques Francaises (TAAF). The funders had no role in study design, data collection and analysis, decision to publish, or preparation of the manuscript.</t>
  </si>
  <si>
    <t>JUL 29</t>
  </si>
  <si>
    <t>e103642</t>
  </si>
  <si>
    <t>10.1371/journal.pone.0103642</t>
  </si>
  <si>
    <t>AO4KU</t>
  </si>
  <si>
    <t>gold, Green Submitted, Green Published</t>
  </si>
  <si>
    <t>WOS:000341307600076</t>
  </si>
  <si>
    <t>Bohn, JM; Hess, M</t>
  </si>
  <si>
    <t>Bohn, Jens Michael; Hess, Martin</t>
  </si>
  <si>
    <t>The Antarctic holothurian genus Echinopsolus Gutt, 1990 (Dendrochirotida, Cucumariidae): brood pouches, spermatozoa, spermatozeugmata and taxonomic implications</t>
  </si>
  <si>
    <t>Echinodermata; Antarctic radiation; sperm ultrastructure; Southern Ocean</t>
  </si>
  <si>
    <t>SEA-CUCUMBERS; SPERM ULTRASTRUCTURE; FINE-STRUCTURE; ECHINODERMATA; DIVERSITY; GASTROPOD; PATTERNS; OCEAN</t>
  </si>
  <si>
    <t>An examination of seven Antarctic brooding cucumariid and psolid holothurian species revealed a variety of characters all of them have in common: (1) All are gonochoric. (2) A genital papilla is present on the oral disc (permanent and digitiform in males). (3) Females brood their offspring in five anterior interradial brood pouches that are situated at the transition of body to introvert. (4) Multiple spermatozoa are always bundled to bunch-like spermato-zeugmata. (5) The spermatozoa have a fusiform head and a hollow cylinder-like mid-piece encircling the anterior end of the flagellum. This combination of characters so far is unique, and indicates a close relationship based on common origin. As a consequence, we unite all species sharing this set of synapomorphies in the genus Echinopsolus Gutt, 1990. The herewith included species are: E. acanthocola Gutt, 1990, E. acutus (Massin, 1992) comb. nov., E. charcoti (Vaney, 1906) comb. nov., E. koehleri (Vaney, 1914) comb. nov., E. mollis (Ludwig &amp; Heding, 1935) comb. nov., E. parvipes Massin, 1992 and E. splendidus (Gutt, 1990) comb. nov.. Because the current assignment of Echinopsolus to the family Psolidae can not be retained, the genus is tranferred to the family Cucumariidae, as relationships to taxa within this family are obvious. The peculiar spermatozoa and spermato-zeugmata of all Echinopsolus species are described using light- and electron-microscopical techniques and the results are evaluated and discussed concerning their taxonomy and phylogeny.</t>
  </si>
  <si>
    <t>[Bohn, Jens Michael] Bavarian State Collect Zool, D-81247 Munich, Germany; [Hess, Martin] Univ Munich, Dept Biol 2, D-82152 Planegg Martinsried, Germany</t>
  </si>
  <si>
    <t>University of Munich</t>
  </si>
  <si>
    <t>Bohn, JM (corresponding author), Bavarian State Collect Zool, Munchhausenstr 21, D-81247 Munich, Germany.</t>
  </si>
  <si>
    <t>jens.m.bohn@gmail.com; hess@bio.lmu.de</t>
  </si>
  <si>
    <t>10.11646/zootaxa.3841.4.7</t>
  </si>
  <si>
    <t>AL9UW</t>
  </si>
  <si>
    <t>WOS:000339488900007</t>
  </si>
  <si>
    <t>Najjar, RP; Wolf, L; Taillard, J; Schlangen, LJM; Salam, A; Cajochen, C; Gronfier, C</t>
  </si>
  <si>
    <t>Najjar, Raymond P.; Wolf, Luzian; Taillard, Jacques; Schlangen, Luc J. M.; Salam, Alex; Cajochen, Christian; Gronfier, Claude</t>
  </si>
  <si>
    <t>Chronic Artificial Blue-Enriched White Light Is an Effective Countermeasure to Delayed Circadian Phase and Neurobehavioral Decrements</t>
  </si>
  <si>
    <t>SEASONAL AFFECTIVE-DISORDER; INTERMITTENT BRIGHT LIGHT; ANTARCTIC WINTER; MELATONIN SUPPRESSION; POLYCHROMATIC-LIGHT; BODY-TEMPERATURE; ACTION SPECTRUM; GANGLION-CELLS; SLEEP QUALITY; NIGHT WORKERS</t>
  </si>
  <si>
    <t>Studies in Polar Base stations, where personnel have no access to sunlight during winter, have reported circadian misalignment, free-running of the sleep-wake rhythm, and sleep problems. Here we tested light as a countermeasure to circadian misalignment in personnel of the Concordia Polar Base station during the polar winter. We hypothesized that entrainment of the circadian pacemaker to a 24-h light-dark schedule would not occur in all crew members (n = 10) exposed to 100-300 lux of standard fluorescent white (SW) light during the daytime, and that chronic non-time restricted daytime exposure to melanopsin-optimized blue-enriched white (BE) light would establish an a stable circadian phase, in participants, together with increased cognitive performance and mood levels. The lighting schedule consisted of an alternation between SW lighting (2 weeks), followed by a BE lighting (2 weeks) for a total of 9 weeks. Rest-activity cycles assessed by actigraphy showed a stable rest-activity pattern under both SW and BE light. No difference was found between light conditions on the intra-daily stability, variability and amplitude of activity, as assessed by non-parametric circadian analysis. As hypothesized, a significant delay of about 30 minutes in the onset of melatonin secretion occurred with SW, but not with BE light. BE light significantly enhanced well being and alertness compared to SW light. We propose that the superior efficacy of blue-enriched white light versus standard white light involves melanopsin-based mechanisms in the activation of the non-visual functions studied, and that their responses do not dampen with time (over 9-weeks). This work could lead to practical applications of light exposure in working environment where background light intensity is chronically low to moderate (polar base stations, power plants, space missions, etc.), and may help design lighting strategies to maintain health, productivity, and personnel safety.</t>
  </si>
  <si>
    <t>[Najjar, Raymond P.; Gronfier, Claude] Inserm U846, Stem Cell &amp; Brain Res Inst, Bron, France; [Najjar, Raymond P.; Gronfier, Claude] Univ Lyon, Claude Bernard Lyon 1, Villeurbanne, France; [Wolf, Luzian] Wolf Technolberatung Object Tracker, Perchtoldsdorf, Austria; [Taillard, Jacques] Univ Bordeaux, Sommeil Attent &amp; Neuropsychiat, USR 3413, Bordeaux, France; [Taillard, Jacques] CNRS, Sommeil Attent &amp; Neuropsychiat, USR 3413, Bordeaux, France; [Schlangen, Luc J. M.] Philips Res, NL-5656 AE Eindhoven, Netherlands; [Salam, Alex] Inst Polaire Francais Paul Emile Victor IPEV, Plouzane, France; [Cajochen, Christian] Univ Basel, Ctr Chronobiol Psychiat Univ Clin, Basel, Switzerland</t>
  </si>
  <si>
    <t>Universite Claude Bernard Lyon 1; Institut National de la Sante et de la Recherche Medicale (Inserm); Universite Claude Bernard Lyon 1; Universite de Bordeaux; Centre National de la Recherche Scientifique (CNRS); CNRS - National Institute for Biology (INSB); Centre National de la Recherche Scientifique (CNRS); CNRS - National Institute for Biology (INSB); Universite de Bordeaux; Philips; Philips Research; University of Basel</t>
  </si>
  <si>
    <t>Cajochen, C (corresponding author), Univ Basel, Ctr Chronobiol Psychiat Univ Clin, Basel, Switzerland.</t>
  </si>
  <si>
    <t>christian.cajochen@upkbs.ch; claude.gronfier@inserm.fr</t>
  </si>
  <si>
    <t>Gronfier, Claude/C-1243-2008; Najjar, Raymond P./J-4979-2019; Taillard, Jacques/H-5063-2018; Schlangen, Luc/ACX-8808-2022; Cajochen, Christian/N-6748-2014; Najjar, Raymond P./HJI-6815-2023</t>
  </si>
  <si>
    <t>Gronfier, Claude/0000-0002-6549-799X; Najjar, Raymond P./0000-0002-3770-2300; Taillard, Jacques/0000-0001-9067-8189; Schlangen, Luc/0000-0002-8424-7240; Najjar, Raymond P./0000-0002-3770-2300; Cajochen, Christian/0000-0003-2699-7171</t>
  </si>
  <si>
    <t>European Space Agency (ESA); Centre National d'Etudes Spatiales (CNES, France); Ministere de l'Enseignement Superieur et de la Recherche Francais; Federation des Aveugles et Handicapes Visuels de France; Wolf Technologieberatung - Object-Tracker</t>
  </si>
  <si>
    <t>European Space Agency (ESA)(European Space Agency); Centre National d'Etudes Spatiales (CNES, France)(Centre National D'etudes Spatiales); Ministere de l'Enseignement Superieur et de la Recherche Francais; Federation des Aveugles et Handicapes Visuels de France; Wolf Technologieberatung - Object-Tracker</t>
  </si>
  <si>
    <t>This work was supported by the European Space Agency (ESA), and a grant from the Centre National d'Etudes Spatiales (CNES, France) to CG. RPN was funded by Ministere de l'Enseignement Superieur et de la Recherche Francais'' and Federation des Aveugles et Handicapes Visuels de France.'' Light bulbs were provided by Philips Lighting B. V., Eindhoven, The Netherlands. LightWatcher data loggers and the Neurobehavioral Test Battery were provided by Object-Tracker, Austria. The funder, Wolf Technologieberatung - Object-Tracker, provided support in the form of salaries for authors [LW], but did not have any additional role in the study design, data collection and analysis, decision to publish, or preparation of the manuscript. All funders had no role in study design, data collection and analysis, decision to publish, or preparation of the manuscript.</t>
  </si>
  <si>
    <t>e102827</t>
  </si>
  <si>
    <t>10.1371/journal.pone.0102827</t>
  </si>
  <si>
    <t>WOS:000341307600016</t>
  </si>
  <si>
    <t>Lübken, FJ; Höffner, J; Viehl, TP; Kaifler, B; Morris, RJ</t>
  </si>
  <si>
    <t>Luebken, F-J.; Hoeffner, J.; Viehl, T. P.; Kaifler, B.; Morris, R. J.</t>
  </si>
  <si>
    <t>Winter/summer mesopause temperature transition at Davis (69°S) in 2011/2012</t>
  </si>
  <si>
    <t>SUMMER MESOSPHERE; MODEL; CIRCULATION; WIND; PMSE</t>
  </si>
  <si>
    <t>We present quasi-continuous measurements of temperature profiles in the Southern Hemisphere mesopause region during the transition from winter to summer conditions in 2011/2012. In a period of 120 days around solstice, we have performed iron lidar observations at Davis (69 degrees S), Antarctica, for a total of 736 h. The winter/summer transition is identified by a downward shift of the mesopause which occurs on 8 November 2011. Soon after transition, mesopause heights and temperatures are similar to the Northern Hemisphere (NH) colatitude summer (88 km, 130 K). Around solstice, the mesopause is elevated for several days by 4-5 km and is colder than typical NH temperatures by 10 K. In this period individual profiles show temperatures as low as 100 K. The occurrence of polar mesosphere summer echoes is closely connected to low temperatures. Below 88 to 90 km and in the main summer season of 2011/2012 temperatures at Davis are generally warmer compared to the NH by 5-15 K, whereas temperatures are generally colder above 90 km. The winter/summer transition and the first appearance of polar mesosphere summer echoes are strongly correlated to maximum zonal winds in the stratosphere which constrain gravity waves with eastward momentum reaching the mesosphere. At the breakdown of the stratospheric vortex around solstice, the mesopause is higher and, surprisingly, colder than normal.</t>
  </si>
  <si>
    <t>[Luebken, F-J.; Hoeffner, J.; Viehl, T. P.] Leibniz Inst Atmospher Phys, Kuhlungsborn, Germany; [Kaifler, B.] Inst Phys Atmosphere, Wessling, Germany; [Morris, R. J.] Australian Antarctic Div, Kingston, Tas, Australia</t>
  </si>
  <si>
    <t>Leibniz Institut fur Atmospharenphysik e.V. an der Universitat Rostock (IAP); Australian Antarctic Division</t>
  </si>
  <si>
    <t>Lübken, FJ (corresponding author), Leibniz Inst Atmospher Phys, Kuhlungsborn, Germany.</t>
  </si>
  <si>
    <t>luebken@iap-kborn.de</t>
  </si>
  <si>
    <t>Kaifler, Bernd/AAK-7237-2021</t>
  </si>
  <si>
    <t>Kaifler, Bernd/0000-0002-5891-242X; Viehl, Timo/0000-0002-7948-5666</t>
  </si>
  <si>
    <t>JUL 28</t>
  </si>
  <si>
    <t>10.1002/2014GL060777</t>
  </si>
  <si>
    <t>AQ5KD</t>
  </si>
  <si>
    <t>WOS:000342846100011</t>
  </si>
  <si>
    <t>Raphael, MN; Hobbs, W</t>
  </si>
  <si>
    <t>Raphael, Marilyn N.; Hobbs, Will</t>
  </si>
  <si>
    <t>The influence of the large-scale atmospheric circulation on Antarctic sea ice during ice advance and retreat seasons</t>
  </si>
  <si>
    <t>SOUTHERN ANNULAR MODE; VARIABILITY; HEMISPHERE; OSCILLATION; IMPACTS; OCEAN; CLIMATE; TRENDS; TEMPERATURE; MECHANISMS</t>
  </si>
  <si>
    <t>Antarctic sea ice, a key component of the Southern Hemisphere climate system, is influenced by several large-scale modes of the atmospheric circulation. Antarctic sea ice variability is spatially heterogeneous, and links between the atmospheric circulation modes and the sea ice variability are unclear. Using the observed sea ice concentration data, this research isolates distinct regions of sea ice variability around Antarctica and determines the advance and retreat periods for each of them. The latter are then statistically linked with the observed geopotential height data to determine the atmospheric circulation pattern associated with the variability in the sea ice for each period and region. The results clarify which circulation mechanism is of primary importance to sea ice variability during critical periods of the ice lifecycle in the different regions around Antarctica and have potential for making estimates of past sea ice extent using the observed geopotential height data.</t>
  </si>
  <si>
    <t>[Raphael, Marilyn N.] Univ Calif Los Angeles, Dept Geog, Los Angeles, CA 90024 USA; [Hobbs, Will] Univ Tasmania, Inst Marine &amp; Antarct Sci, Hobart, Tas, Australia; [Hobbs, Will] Australian Res Council, Ctr Excellence Climate Syst Sci, Sydney, NSW, Australia</t>
  </si>
  <si>
    <t>University of California System; University of California Los Angeles; University of Tasmania</t>
  </si>
  <si>
    <t>Raphael, MN (corresponding author), Univ Calif Los Angeles, Dept Geog, Los Angeles, CA 90024 USA.</t>
  </si>
  <si>
    <t>raphael@geog.ucla.edu</t>
  </si>
  <si>
    <t>Hobbs, Will/P-8094-2019</t>
  </si>
  <si>
    <t>Hobbs, Will/0000-0002-2061-0899</t>
  </si>
  <si>
    <t>10.1002/2014GL060365</t>
  </si>
  <si>
    <t>AN4CU</t>
  </si>
  <si>
    <t>Green Accepted, Green Published, Bronze</t>
  </si>
  <si>
    <t>WOS:000340536000030</t>
  </si>
  <si>
    <t>Ayers, JM; Strutton, PG; Coles, VJ; Hood, RR; Matear, RJ</t>
  </si>
  <si>
    <t>Ayers, Jennifer M.; Strutton, Peter G.; Coles, Victoria J.; Hood, Raleigh R.; Matear, Richard J.</t>
  </si>
  <si>
    <t>Indonesian throughflow nutrient fluxes and their potential impact on Indian Ocean productivity</t>
  </si>
  <si>
    <t>VARIABILITY; CIRCULATION; PHOSPHATE; WATERS</t>
  </si>
  <si>
    <t>The Indonesian throughflow (ITF) is a chokepoint in the upper ocean thermohaline circulation, carrying Pacific waters through the strongly mixed Indonesian Seas and into the Indian Ocean. Yet the influence of the ITF on biogeochemical fluxes into the Indian Ocean is largely unknown. This study determines the first depth-and time-resolved nitrate, phosphate, and silicate fluxes at the three main exit passages of the ITF:Lombok Strait, Ombai Strait, and Timor Passage. Nutrient flux as well as its variability with depth and time differs greatly between the passages. We estimate the effective flux of nutrients into the Indian Ocean by accounting for existing nutrients in the basin and find it largest in the upper 300-400 m. This suggests that the majority of ITF nutrient supply to the Indian Ocean is to thermocline waters, where it is likely to support new production and significantly impact Indian Ocean biogeochemical cycling.</t>
  </si>
  <si>
    <t>[Ayers, Jennifer M.; Strutton, Peter G.] Univ Tasmania, Institute Marine &amp; Antarctic Studies, Hobart, Tas, Australia; [Ayers, Jennifer M.; Strutton, Peter G.] Univ Tasmania, Australian Res Council Ctr Excellence Climate Sys, Hobart, Tas, Australia; [Ayers, Jennifer M.] Univ Calif San Diego, Scripps Inst Oceanog, La Jolla, CA 92093 USA; [Coles, Victoria J.; Hood, Raleigh R.] Univ Maryland, Horn Point Lab, Ctr Environm Sci, Cambridge, MD USA; [Matear, Richard J.] CSIRO, Hobart, Tas, Australia</t>
  </si>
  <si>
    <t>University of Tasmania; University of Tasmania; University of California System; University of California San Diego; Scripps Institution of Oceanography; University System of Maryland; University of Maryland Center for Environmental Science; Commonwealth Scientific &amp; Industrial Research Organisation (CSIRO)</t>
  </si>
  <si>
    <t>Ayers, JM (corresponding author), Univ Tasmania, Institute Marine &amp; Antarctic Studies, Hobart, Tas, Australia.</t>
  </si>
  <si>
    <t>jennifer.ayers@utas.edu.au</t>
  </si>
  <si>
    <t>Hood, Raleigh/AGW-0453-2022; Coles, Victoria/AAB-3331-2022; Ayers, Jennifer M/A-2570-2012; Strutton, Peter/C-4466-2011; matear, richard/C-5133-2011</t>
  </si>
  <si>
    <t>Coles, Victoria/0000-0002-7247-0007; Hood, Raleigh/0000-0002-7248-3481; Strutton, Peter/0000-0002-2395-9471; matear, richard/0000-0002-3225-0800</t>
  </si>
  <si>
    <t>Australian Research Council Centre of Excellence for Climate System Science; CSIRO, through the Wealth from Oceans National Research Flagship; CSIRO through the Royal Australian Navy; CSIRO</t>
  </si>
  <si>
    <t>Australian Research Council Centre of Excellence for Climate System Science(Australian Research Council); CSIRO, through the Wealth from Oceans National Research Flagship; CSIRO through the Royal Australian Navy; CSIRO(Commonwealth Scientific &amp; Industrial Research Organisation (CSIRO))</t>
  </si>
  <si>
    <t>All data used are publicly available. Data from the INSTANT field program are available at http://www.marine.csiro.au/similar to cow074/index.htm. The CSIRO CARS 2009 data can be found here: http://www.marine.csiro.au/similar to dunn/cars2009/.Behrenfeld and Falkowski productivity data are here: http://www.science.oregonstate.edu/ocean.productivity/. Our calculated traditional and effective fluxes, shown in Figure 3, are available from the Australian Oceans Data Network (AODN;http://mest.imas.utas.edu.au/geonetwork/srv/en/metadata.show?uuid=2a569d7c-7b10-4c52-9beac95ce6df86db). The authors thank Janet Sprintall of Scripps Institution of Oceanography for comments that improved our manuscript and Rebecca Cowley of CSIRO for assistance with the INSTANT data. The work of J. Ayers and P. Strutton was supported by the Australian Research Council Centre of Excellence for Climate System Science. Funding for R. Matear was provided by CSIRO, through the Wealth from Oceans National Research Flagship and through the Royal Australian Navy. R. Hood was supported by a Frohlich Fellowship from CSIRO.</t>
  </si>
  <si>
    <t>10.1002/2014GL060593</t>
  </si>
  <si>
    <t>WOS:000340536000033</t>
  </si>
  <si>
    <t>Meylan, MH; Bennetts, LG; Kohout, AL</t>
  </si>
  <si>
    <t>Meylan, Michael H.; Bennetts, Luke G.; Kohout, Alison L.</t>
  </si>
  <si>
    <t>In situ measurements and analysis of ocean waves in the Antarctic marginal ice zone</t>
  </si>
  <si>
    <t>SEA; TRANSECTS</t>
  </si>
  <si>
    <t>In situ measurements of ocean surface wave spectra evolution in the Antarctic marginal ice zone are described. Analysis of the measurements shows significant wave heights and peak periods do not vary appreciably in approximately the first 80 km of the ice-covered ocean. Beyond this region, significant wave heights attenuate and peak periods increase. It is shown that attenuation rates are insensitive to amplitudes for long-period waves but increase with increasing amplitude above some critical amplitude for short-period waves. Attenuation rates of the spectral components of the wavefield are calculated. It is shown that attenuation rates decrease with increasing wave period. Further, for long-period waves the decrease is shown to be proportional to the inverse of the period squared. This relationship can be used to efficiently implement wave attenuation through the marginal ice zone in ocean-scale wave models.</t>
  </si>
  <si>
    <t>[Meylan, Michael H.] Univ Newcastle, Sch Math &amp; Phys Sci, Newcastle, NSW 2300, Australia; [Bennetts, Luke G.] Univ Adelaide, Sch Math Sci, Adelaide, SA, Australia; [Kohout, Alison L.] Natl Inst Water &amp; Atmospher Res, Christchurch, New Zealand</t>
  </si>
  <si>
    <t>University of Newcastle; University of Adelaide; National Institute of Water &amp; Atmospheric Research (NIWA) - New Zealand</t>
  </si>
  <si>
    <t>Meylan, MH (corresponding author), Univ Newcastle, Sch Math &amp; Phys Sci, Newcastle, NSW 2300, Australia.</t>
  </si>
  <si>
    <t>mike.meylan@newcastle.edu.au</t>
  </si>
  <si>
    <t>Bennetts, Luke/N-1448-2019; Meylan, Michael/A-7341-2010</t>
  </si>
  <si>
    <t>Bennetts, Luke/0000-0001-9386-7882; Meylan, Michael/0000-0002-3164-1367</t>
  </si>
  <si>
    <t>New Zealand Foundation of Research Science and Technology Postdoctoral award; Marsden Fund Council; NIWA through National Climate Centre Climate Systems program; Antarctic Climate and Ecosystems Cooperative Research Centre; Australian Antarctic Science Grant Program [4073, 4123]; Office of Naval Research; Australian Research Council [DE130101571]; Australian Research Council [DE130101571] Funding Source: Australian Research Council</t>
  </si>
  <si>
    <t>New Zealand Foundation of Research Science and Technology Postdoctoral award; Marsden Fund Council(Royal Society of New ZealandMarsden Fund (NZ)); NIWA through National Climate Centre Climate Systems program; Antarctic Climate and Ecosystems Cooperative Research Centre(Australian GovernmentDepartment of Industry, Innovation and ScienceCooperative Research Centres (CRC) Programme); Australian Antarctic Science Grant Program; Office of Naval Research(Office of Naval Research); Australian Research Council(Australian Research Council); Australian Research Council(Australian Research Council)</t>
  </si>
  <si>
    <t>Inprod Pty Ltd designed and constructed the wave sensors. Martin Doble, Vernon Squire, and Tim Haskell contributed toward sensor design. The captain and crew of RSV Aurora Australis assisted in deploying the sensors. Takenobu Toyota provided floe size and ice thickness data. Alessandro Toffoli provided advice on wave analysis. The measurements were funded by the following: a New Zealand Foundation of Research Science and Technology Postdoctoral award to A. L. K.; the Marsden Fund Council, administered by the Royal Society of New Zealand; NIWA through core funding under the National Climate Centre Climate Systems program; the Antarctic Climate and Ecosystems Cooperative Research Centre; and the Australian Antarctic Science Grant Program (project 4073). M. H. M. acknowledges the support of the Office of Naval Research. L. G. B. acknowledges funding support from the Australian Research Council (DE130101571) and the Australian Antarctic Science Grant Program (project 4123). The data used for this study are available through the Australian Antarctic Data Centre [Kohout and Williams, 2013].</t>
  </si>
  <si>
    <t>10.1002/2014GL060809</t>
  </si>
  <si>
    <t>WOS:000340536000031</t>
  </si>
  <si>
    <t>McConnell, JR; Maselli, OJ; Sigl, M; Vallelonga, P; Neumann, T; Anschütz, H; Bales, RC; Curran, MAJ; Das, SB; Edwards, R; Kipfstuhl, S; Layman, L; Thomas, ER</t>
  </si>
  <si>
    <t>McConnell, J. R.; Maselli, O. J.; Sigl, M.; Vallelonga, P.; Neumann, T.; Anschutz, H.; Bales, R. C.; Curran, M. A. J.; Das, S. B.; Edwards, R.; Kipfstuhl, S.; Layman, L.; Thomas, E. R.</t>
  </si>
  <si>
    <t>Antarctic-wide array of high-resolution ice core records reveals pervasive lead pollution began in 1889 and persists today</t>
  </si>
  <si>
    <t>LAW DOME; SNOW; GREENLAND; LAND; AD</t>
  </si>
  <si>
    <t>Interior Antarctica is among the most remote places on Earth and was thought to be beyond the reach of human impacts when Amundsen and Scott raced to the South Pole in 1911. Here we show detailed measurements from an extensive array of 16 ice cores quantifying substantial toxic heavy metal lead pollution at South Pole and throughout Antarctica by 1889 - beating polar explorers by more than 22 years. Unlike the Arctic where lead pollution peaked in the 1970s, lead pollution in Antarctica was as high in the early 20th century as at any time since industrialization. The similar timing and magnitude of changes in lead deposition across Antarctica, as well as the characteristic isotopic signature of Broken Hill lead found throughout the continent, suggest that this single emission source in southern Australia was responsible for the introduction of lead pollution into Antarctica at the end of the 19th century and remains a significant source today. An estimated 660 t of industrial lead have been deposited over Antarctica during the past 130 years as a result of mid-latitude industrial emissions, with regional-to-global scale circulation likely modulating aerosol concentrations. Despite abatement efforts, significant lead pollution in Antarctica persists into the 21st century.</t>
  </si>
  <si>
    <t>[McConnell, J. R.; Maselli, O. J.; Sigl, M.; Layman, L.] Desert Res Inst, Reno, NV 89512 USA; [Vallelonga, P.] Univ Copenhagen, Ctr Ice &amp; Climate, DK-1168 Copenhagen, Denmark; [Neumann, T.] NASA, Goddard Space Flight Ctr, Greenbelt, MD USA; [Anschutz, H.] Norwegian Geotech Inst, Oslo, Norway; [Bales, R. C.] Univ Calif, Merced, CA USA; [Curran, M. A. J.] Australian Antarctic Div, Kingston, Tas, Australia; [Das, S. B.] Woods Hole Oceanog Inst, Woods Hole, MA USA; [Edwards, R.] Curtin Univ, Perth, WA, Australia; [Kipfstuhl, S.] Helmholtz Zentrum Polar &amp; Meeresforsch, Alfred Wegener Inst, Bremerhaven, Germany; [Thomas, E. R.] British Antarctic Survey, Cambridge, England</t>
  </si>
  <si>
    <t>Nevada System of Higher Education (NSHE); Desert Research Institute NSHE; University of Copenhagen; National Aeronautics &amp; Space Administration (NASA); NASA Goddard Space Flight Center; Norwegian Geotechnical Institute, NGI; University of California System; University of California Merced; Australian Antarctic Division; Woods Hole Oceanographic Institution; Curtin University; Helmholtz Association; Alfred Wegener Institute, Helmholtz Centre for Polar &amp; Marine Research; UK Research &amp; Innovation (UKRI); Natural Environment Research Council (NERC); NERC British Antarctic Survey</t>
  </si>
  <si>
    <t>McConnell, JR (corresponding author), Desert Res Inst, Reno, NV 89512 USA.</t>
  </si>
  <si>
    <t>Joe.McConnell@dri.edu</t>
  </si>
  <si>
    <t>Thomas, Elizabeth Ruth/ADF-3660-2022; Neumann, Thomas/D-5264-2012; Maselli, Olivia/A-6687-2013; Neumann, Thomas/JLL-4672-2023; Edwards, Ross/B-1433-2013; Vallelonga, Paul/I-9650-2016</t>
  </si>
  <si>
    <t>Thomas, Elizabeth Ruth/0000-0002-3010-6493; Edwards, Ross/0000-0002-9233-8775; Vallelonga, Paul/0000-0003-1055-7235</t>
  </si>
  <si>
    <t>U. S. National Science Foundation Division of Polar Programs [9903744, 0538427, 0538416, 0968391, 1142166, 0632031]; instrument grants [0216552, 0421412]; national research programs; Office Of Internatl Science &amp;Engineering; Office Of The Director [0968391] Funding Source: National Science Foundation; Office of Polar Programs (OPP); Directorate For Geosciences [0632031, 9903744, 1142166] Funding Source: National Science Foundation; Office of Polar Programs (OPP); Directorate For Geosciences [0538427, 0944348, 0538416] Funding Source: National Science Foundation; Natural Environment Research Council [bas0100024] Funding Source: researchfish; NERC [bas0100024] Funding Source: UKRI</t>
  </si>
  <si>
    <t>U. S. National Science Foundation Division of Polar Programs(National Science Foundation (NSF)); instrument grants; national research programs; Office Of Internatl Science &amp;Engineering; Office Of The Director(National Science Foundation (NSF)NSF - Office of the Director (OD)); Office of Polar Programs (OPP);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</si>
  <si>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The data reported in this paper are tabulated in the Supplementary Information. This work primarily was supported by the U. S. National Science Foundation Division of Polar Programs (research grants 9903744, 0538427, 0538416, 0968391, 1142166, 0632031; instrument grants 0216552, 0421412). We gratefully acknowledge the national research programs for their support and the efforts of field teams and others for help in collecting the ice cores in the array. The authors also thank the WAIS Divide Science Coordination Office for the collection and distribution of the WAIS Divide ice cores, Ice Drilling and Design and Operations for drilling support, the National Ice Core Laboratory for curating many of the cores used in this study; Raytheon Polar Service for logistics support in Antarctica; and the 109th New York Air National Guard for airlift in Antarctic.</t>
  </si>
  <si>
    <t>10.1038/srep05848</t>
  </si>
  <si>
    <t>AM0CT</t>
  </si>
  <si>
    <t>Green Published, Green Submitted, gold, Green Accepted</t>
  </si>
  <si>
    <t>WOS:000339511300001</t>
  </si>
  <si>
    <t>Schoenemann, SW; Steig, EJ; Ding, QH; Markle, BR; Schauer, AJ</t>
  </si>
  <si>
    <t>Schoenemann, Spruce W.; Steig, Eric J.; Ding, Qinghua; Markle, Bradley R.; Schauer, Andrew J.</t>
  </si>
  <si>
    <t>Triple water-isotopologue record from WAIS Divide, Antarctica: Controls on glacial-interglacial changes in O-17(excess) of precipitation</t>
  </si>
  <si>
    <t>OCEAN SEA-ICE; EPICA DOME C; SOUTHERN-OCEAN; HOLOCENE CLIMATE; ISOTOPIC COMPOSITION; DEUTERIUM EXCESS; EAST ANTARCTICA; SEASONAL-VARIATIONS; ATLANTIC SECTOR; ROSS EMBAYMENT</t>
  </si>
  <si>
    <t>Measurements of the O-17(excess) of H2O were obtained from ice cores in West and East Antarctica. Combined with previously published results from East Antarctica, the new data provide the most complete spatial and temporal view of Antarctic O-17(excess) to date. There is a steep spatial gradient of O-17(excess) in present-day precipitation across Antarctica, with higher values in marine-influenced regions and lower values in the East Antarctic interior. There is also a spatial pattern to the change in O-17(excess) between the Last Glacial Maximum (LGM) and Holocene periods. At coastal locations, there is no significant change in O-17(excess). At both the West Antarctic Ice Sheet Divide site and at Vostok, East Antarctica, the LGM to Early Holocene change in O-17(excess) is about 20 per meg. Atmospheric general circulation model (GCM) experiments show that both the observed spatial gradient of O-17(excess) in modern precipitation, and the spatial pattern of LGM to Early Holocene change, can be explained by kinetic isotope effects during snow formation under supersaturated conditions, requiring a high sensitivity of supersaturation to temperature. The results suggest that fractionation during snow formation is the primary control on O-17(excess) in Antarctic precipitation. Variations in moisture source relative humidity play a negligible role in determining the glacial-interglacial O-17(excess) changes observed in Antarctic ice cores. Additional GCM experiments show that sea ice expansion increases the area over which supersaturating conditions occur, amplifying the effect of colder temperatures. Temperature and sea ice changes alone are sufficient to explain the observed O-17(excess) glacial-interglacial changes across Antarctica.</t>
  </si>
  <si>
    <t>[Schoenemann, Spruce W.; Steig, Eric J.; Ding, Qinghua; Markle, Bradley R.; Schauer, Andrew J.] Univ Washington, Dept Earth &amp; Space Sci, IsoLab, Seattle, WA 98195 USA</t>
  </si>
  <si>
    <t>University of Washington; University of Washington Seattle</t>
  </si>
  <si>
    <t>Schoenemann, SW (corresponding author), Univ Washington, Dept Earth &amp; Space Sci, IsoLab, Seattle, WA 98195 USA.</t>
  </si>
  <si>
    <t>schoes@uw.edu</t>
  </si>
  <si>
    <t>Steig, Eric J/G-9088-2015; ding, qinghua/G-1186-2011; Markle, Bradley R/I-6132-2019</t>
  </si>
  <si>
    <t>Schauer, Andrew/0000-0002-5941-5396; Markle, Bradley/0000-0002-2282-6546</t>
  </si>
  <si>
    <t>National Science Foundation (NSF) OPP [0837990, 1043092]; Office of Polar Programs (OPP); Directorate For Geosciences [1341360, 0837990] Funding Source: National Science Foundation; Office of Polar Programs (OPP); Directorate For Geosciences [0944348] Funding Source: National Science Foundation</t>
  </si>
  <si>
    <t>National Science Foundation (NSF) OPP(National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</si>
  <si>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National Science Foundation (NSF) OPP grants 0837990 and 1043092 to E.J.S. We thank K. Samek, B. Vanden Heuvel, and R. Teel for their assistance with the isotope measurements. We also thank J. Pedro for discussions, J. Schmitt for use of the Monte Carlo Averaging code, B. Stenni for providing the unpublished Talos Dome delta18O and delta D data, and D. Roche for figure permissions. The authors appreciate the support of the WAIS Divide Science Coordination Office (K. Taylor, M. Twickler, and J. Souney) for the collection and distribution of the WAIS Divide ice core; Ice Drilling and Design and Operations for drilling; and the National Ice Core Laboratory for curating the core. Many thanks to two anonymous reviewers for valuable comments and suggestions. Data from this paper are available from the National Snow and Ice Data Center (www.nsidc.org).</t>
  </si>
  <si>
    <t>JUL 27</t>
  </si>
  <si>
    <t>10.1002/2014JD021770</t>
  </si>
  <si>
    <t>AN2GQ</t>
  </si>
  <si>
    <t>WOS:000340402800014</t>
  </si>
  <si>
    <t>Pasteris, DR; McConnell, JR; Das, SB; Criscitiello, AS; Evans, MJ; Maselli, OJ; Sigl, M; Layman, L</t>
  </si>
  <si>
    <t>Pasteris, Daniel R.; McConnell, Joseph R.; Das, Sarah B.; Criscitiello, Alison S.; Evans, Matthew J.; Maselli, Olivia J.; Sigl, Michael; Layman, Lawrence</t>
  </si>
  <si>
    <t>Seasonally resolved ice core records from West Antarctica indicate a sea ice source of sea-salt aerosol and a biomass burning source of ammonium</t>
  </si>
  <si>
    <t>GENERAL-CIRCULATION MODEL; HIGH-RESOLUTION; REACTIVE NITROGEN; ATMOSPHERIC NITRATE; COASTAL ANTARCTICA; CHLORIDE DEPLETION; EAST ANTARCTICA; SYOWA STATION; SURFACE SNOW; LAW DOME</t>
  </si>
  <si>
    <t>The sources and transport pathways of aerosol species in Antarctica remain uncertain, partly due to limited seasonally resolved data from the harsh environment. Here, we examine the seasonal cycles of major ions in three high-accumulation West Antarctic ice cores for new information regarding the origin of aerosol species. A new method for continuous acidity measurement in ice cores is exploited to provide a comprehensive, charge-balance approach to assessing the major non-sea-salt (nss) species. The average nss-anion composition is 41% sulfate (SO42-), 36% nitrate (NO3-), 15% excess-chloride (ExCl(-)), and 8% methanesulfonic acid (MSA). Approximately 2% of the acid-anion content is neutralized by ammonium (NH4+), and the remainder is balanced by the acidity (Acy approximate to H+ -HCO3-). The annual cycle of NO3- shows a primary peak in summer and a secondary peak in late winter/spring that are consistent with previous air and snow studies in Antarctica. The origin of these peaks remains uncertain, however, and is an area of active research. A high correlation between NH4+ and black carbon (BC) suggests that a major source of NH4+ is midlatitude biomass burning rather than marine biomass decay, as previously assumed. The annual peak in excess chloride (ExCl(-)) coincides with the late-winter maximum in sea ice extent. Wintertime ExCl(-) is correlated with offshore sea ice concentrations and inversely correlated with temperature from nearby Byrd station. These observations suggest that the winter peak in ExCl(-) is an expression of fractionated sea-salt aerosol and that sea ice is therefore a major source of sea-salt aerosol in the region.</t>
  </si>
  <si>
    <t>[Pasteris, Daniel R.; McConnell, Joseph R.; Maselli, Olivia J.; Sigl, Michael; Layman, Lawrence] Univ Nevada, Desert Res Inst, Div Hydrol Sci, Reno, NV 89506 USA; [Das, Sarah B.; Criscitiello, Alison S.] Woods Hole Oceanog Inst, Dept Geol &amp; Geophys, Woods Hole, MA 02543 USA; [Criscitiello, Alison S.] Woods Hole Oceanog Inst, MIT WHOI Joint Program Oceanog Appl Ocean Sci &amp; E, Woods Hole, MA 02543 USA; [Evans, Matthew J.] Wheaton Coll, Dept Chem, Norton, MA 02766 USA</t>
  </si>
  <si>
    <t>Nevada System of Higher Education (NSHE); University of Nevada Reno; Desert Research Institute NSHE; Woods Hole Oceanographic Institution; Woods Hole Oceanographic Institution; Massachusetts Institute of Technology (MIT)</t>
  </si>
  <si>
    <t>Pasteris, DR (corresponding author), Univ Nevada, Desert Res Inst, Div Hydrol Sci, Reno, NV 89506 USA.</t>
  </si>
  <si>
    <t>daniel.pasteris@dri.edu</t>
  </si>
  <si>
    <t>Maselli, Olivia/A-6687-2013</t>
  </si>
  <si>
    <t>Sigl, Michael/0000-0002-9028-9703; Evans, Matthew/0000-0003-4100-4780; Criscitiello, Alison/0000-0002-8741-709X</t>
  </si>
  <si>
    <t>NSF Antarctic Program [0632031, 1142166]; NSF-MRI [1126217]; NASA Cryosphere Program [NNX10AP09G]; Department of Energy Office of Science Graduate Fellowship Program (DOE SCGF); Directorate For Geosciences; Division Of Earth Sciences [1126217] Funding Source: National Science Foundation; Directorate For Geosciences; Office of Polar Programs (OPP) [1142166] Funding Source: National Science Foundation; Office of Polar Programs (OPP); Directorate For Geosciences [0632031] Funding Source: National Science Foundation</t>
  </si>
  <si>
    <t>NSF Antarctic Program; NSF-MRI(National Science Foundation (NSF)NSF - Office of the Director (OD)); NASA Cryosphere Program; Department of Energy Office of Science Graduate Fellowship Program (DOE SCGF)(United States Department of Energy (DOE)); Directorate For Geosciences; Division Of Earth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</si>
  <si>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The data used to produce the figures in this paper can be obtained by contacting the authors. This work was supported by grants from the NSF Antarctic Program (0632031 and 1142166), NSF-MRI (1126217), the NASA Cryosphere Program (NNX10AP09G), and by an award from the Department of Energy Office of Science Graduate Fellowship Program (DOE SCGF) to ASC. The authors would like to thank the field crews who collected the samples and students who assisted with the laboratory analysis.</t>
  </si>
  <si>
    <t>10.1002/2013JD020720</t>
  </si>
  <si>
    <t>WOS:000340402800037</t>
  </si>
  <si>
    <t>Shetye, S; Mohan, R; Jafar, SA; Nair, A; Patil, S; Jawak, S; Asthana, R; Gazi, S</t>
  </si>
  <si>
    <t>Shetye, Suhas; Mohan, Rahul; Jafar, Syed A.; Nair, Abhilash; Patil, Shramik; Jawak, Shridhar; Asthana, Rajesh; Gazi, Sahina</t>
  </si>
  <si>
    <t>Diatom burst-driven silica depletion under the Antarctic sea ice: evidence from sponge spicules</t>
  </si>
  <si>
    <t>Diatoms; dissolved silica; sea ice; sponge spicules</t>
  </si>
  <si>
    <t>PATTERNS; CYCLE</t>
  </si>
  <si>
    <t>Earlier studies have documented the role of diatoms in reducing the diversity and abundance of other silica dependent organisms, such as radiolaria. Here we hypothesize that diatom burst-driven depletion of dissolved silica (DSi) in the Antarctic under sea-ice waters affects other silica-biomineralizing organisms. We found intense diatom-dominated, ice-edge phytoplankton bloom in the Enderby basin resulting in severe depletion of DSi (&lt;5 mu M) under the sea ice. We also found siliceous sponge spicules within the surface sediment collected from under the Antarctic sea ice. Dominance of small style spicules (170 spicules/g sediment) under the sea ice along with dissolution seen on them, suggests DSi deficiency in the Antarctic waters. We, therefore, conclude that there is a rapid depletion of DSi due to seasonal diatom blooms under sea ice in the Antarctic waters.</t>
  </si>
  <si>
    <t>[Shetye, Suhas; Mohan, Rahul; Jafar, Syed A.; Nair, Abhilash; Patil, Shramik; Jawak, Shridhar; Gazi, Sahina] Natl Ctr Antarctic &amp; Ocean Res, Headland Sada 403804, Goa, India; [Jafar, Syed A.] Whispering Meadows, Bangalore 560102, Karnataka, India; [Asthana, Rajesh] Geol Survey India, Faridabad 121001, India</t>
  </si>
  <si>
    <t>Ministry of Earth Sciences (MoES) - India; National Centre for Polar and Ocean Research (NCPOR); Geological Survey India</t>
  </si>
  <si>
    <t>Shetye, S (corresponding author), Natl Ctr Antarctic &amp; Ocean Res, Headland Sada 403804, Goa, India.</t>
  </si>
  <si>
    <t>suhassht@gmail.com</t>
  </si>
  <si>
    <t>Jafar, Syed A/G-2477-2010; Jawak, Shridhar/G-9678-2012</t>
  </si>
  <si>
    <t>Jawak, Shridhar/0000-0002-0648-3109; Patil, Shramik/0000-0001-8937-1403</t>
  </si>
  <si>
    <t>NCAOR [12/2014]; National Physical Laboratory, New Delhi</t>
  </si>
  <si>
    <t>NCAOR; National Physical Laboratory, New Delhi</t>
  </si>
  <si>
    <t>We thank the Ministry of Earth Sciences, Government of India and Director - NCAOR for providing the necessary ship time and facilities. We also thank the captain, crew, participants, and technical staff of the Ivan Papanin for their invaluable assistance, Dr Rupesh Das (National Physical Laboratory, New Delhi) for support. This is NCAOR contribution No. 12/2014.</t>
  </si>
  <si>
    <t>JUL 25</t>
  </si>
  <si>
    <t>AM6YN</t>
  </si>
  <si>
    <t>WOS:000340012000027</t>
  </si>
  <si>
    <t>Forcada, J; Hoffman, JI</t>
  </si>
  <si>
    <t>Forcada, Jaume; Hoffman, Joseph Ivan</t>
  </si>
  <si>
    <t>Climate change selects for heterozygosity in a declining fur seal population</t>
  </si>
  <si>
    <t>INBREEDING DEPRESSION; GENETICS; SUCCESS; STRESS; SIZE; LONG</t>
  </si>
  <si>
    <t>Global environmental change is expected to alter selection pressures in many biological systems(1-3), but the long-term molecular and life history data required to quantify changes in selection are rare(4). An unusual opportunity is afforded by three decades of individual-based data collected from a declining population of Antarctic fur seals in the South Atlantic. Here, climate change has reduced prey availability and caused a significant decline in seal birth weight. However, the mean age and size of females recruiting into the breeding population are increasing. We show that such females have significantly higher heterozygosity (a measure of within-individual genetic variation) than their non-recruiting siblings and their own mothers. Thus, breeding female heterozygosity has increased by 8.5% per generation over the last two decades. Nonetheless, as heterozygosity is not inherited from mothers to daughters, substantial heterozygote advantage is not transmitted from one generation to the next and the decreasing viability of homozygous individuals causes the population to decline. Our results provide compelling evidence that selection due to climate change is intensifying, with far-reaching consequences for demography as well as phenotypic and genetic variation.</t>
  </si>
  <si>
    <t>[Forcada, Jaume] British Antarctic Survey, Nat Environm Res Council, Cambridge CB3 0ET, England; [Hoffman, Joseph Ivan] Univ Bielefeld, Dept Anim Behav, D-33501 Bielefeld, Germany</t>
  </si>
  <si>
    <t>UK Research &amp; Innovation (UKRI); Natural Environment Research Council (NERC); NERC British Antarctic Survey; University of Bielefeld</t>
  </si>
  <si>
    <t>Forcada, J (corresponding author), British Antarctic Survey, Nat Environm Res Council, Madingley Rd, Cambridge CB3 0ET, England.</t>
  </si>
  <si>
    <t>jfor@bas.ac.uk</t>
  </si>
  <si>
    <t>Forcada, Jaume/GYU-0677-2022; Hoffman, Joseph/K-7725-2012</t>
  </si>
  <si>
    <t>Hoffman, Joseph/0000-0001-5895-8949</t>
  </si>
  <si>
    <t>Marie Curie FP7-Reintegration-Grant within the 7th European Community Framework Programme [PCIG-GA-2011-303618]; Deutsche Forschungsgemeinschaft standard grant [HO 5122/3-1]</t>
  </si>
  <si>
    <t>Marie Curie FP7-Reintegration-Grant within the 7th European Community Framework Programme(European Union (EU)); Deutsche Forschungsgemeinschaft standard grant(German Research Foundation (DFG))</t>
  </si>
  <si>
    <t>The authors thank the many fieldworkers who have contributed to data collection over the years. We are also grateful to W. Amos, J. Bascompte, M. Boerner, K. Dasmahapatra, O. Kruger and I. Staniland for advice and feedback on the manuscript, together with T. Coulson for helpful referee comments. This work contributes to the Long Term Monitoring and Survey project and Ecosystems project of the British Antarctic Survey, Natural Environment Research Council, part of the Polar Science for Planet Earth programme. The genetic work was supported by a Marie Curie FP7-Reintegration-Grant within the 7th European Community Framework Programme (PCIG-GA-2011-303618) and a Deutsche Forschungsgemeinschaft standard grant (HO 5122/3-1) awarded to J.I.H.</t>
  </si>
  <si>
    <t>JUL 24</t>
  </si>
  <si>
    <t>10.1038/nature13542</t>
  </si>
  <si>
    <t>AL7SO</t>
  </si>
  <si>
    <t>WOS:000339335700045</t>
  </si>
  <si>
    <t>Basher, Z; Bowden, DA; Costello, MJ</t>
  </si>
  <si>
    <t>Basher, Zeenatul; Bowden, David A.; Costello, Mark J.</t>
  </si>
  <si>
    <t>Diversity and Distribution of Deep-Sea Shrimps in the Ross Sea Region of Antarctica</t>
  </si>
  <si>
    <t>SPECIES DISTRIBUTION MODELS; EASTERN WEDDELL SEA; DECAPOD CRUSTACEANS; PREDICTIVE MODELS; SOFT-BOTTOM; OCEAN; DEPTH; BIODIVERSITY; AREAS; BIOGEOGRAPHY</t>
  </si>
  <si>
    <t>Although decapod crustaceans are widespread in the oceans, only Natantia (shrimps) are common in the Antarctic. Because remoteness, depth and ice cover restrict sampling in the South Ocean, species distribution modelling is a useful tool for evaluating distributions. We used physical specimen and towed camera data to describe the diversity and distribution of shrimps in the Ross Sea region of Antarctica. Eight shrimp species were recorded: Chorismus antarcticus; Notocrangon antarcticus; Nematocarcinus lanceopes; Dendrobranchiata; Pasiphaea scotiae; Pasiphaea cf. ledoyeri; Petalidium sp., and a new species of Lebbeus. For the two most common species, N. antarcticus and N. lanceopes, we used maximum entropy modelling, based on records of 60 specimens and over 1130 observations across 23 sites in depths from 269 m to 3433 m, to predict distributions in relation to environmental variables. Two independent sets of environmental data layers at 0.05u and 0.5 degrees resolution respectively, showed how spatial resolution affected the model. Chorismus antarcticus and N. antarcticus were found only on the continental shelf and upper slopes, while N. lanceopes, Lebbeus n. sp., Dendrobranchiata, Petalidium sp., Pasiphaea cf. ledoyeri, and Pasiphaea scotiae were found on the slopes, seamounts and abyssal plain. The environmental variables that contributed most to models for N. antarcticus were depth, chlorophyll-a concentration, temperature, and salinity, and for N. lanceopes were depth, ice concentration, seabed slope/rugosity, and temperature. The relative ranking, but not the composition of these variables changed in models using different spatial resolutions, and the predicted extent of suitable habitat was smaller in models using the finer-scale environmental layers. Our modelling indicated that shrimps were widespread throughout the Ross Sea region and were thus likely to play important functional role in the ecosystem, and that the spatial resolution of data needs to be considered both in the use of species distribution models.</t>
  </si>
  <si>
    <t>[Basher, Zeenatul; Costello, Mark J.] Univ Auckland, Inst Marine Sci, Auckland 1, New Zealand; [Bowden, David A.] Natl Inst Water &amp; Atmospher Res NIWA, Coasts &amp; Oceans Ctr, Wellington, New Zealand</t>
  </si>
  <si>
    <t>University of Auckland; National Institute of Water &amp; Atmospheric Research (NIWA) - New Zealand</t>
  </si>
  <si>
    <t>Basher, Z (corresponding author), Univ Auckland, Inst Marine Sci, Auckland 1, New Zealand.</t>
  </si>
  <si>
    <t>z.basher@auckland.ac.nz</t>
  </si>
  <si>
    <t>Costello, Mark/C-9267-2013</t>
  </si>
  <si>
    <t>Costello, Mark/0000-0003-2362-0328; Basher, Zeenatul/0000-0002-6439-8324</t>
  </si>
  <si>
    <t>New Zealand Government through Ministry of Primary Industries project [IPY2007-01]; Ministry of Business, Innovation &amp; Employment project [CO1X1226]; University of Auckland Doctoral Scholarship; Ministry of Primary Industries Science Team; Land Information New Zealand; Ministry of Primary Industries; Antarctica New Zealand; Ministry of Foreign Affairs and Trade; National Institute of Water and Atmospheric Research</t>
  </si>
  <si>
    <t>New Zealand Government through Ministry of Primary Industries project; Ministry of Business, Innovation &amp; Employment project(New Zealand Ministry of Business, Innovation and Employment (MBIE)); University of Auckland Doctoral Scholarship; Ministry of Primary Industries Science Team; Land Information New Zealand; Ministry of Primary Industries; Antarctica New Zealand; Ministry of Foreign Affairs and Trade; National Institute of Water and Atmospheric Research</t>
  </si>
  <si>
    <t>This research was funded by the New Zealand Government through Ministry of Primary Industries project IPY2007-01 (The New Zealand International Polar Year-Census of Antarctic Marine Life Project), Ministry of Business, Innovation &amp; Employment project CO1X1226 (Ross Sea Climate and Ecosystems), and a University of Auckland Doctoral Scholarship to ZB. The authors gratefully acknowledge project governance of IPY2007-01 by the Ministry of Primary Industries Science Team and the Ocean Survey 20/20 CAML Advisory Group (Land Information New Zealand, Ministry of Primary Industries, Antarctica New Zealand, Ministry of Foreign Affairs and Trade, and National Institute of Water and Atmospheric Research). The funders had no role in study design, data compilation, analysis, decision to publish, or preparation of the manuscript.</t>
  </si>
  <si>
    <t>JUL 22</t>
  </si>
  <si>
    <t>e103195</t>
  </si>
  <si>
    <t>10.1371/journal.pone.0103195</t>
  </si>
  <si>
    <t>AM0QO</t>
  </si>
  <si>
    <t>WOS:000339551100096</t>
  </si>
  <si>
    <t>Wang, XM; Tseng, ZJ; Li, Q; Takeuchi, GT; Xie, GP</t>
  </si>
  <si>
    <t>Wang, Xiaoming; Tseng, Zhijie Jack; Li, Qiang; Takeuchi, Gary T.; Xie, Guangpu</t>
  </si>
  <si>
    <t>From 'third pole' to north pole: a Himalayan origin for the arctic fox</t>
  </si>
  <si>
    <t>PROCEEDINGS OF THE ROYAL SOCIETY B-BIOLOGICAL SCIENCES</t>
  </si>
  <si>
    <t>Himalaya; Tibet; arctic fox; Canidae; Pliocene; zoogeography</t>
  </si>
  <si>
    <t>PHYLOGENETIC SYSTEMATICS; ALOPEX-LAGOPUS; VULPES-VULPES; RED FOX; CARNIVORA; CANIDAE; MAMMALIA; TIBET; BIOSTRATIGRAPHY; SEQUENCE</t>
  </si>
  <si>
    <t>The 'third pole' of the world is a fitting metaphor for the Himalayan-Tibetan Plateau, in allusion to its vast frozen terrain, rivalling the Arctic and Antarctic, at high altitude but lowlatitude. Living Tibetan and arctic mammals share adaptations to freezing temperatures such as long and thick winter fur in arctic muskox and Tibetan yak, and for carnivorans, a more predatory niche. Here, we report, to our knowledge, the first evolutionary link between an Early Pliocene (3.60-5.08 Myr ago) fox, Vulpes qiuzhudingi new species, from the Himalaya (Zanda Basin) and Kunlun Mountain (Kunlun Pass Basin) and the modern arctic fox Vulpes lagopus in the polar region. A highly hypercarnivorous dentition of the new fox bears a striking resemblance to that of V. lagopus and substantially predates the previous oldest records of the arctic fox by 3-4 Myr. The low latitude, high-altitude Tibetan Plateau is separated from the nearest modern arctic fox geographical range by at least 2000 km. The apparent connection between an ancestral high-elevation species and its modern polar descendant is consistent with our 'Out-of-Tibet' hypothesis postulating that high-altitude Tibet was a training ground for cold-environment adaptations well before the start of the Ice Age.</t>
  </si>
  <si>
    <t>[Wang, Xiaoming; Tseng, Zhijie Jack; Li, Qiang] Nat Hist Museum Los Angeles Cty, Dept Vertebrate Paleontol, Los Angeles, CA 90007 USA; [Wang, Xiaoming; Li, Qiang] Chinese Acad Sci, Key Lab Vertebrate Evolut &amp; Human Origins, Inst Vertebrate Paleontol &amp; Paleoanthropol, Beijing 100044, Peoples R China; [Wang, Xiaoming] Nanjing Univ, Sch Earth Sci &amp; Engn, Nanjing 210046, Jiangsu, Peoples R China; [Wang, Xiaoming; Tseng, Zhijie Jack] Univ So Calif, Dept Biol Sci, Los Angeles, CA 90089 USA; [Wang, Xiaoming; Tseng, Zhijie Jack] Amer Museum Nat Hist, Div Paleontol, New York, NY 10024 USA; [Takeuchi, Gary T.] George C Page Museum, Los Angeles, CA 90036 USA; [Xie, Guangpu] Gansu Prov Museum, Lanzhou 730050, Gansu, Peoples R China</t>
  </si>
  <si>
    <t>Chinese Academy of Sciences; Institute of Vertebrate Paleontology &amp; Paleoanthropology, CAS; Nanjing University; University of Southern California; American Museum of Natural History (AMNH)</t>
  </si>
  <si>
    <t>Wang, XM (corresponding author), Nat Hist Museum Los Angeles Cty, Dept Vertebrate Paleontol, 900 Exposit Blvd, Los Angeles, CA 90007 USA.</t>
  </si>
  <si>
    <t>xwang@nhm.org</t>
  </si>
  <si>
    <t>Wang, Xiaoming/I-9033-2019; LI, Qiang/HLQ-6133-2023</t>
  </si>
  <si>
    <t>LI, Qiang/0000-0001-5568-2334; Wang, Xiaoming/0000-0003-1610-3840; Tseng, Jack/0000-0001-5335-4230</t>
  </si>
  <si>
    <t>Strategic Priority Research Program of the Chinese Academy of Science [XDB03020104]; Major Basic Research Projects of the Ministry of Science and Technology of China (973 Program) [2012CB21904]; CAS/SAFEA International Partnership Program for Creative Research Teams; Chinese National Natural Science Foundation [40702004, 40730210]; Chinese Academy of Science Outstanding Overseas Scholar Fund [KL205208]; National Science Foundation [EAR-0446699, 0444073, 0958704, 1227212]; National Geographic Society [W22-08]; Frick Postdoctoral Fellowship; Division Of Earth Sciences; Directorate For Geosciences [1227212, 0444073] Funding Source: National Science Foundation; Division Of Earth Sciences; Directorate For Geosciences [0958704] Funding Source: National Science Foundation</t>
  </si>
  <si>
    <t>Strategic Priority Research Program of the Chinese Academy of Science(Chinese Academy of Sciences); Major Basic Research Projects of the Ministry of Science and Technology of China (973 Program); CAS/SAFEA International Partnership Program for Creative Research Teams(Chinese Academy of Sciences); Chinese National Natural Science Foundation(National Natural Science Foundation of China (NSFC)); Chinese Academy of Science Outstanding Overseas Scholar Fund; National Science Foundation(National Science Foundation (NSF)); National Geographic Society(National Geographic Society); Frick Postdoctoral Fellowship; Division Of Earth Sciences; Directorate For Geosciences(National Science Foundation (NSF)NSF - Directorate for Geosciences (GEO)); Division Of Earth Sciences; Directorate For Geosciences(National Science Foundation (NSF)NSF - Directorate for Geosciences (GEO))</t>
  </si>
  <si>
    <t>Financial support is provided by the Strategic Priority Research Program of the Chinese Academy of Science (XDB03020104), Major Basic Research Projects of the Ministry of Science and Technology of China (973 Program, No. 2012CB21904), CAS/SAFEA International Partnership Program for Creative Research Teams, Chinese National Natural Science Foundation (no. 40702004 to Q.L., 40730210), Chinese Academy of Science Outstanding Overseas Scholar Fund (KL205208), National Science Foundation (US) (EAR-0446699, 0444073, 0958704, 1227212 to X.W.) and the National Geographic Society (no. W22-08 to Q.L.), and a Frick Postdoctoral Fellowship to Z.J.T.</t>
  </si>
  <si>
    <t>0962-8452</t>
  </si>
  <si>
    <t>1471-2954</t>
  </si>
  <si>
    <t>P ROY SOC B-BIOL SCI</t>
  </si>
  <si>
    <t>Proc. R. Soc. B-Biol. Sci.</t>
  </si>
  <si>
    <t>10.1098/rspb.2014.0893</t>
  </si>
  <si>
    <t>AK3PC</t>
  </si>
  <si>
    <t>WOS:000338335800030</t>
  </si>
  <si>
    <t>Trucchi, E; Gratton, P; Whittington, JD; Cristofari, R; Le Maho, Y; Stenseth, NC; Le Bohec, C</t>
  </si>
  <si>
    <t>Trucchi, Emiliano; Gratton, Paolo; Whittington, Jason D.; Cristofari, Robin; Le Maho, Yvon; Stenseth, Nils Chr; Le Bohec, Celine</t>
  </si>
  <si>
    <t>King penguin demography since the last glaciation inferred from genome-wide data</t>
  </si>
  <si>
    <t>Antarctica; coalescence; restriction site-associated DNA sequencing; Last Glacial Maximum; seabirds</t>
  </si>
  <si>
    <t>SOUTHERN-OCEAN; CLIMATE-CHANGE; DE-NOVO; SEA-ICE; POPULATION; IMPACTS; SUBSTITUTION; VARIABILITY; INDICATORS; DISCOVERY</t>
  </si>
  <si>
    <t>How natural climate cycles, such as past glacial/interglacial patterns, have shaped species distributions at the high-latitude regions of the Southern Hemisphere is still largely unclear. Here, we show how the post-glacial warming following the Last Glacial Maximum (ca 18 000 years ago), allowed the (re) colonization of the fragmented sub-Antarctic habitat by an upper-level marine predator, the king penguin Aptenodytes patagonicus. Using restriction site-associated DNA sequencing and standard mitochondrial data, we tested the behaviour of subsets of anonymous nuclear loci in inferring past demography through coalescent-based and allele frequency spectrum analyses. Our results show that the king penguin population breeding on Crozet archipelago steeply increased in size, closely following the Holocene warming recorded in the Epica Dome C ice core. The following population growth can be explained by a threshold model in which the ecological requirements of this species (year-round ice-free habitat for breeding and access to a major source of food such as the Antarctic Polar Front) were met on Crozet soon after the Pleistocene/Holocene climatic transition.</t>
  </si>
  <si>
    <t>[Trucchi, Emiliano; Whittington, Jason D.; Cristofari, Robin; Stenseth, Nils Chr; Le Bohec, Celine] Univ Oslo, Dept Biosci, Ctr Ecol &amp; Evolutionary Synth, N-0316 Oslo, Norway; [Gratton, Paolo] Univ Roma Tor Vergata, Dept Biol, I-00133 Rome, Italy; [Whittington, Jason D.; Cristofari, Robin; Le Maho, Yvon; Le Bohec, Celine] Univ Strasbourg, Inst Pluridisciplinaire Hubert Curien Physiol &amp; E, F-67087 Strasbourg 02, France; [Whittington, Jason D.; Cristofari, Robin; Le Maho, Yvon; Le Bohec, Celine] CNRS, UMR 7178, F-67087 Strasbourg 02, France; [Whittington, Jason D.; Cristofari, Robin; Le Maho, Yvon; Le Bohec, Celine] LIA 647 BioSensib, F-67087 Strasbourg 2, France; [Whittington, Jason D.; Cristofari, Robin; Le Bohec, Celine] Ctr Sci Monaco LIA 647 BioSensib, MC-98000 Monaco, Monaco</t>
  </si>
  <si>
    <t>University of Oslo; University of Rome Tor Vergata; Universites de Strasbourg Etablissements Associes; Universite de Strasbourg; Centre National de la Recherche Scientifique (CNRS)</t>
  </si>
  <si>
    <t>Trucchi, E (corresponding author), Univ Oslo, Dept Biosci, Ctr Ecol &amp; Evolutionary Synth, POB 1066, N-0316 Oslo, Norway.</t>
  </si>
  <si>
    <t>emiliano.trucchi@ibv.uio.no</t>
  </si>
  <si>
    <t>Whittington, Jason/JFL-0182-2023; LE BOHEC, CELINE/AAD-3589-2022; Cristofari, Robin/AAO-8097-2021; Stenseth, Nils Christian/G-5212-2016</t>
  </si>
  <si>
    <t>Stenseth, Nils Christian/0000-0002-1591-5399; Gratton, Paolo/0000-0001-8464-4062; LE BOHEC, Celine/0000-0003-0149-6477</t>
  </si>
  <si>
    <t>Institut Polaire Francais Paul-Emile Victor [137-ECOPHY]; Centre National de la Recherche Scientifique (Programme Zone Atelier de Recherches sur l'Environnement Antarctique et Subantarctique); Fondation de France/Fondation Ars Cuttoli; European Commission [235962, 252252]</t>
  </si>
  <si>
    <t>Institut Polaire Francais Paul-Emile Victor; Centre National de la Recherche Scientifique (Programme Zone Atelier de Recherches sur l'Environnement Antarctique et Subantarctique); Fondation de France/Fondation Ars Cuttoli; European Commission(European Union (EU)European Commission Joint Research Centre)</t>
  </si>
  <si>
    <t>This study was supported by the Institut Polaire Francais Paul-Emile Victor (Programme 137-ECOPHY), the Centre National de la Recherche Scientifique (Programme Zone Atelier de Recherches sur l'Environnement Antarctique et Subantarctique), the Fondation de France/Fondation Ars Cuttoli (to J.D.W.) and Marie Curie Intra European Fellowships (FP7-PEOPLE-IEF-2008, European Commission; project no. 235962 to C. L. B. and FP7-PEOPLE-IEF-2010, European Commission; project no. 252252 to E.T.).</t>
  </si>
  <si>
    <t>10.1098/rspb.2014.0528</t>
  </si>
  <si>
    <t>WOS:000338335800015</t>
  </si>
  <si>
    <t>Douglass, LL; Turner, J; Grantham, HS; Kaiser, S; Constable, A; Nicoll, R; Raymond, B; Post, A; Brandt, A; Beaver, D</t>
  </si>
  <si>
    <t>Douglass, Lucinda L.; Turner, Joel; Grantham, Hedley S.; Kaiser, Stefanie; Constable, Andrew; Nicoll, Rob; Raymond, Ben; Post, Alexandra; Brandt, Angelika; Beaver, Daniel</t>
  </si>
  <si>
    <t>A Hierarchical Classification of Benthic Biodiversity and Assessment of Protected Areas in the Southern Ocean</t>
  </si>
  <si>
    <t>ANTARCTIC POLAR FRONT; DEEP-WATER; PROMACHOCRINUS-KERGUELENSIS; CRYPTIC SPECIATION; LARVAL DISPERSAL; ATLANTIC SECTOR; MARINE; BIOGEOGRAPHY; SHELF; ICE</t>
  </si>
  <si>
    <t>An international effort is underway to establish a representative system of marine protected areas (MPAs) in the Southern Ocean to help provide for the long-term conservation of marine biodiversity in the region. Important to this undertaking is knowledge of the distribution of benthic assemblages. Here, our aim is to identify the areas where benthic marine assemblages are likely to differ from each other in the Southern Ocean including near-shore Antarctica. We achieve this by using a hierarchical spatial classification of ecoregions, bathomes and environmental types. Ecoregions are defined according to available data on biogeographic patterns and environmental drivers on dispersal. Bathomes are identified according to depth strata defined by species distributions. Environmental types are uniquely classified according to the geomorphic features found within the bathomes in each ecoregion. We identified 23 ecoregions and nine bathomes. From a set of 28 types of geomorphic features of the seabed, 562 unique environmental types were classified for the Southern Ocean. We applied the environmental types as surrogates of different assemblages of biodiversity to assess the representativeness of existing MPAs. We found that 12 ecoregions are not represented in MPAs and that no ecoregion has their full range of environmental types represented in MPAs. Current MPA planning processes, if implemented, will substantially increase the representation of environmental types particularly within 8 ecoregions. To meet internationally agreed conservation goals, additional MPAs will be needed. To assist with this process, we identified 107 spatially restricted environmental types, which should be considered for inclusion in future MPAs. Detailed supplementary data including a spatial dataset are provided.</t>
  </si>
  <si>
    <t>[Douglass, Lucinda L.; Grantham, Hedley S.; Beaver, Daniel] Univ Queensland, Sch Biol Sci, Ctr Biodivers &amp; Conservat Sci, Brisbane, Qld, Australia; [Douglass, Lucinda L.; Turner, Joel; Beaver, Daniel] Ctr Conservat Geog, Sydney, NSW, Australia; [Grantham, Hedley S.] Conservat Int, Betty &amp; Gordon Moore Ctr Sci &amp; Oceans, Arlington, VA USA; [Kaiser, Stefanie; Brandt, Angelika] Univ Hamburg, Bioctr Grindel &amp; Zool Museum, Hamburg, Germany; [Kaiser, Stefanie] German Ctr Marine Biodivers Res, Wilhelmshaven, Germany; [Constable, Andrew; Raymond, Ben] Australian Govt, Dept Environm, Australian Antarctic Div, Kingston, Tas, Australia; [Constable, Andrew; Raymond, Ben] Univ Tasmania, Antarctic Climate &amp; Ecosyst Cooperat Res Ctr, Hobart, Tas, Australia; [Nicoll, Rob] WWF Australia, Ultimo, NSW, Australia; [Post, Alexandra] Geosci Australia, Marine &amp; Coastal Environm Grp, Canberra, ACT, Australia</t>
  </si>
  <si>
    <t>University of Queensland; Conservation International; University of Hamburg; Australian Antarctic Division; Antarctic Climate &amp; Ecosystems Cooperative Research Centre (ACE CRC); University of Tasmania; World Wildlife Fund; Geoscience Australia</t>
  </si>
  <si>
    <t>Douglass, LL (corresponding author), Univ Queensland, Sch Biol Sci, Ctr Biodivers &amp; Conservat Sci, Brisbane, Qld, Australia.</t>
  </si>
  <si>
    <t>douglass.lucinda@gmail.com</t>
  </si>
  <si>
    <t>Brandt, Angelika/C-1630-2018</t>
  </si>
  <si>
    <t>Grantham, Hedley/0000-0002-8933-807X; Post, Alexandra/0000-0002-6287-3283; Kaiser, Stefanie/0000-0003-2026-4663</t>
  </si>
  <si>
    <t>WWF</t>
  </si>
  <si>
    <t>Research funding was provided by WWF (wwf.panda.org). The funders had no role in data collection and analysis or decision to publish the manuscript.</t>
  </si>
  <si>
    <t>JUL 17</t>
  </si>
  <si>
    <t>e100551</t>
  </si>
  <si>
    <t>10.1371/journal.pone.0100551</t>
  </si>
  <si>
    <t>AL8VR</t>
  </si>
  <si>
    <t>Green Submitted, Green Published, gold, Green Accepted</t>
  </si>
  <si>
    <t>WOS:000339418300009</t>
  </si>
  <si>
    <t>Loxton, J; Kuklinski, P; Barnes, DKA; Najorka, J; Jones, MS; Porter, JS</t>
  </si>
  <si>
    <t>Loxton, Jennifer; Kuklinski, Piotr; Barnes, David K. A.; Najorka, Jens; Jones, Mary Spencer; Porter, Joanne S.</t>
  </si>
  <si>
    <t>Variability of Mg-calcite in Antarctic bryozoan skeletons across spatial scales</t>
  </si>
  <si>
    <t>Antarctica; Bryozoans; Mineralogy; Mg-calcite; Paleo-temperature; Magnesium</t>
  </si>
  <si>
    <t>OCEAN ACIDIFICATION; CARBONATE MINERALOGY; MARGUERITE BAY; FORAMINIFERAL MG/CA; TEMPERATURE; MAGNESIUM; GROWTH; STRONTIUM; SEAWATER; SHELLS</t>
  </si>
  <si>
    <t>Bryozoans exhibit a highly variable chemistry within their calcium carbonate skeletons. Previous studies have shown that the level of Mg-calcite in skeletons increases with increasing seawater temperature. For high-latitude regions such as the Antarctic, which have a low range of annual sea-temperature variation, there have been no studies on bryozoan skeletons with replicated sampling approaches suitable for statistical testing. Our aim was to conduct high-replicate, multi-site sampling to determine the variability in skeletal mineralogy of bryozoans from a site in Antarctica. During an expedition in January 2012, a total of 584 specimens representing 4 bryozoan species were collected from 8 sites at Adelaide Island, West Antarctic Peninsula, by SCUBA diving. All specimens were sampled within a 3 wk period and were selected to be of similar size, age and breeding status. We compared the variability in the wt% MgCO3 in calcite of skeletons among species and investigated the relative influence of environmental and biological factors on skeleton chemistry. The results of X-ray diffraction analysis showed that the wt% MgCO3 in calcite in bryozoan skeletons was statistically different among sites for all study species. The difference in wt% MgCO3 among sites may be explained by habitat fragmentation driving directional adaptation of isolated populations to local environmental conditions. The relationship between Mg-calcite and temperature was inconsistent among species, and the predicted positive correlation between seawater temperature and Mg-calcite was not exhibited in any of the species examined. On this basis, we suggest that Antarctic bryozoan Mg-calcite should not be considered a reliable indicator of paleo-temperature.</t>
  </si>
  <si>
    <t>[Loxton, Jennifer; Porter, Joanne S.] Heriot Watt Univ, Sch Life Sci, Ctr Marine Biodivers &amp; Biotechnol, Edinburgh EH14 4AS, Midlothian, Scotland; [Loxton, Jennifer; Kuklinski, Piotr; Najorka, Jens; Jones, Mary Spencer; Porter, Joanne S.] Nat Hist Museum, London SW7 5BD, England; [Loxton, Jennifer] Univ Marine Biol Stn Millport, Isle Of Cumbrae KA28 0EG, Scotland; [Kuklinski, Piotr] Polish Acad Sci, Inst Oceanol, PL-81712 Sopot, Poland; [Barnes, David K. A.] British Antarctic Survey, NERC, Cambridge CB3 0ET, England</t>
  </si>
  <si>
    <t>Heriot Watt University; Natural History Museum London; University of London; Polish Academy of Sciences; Institute of Oceanology of the Polish Academy of Sciences; UK Research &amp; Innovation (UKRI); Natural Environment Research Council (NERC); NERC British Antarctic Survey</t>
  </si>
  <si>
    <t>Porter, JS (corresponding author), Heriot Watt Univ, Sch Life Sci, Ctr Marine Biodivers &amp; Biotechnol, Edinburgh EH14 4AS, Midlothian, Scotland.</t>
  </si>
  <si>
    <t>j.s.porter@hw.ac.uk</t>
  </si>
  <si>
    <t>; Porter, Joanne/B-8060-2011</t>
  </si>
  <si>
    <t>Kuklinski, Piotr/0000-0002-1507-215X; Porter, Joanne/0000-0002-5878-3912; Spencer Jones, Mary/0000-0002-9332-8325</t>
  </si>
  <si>
    <t>Marine Alliance for Science and Technology in Scotland (MASTS); Marine Environmental Research Group (MERG) at Heriot-Watt University; NERC; Heriot-Watt Alumni Fund; Catlin Group Limited; Polish Ministry of Science and Higher Education [606/MOB/2011/0]; NERC [bas0100025] Funding Source: UKRI; Natural Environment Research Council [bas0100025] Funding Source: researchfish</t>
  </si>
  <si>
    <t>Marine Alliance for Science and Technology in Scotland (MASTS); Marine Environmental Research Group (MERG) at Heriot-Watt University; NERC(UK Research &amp; Innovation (UKRI)Natural Environment Research Council (NERC)); Heriot-Watt Alumni Fund; Catlin Group Limited; 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t>
  </si>
  <si>
    <t>The authors thank the Marine Alliance for Science and Technology in Scotland (MASTS) and the Marine Environmental Research Group (MERG) at Heriot-Watt University for supporting and funding J.L.'s PhD and the NERC Collaborative Gearing Scheme, Heriot-Watt Alumni Fund and Catlin Group Limited for financing or sponsoring this project. P.K. thanks the programme 'Mobilnosc Plus' (606/MOB/2011/0) of the Polish Ministry of Science and Higher Education, which enabled completion of the study. Special thanks are extended to the staff at the British Antarctic Survey and Rothera Base for invaluable field support.</t>
  </si>
  <si>
    <t>10.3354/meps10826</t>
  </si>
  <si>
    <t>AO0EO</t>
  </si>
  <si>
    <t>WOS:000340982100013</t>
  </si>
  <si>
    <t>Fountoulakis, I; Bais, AF; Tourpali, K; Fragkos, K; Misios, S</t>
  </si>
  <si>
    <t>Fountoulakis, I.; Bais, A. F.; Tourpali, K.; Fragkos, K.; Misios, S.</t>
  </si>
  <si>
    <t>Projected changes in solar UV radiation in the Arctic and sub-Arctic Oceans: Effects from changes in reflectivity, ice transmittance, clouds, and ozone</t>
  </si>
  <si>
    <t>ANTARCTIC SEA-ICE; ULTRAVIOLET-RADIATION; THICKNESS DISTRIBUTION; GROUND MEASUREMENTS; OPTICAL-PROPERTIES; SURFACE ALBEDO; CLIMATE-CHANGE; IRRADIANCE; SNOW; VARIABILITY</t>
  </si>
  <si>
    <t>Ultraviolet-B (UV-B), UV-A, and erythemal solar irradiance over ocean-covered areas north of 55 degrees N are simulated for the past (1950-1960), present (2005-2015), and future (2090-2100) using a radiative transfer model. The simulations focus mainly on the effects of changes in ocean surface reflectivity, cloudiness, and stratospheric ozone. Based on projected changes in sea ice cover and thickness, changes in irradiance transmitted into the ocean are also derived. The input parameters of the radiative transfer model were obtained from four Coupled Model Intercomparison Project phase 5 Earth System Models driven by the emission scenarios Representative Concentration Pathway (RCP) 4.5 and RCP 8.5. Over a large fraction of the area under study, the overall effect from the projected changes in the factors considered is a reduction in the ultraviolet solar irradiance by the end of the 21st century relative to the levels in the 1950s. Increases were projected only for all skies during August for locations below 65 degrees N due to the projected decrease in cloudiness. The reduction in clear-sky UV-A irradiance (on average 4-7% depending on scenario and season) is entirely driven by the reduction in surface reflectivity, while the projected ozone recovery is responsible for a great portion of the reduction in clear-sky UV-B irradiance (10-18% on average). Under all skies, the changes in the monthly mean noontime erythemal irradiance range from +15% to -38%, depending on the location and season. Compared to the 1950s, up to 10 times higher levels of UV-B irradiance are projected to enter large parts of the Arctic Ocean by 2100, mainly because of the partial disappearance of sea ice.</t>
  </si>
  <si>
    <t>[Fountoulakis, I.; Bais, A. F.; Tourpali, K.; Fragkos, K.; Misios, S.] Aristotle Univ Thessaloniki, Lab Atmospher Phys, GR-54006 Thessaloniki, Greece</t>
  </si>
  <si>
    <t>Aristotle University of Thessaloniki</t>
  </si>
  <si>
    <t>Fountoulakis, I (corresponding author), Aristotle Univ Thessaloniki, Lab Atmospher Phys, GR-54006 Thessaloniki, Greece.</t>
  </si>
  <si>
    <t>iliasnf@auth.gr</t>
  </si>
  <si>
    <t>Tourpali, Kleareti/M-5269-2014; Bais, Alkiviadis F/D-2230-2009; Misios, Stergios/ABA-8997-2020; Fragkos, Konstantinos/Q-6885-2016; Fountoulakis, Ilias/S-7105-2019; Fountoulakis, Ilias/AAH-2261-2021; Fountoulakis, Ilias/HGD-3339-2022; Misios, Stergios/GPT-4347-2022</t>
  </si>
  <si>
    <t>Bais, Alkiviadis F/0000-0003-3899-2001; Misios, Stergios/0000-0003-1226-4719; Fragkos, Konstantinos/0000-0002-3009-2407; Misios, Stergios/0000-0003-1226-4719; Tourpali, Kleareti/0000-0003-4111-6176</t>
  </si>
  <si>
    <t>Scientific Computing Center at A.U. Th.</t>
  </si>
  <si>
    <t>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authors would also like to acknowledge the support provided by the Scientific Computing Center at A.U. Th. throughout the progress of this research work. We would also like to acknowledge G. Bernhard, V. Fioletov, and B. Johnsen for providing us the data from the four ground-based stations. Finally, we would like to thank the two anonymous reviewers for their detailed and constructive comments that helped substantially in improving this study. The data from the four ESMs, which participated in the CMIP5 activity, are available at the official Earth System Grid Federation portal: http://pcmdi9.llnl.gov/esgf-web-fe/. The data from MAC-v1 aerosol climatology are available at: ftpftp-projects.zmaw.de. The data from the four ground-based stations were provided by G. Bernhard, V. Fioletov, and B. Johnsen. All the remaining data used for the present study and not referred above can be made available after personal communication with the author of the present paper.</t>
  </si>
  <si>
    <t>JUL 16</t>
  </si>
  <si>
    <t>2014JD021918</t>
  </si>
  <si>
    <t>10.1002/2014JD021918</t>
  </si>
  <si>
    <t>AN2IK</t>
  </si>
  <si>
    <t>WOS:000340408000018</t>
  </si>
  <si>
    <t>Spence, P; Griffies, SM; England, MH; Hogg, AM; Saenko, OA; Jourdain, NC</t>
  </si>
  <si>
    <t>Spence, Paul; Griffies, Stephen M.; England, Matthew H.; Hogg, Andrew McC; Saenko, Oleg A.; Jourdain, Nicolas C.</t>
  </si>
  <si>
    <t>Rapid subsurface warming and circulation changes of Antarctic coastal waters by poleward shifting winds</t>
  </si>
  <si>
    <t>CIRCUMPOLAR DEEP-WATER; CLIMATE-CHANGE; ICE-SHEET; ANNULAR MODES; SLOPE FRONT; MEAN STATE; SHELF; SEA; SENSITIVITY; TRENDS</t>
  </si>
  <si>
    <t>The southern hemisphere westerly winds have been strengthening and shifting poleward since the 1950s. This wind trend is projected to persist under continued anthropogenic forcing, but the impact of the changing winds on Antarctic coastal heat distribution remains poorly understood. Here we show that a poleward wind shift at the latitudes of the Antarctic Peninsula can produce an intense warming of subsurface coastal waters that exceeds 2 degrees C at 200-700 m depth. The model simulated warming results from a rapid advective heat flux induced by weakened near-shore Ekman pumping and is associated with weakened coastal currents. This analysis shows that anthropogenically induced wind changes can dramatically increase the temperature of ocean water at ice sheet grounding lines and at the base of floating ice shelves around Antarctica, with potentially significant ramifications for global sea level rise.</t>
  </si>
  <si>
    <t>[Spence, Paul; England, Matthew H.] Univ New S Wales, ARC Ctr Excellence Climate Syst Sci, Sydney, NSW, Australia; [Spence, Paul; England, Matthew H.; Jourdain, Nicolas C.] Univ New S Wales, Climate Change Res Ctr, Sydney, NSW, Australia; [Griffies, Stephen M.] NOAA, Geophys Fluid Dynam Lab, Princeton, NJ USA; [Hogg, Andrew McC] Australian Natl Univ, ARC Ctr Excellence Climate Syst Sci, Canberra, ACT, Australia; [Hogg, Andrew McC] Australian Natl Univ, Res Sch Earth Sci, Canberra, ACT, Australia; [Saenko, Oleg A.] Environm Canada, Canadian Ctr Climate Modelling &amp; Anal, Victoria, BC, Canada; [Jourdain, Nicolas C.] Univ Grenoble, CNRS, Lab Glaciol &amp; Geophys Environm, Grenoble, France</t>
  </si>
  <si>
    <t>ARC Centre of Excellence for Climate System Science; University of New South Wales Sydney; University of New South Wales Sydney; National Oceanic Atmospheric Admin (NOAA) - USA; Australian National University; ARC Centre of Excellence for Climate System Science; Australian National University; Environment &amp; Climate Change Canada; Canadian Centre for Climate Modelling &amp; Analysis (CCCma); Centre National de la Recherche Scientifique (CNRS); Communaute Universite Grenoble Alpes; Universite Grenoble Alpes (UGA)</t>
  </si>
  <si>
    <t>Spence, P (corresponding author), Univ New S Wales, ARC Ctr Excellence Climate Syst Sci, Sydney, NSW, Australia.</t>
  </si>
  <si>
    <t>paul.spence@unsw.edu.au</t>
  </si>
  <si>
    <t>Hogg, Andy McC./A-7553-2011; Spence, Paul/IZE-7366-2023; England, Matthew/A-7539-2011; Griffies, Stephen Matthew/N-9144-2019; Hogg, Andy/AAZ-8733-2021; Jourdain, Nicolas/B-6899-2015</t>
  </si>
  <si>
    <t>Hogg, Andy McC./0000-0001-5898-7635; Spence, Paul/0000-0001-5156-2204; England, Matthew/0000-0001-9696-2930; Griffies, Stephen Matthew/0000-0002-3711-236X; Hogg, Andy/0000-0001-5898-7635; Jourdain, Nicolas/0000-0002-1372-2235</t>
  </si>
  <si>
    <t>Australian Research Council; Australian National Computing Infrastructure Facility</t>
  </si>
  <si>
    <t>Australian Research Council(Australian Research Council); Australian National Computing Infrastructure Facility</t>
  </si>
  <si>
    <t>This work was supported by the Australian Research Council and the Australian National Computing Infrastructure Facility. We sincerely thank GFDL for helping with GFDL-MOM025 developments. We thank Mike Winton, Chris Fogwill, Matthew Mazloff, Neil Swart, Bill Merryfield, Adele Morrison, Jianjun Yin, Carolina Dufour, and Ivy Frenger for helpful comments. The data for this paper are available at http://web.science.unsw.edu.au/similar to paulspence/pubs.html.</t>
  </si>
  <si>
    <t>10.1002/2014GL060613</t>
  </si>
  <si>
    <t>AN0SW</t>
  </si>
  <si>
    <t>WOS:000340295300026</t>
  </si>
  <si>
    <t>Aydin, M; Fudge, TJ; Verhulst, KR; Nicewonger, MR; Waddington, ED; Saltzman, ES</t>
  </si>
  <si>
    <t>Aydin, M.; Fudge, T. J.; Verhulst, K. R.; Nicewonger, M. R.; Waddington, E. D.; Saltzman, E. S.</t>
  </si>
  <si>
    <t>Carbonyl sulfide hydrolysis in Antarctic ice cores and an atmospheric history for the last 8000 years</t>
  </si>
  <si>
    <t>STRATOSPHERIC SULFATE AEROSOL; SCALE CLIMATE-CHANGE; SIPLE DOME; COS; EXCHANGE; PHOTOSYNTHESIS; VEGETATION; DISULFIDE; GREENLAND; ANHYDRASE</t>
  </si>
  <si>
    <t>Carbonyl sulfide (COS) was measured in Antarctic ice core samples from the Byrd, Siple Dome, Taylor Dome, and West Antarctic Ice Sheet Divide sites covering the last 8000 years of the Holocene. COS levels decrease downcore in most of these ice cores. The magnitude of the downcore trends varies among the different ice cores and is related to the thermal histories of the ice sheet at each site. We hypothesize that this is due to the temperature-dependent hydrolysis of COS that occurs in situ. We use a one-dimensional ice flow and heat flux model to infer temperature histories for the ice core samples from different sites and empirically determine the kinetic parameters for COS hydrolysis. We estimate e-folding lifetimes for COS hydrolysis ranging from 10(2) years to 10(6) years over a temperature range of 0 degrees C to - 50 degrees C. The reaction kinetics are used to estimate and correct for the in situ COS loss, allowing us to reconstruct paleoatmospheric COS trends during the mid-to-late Holocene. The results suggest a slow, long-term increase in atmospheric COS that may have started as early as 5000 years ago. Given that the largest term in the COS budget is uptake by terrestrial plants, this could indicate a decline in terrestrial productivity during the late Holocene.</t>
  </si>
  <si>
    <t>[Aydin, M.; Verhulst, K. R.; Nicewonger, M. R.; Saltzman, E. S.] Univ Calif Irvine, Dept Earth Syst Sci, Irvine, CA 92697 USA; [Fudge, T. J.; Waddington, E. D.] Univ Washington, Dept Earth &amp; Space Sci, Seattle, WA 98195 USA</t>
  </si>
  <si>
    <t>University of California System; University of California Irvine; University of Washington; University of Washington Seattle</t>
  </si>
  <si>
    <t>Aydin, M (corresponding author), Univ Calif Irvine, Dept Earth Syst Sci, Irvine, CA 92697 USA.</t>
  </si>
  <si>
    <t>maydin@uci.edu</t>
  </si>
  <si>
    <t>Fudge, Tyler/0000-0002-6818-7479; Nicewonger, Melinda/0000-0002-2624-3831</t>
  </si>
  <si>
    <t>NSF Division of Polar Programs [PLR-1043780, PLR-0636953, PLR-0839122, PLR-0944197]; NASA Earth and Space Science Fellowship; Directorate For Geosciences; Office of Polar Programs (OPP) [0944197] Funding Source: National Science Foundation; Office of Polar Programs (OPP); Directorate For Geosciences [0944348] Funding Source: National Science Foundation</t>
  </si>
  <si>
    <t>NSF Division of Polar Programs(National Science Foundation (NSF)NSF - Directorate for Geosciences (GEO)); NASA Earth and Space Science Fellowship; Directorate For Geosciences; Office of Polar Programs (OPP)(National Science Foundation (NSF)NSF - Directorate for Geosciences (GEO)); Office of Polar Programs (OPP); Directorate For Geosciences(National Science Foundation (NSF)NSF - Directorate for Geosciences (GEO))</t>
  </si>
  <si>
    <t>We thank Gary Clow for borehole temperature measurements at Taylor Dome and Siple Dome and Gary Clow and Kurt Cuffey for measurements at WAIS Divide. We thank the scientists, the drillers, and the support personnel that participated in the drilling of the Byrd, Siple Dome, Taylor Dome, and WAIS Divide ice cores. This work was supported by the NSF Division of Polar Programs grants PLR-1043780; PLR-0636953; PLR-0839122 for M. A., M.R.N., K. R. V., and E. S. S.; and PLR-0944197 for T.J.F. and E. D. W. T.J.F. also received support from the NASA Earth and Space Science Fellowship.</t>
  </si>
  <si>
    <t>2014JD021618</t>
  </si>
  <si>
    <t>10.1002/2014JD021618</t>
  </si>
  <si>
    <t>WOS:000340408000042</t>
  </si>
  <si>
    <t>Xu, D; Wang, YT; Fan, X; Wang, DS; Ye, NH; Zhang, XW; Mou, SL; Guan, Z; Zhuang, ZM</t>
  </si>
  <si>
    <t>Xu, Dong; Wang, Yitao; Fan, Xiao; Wang, Dongsheng; Ye, Naihao; Zhang, Xiaowen; Mou, Shanli; Guan, Zheng; Zhuang, Zhimeng</t>
  </si>
  <si>
    <t>Long-Term Experiment on Physiological Responses to Synergetic Effects of Ocean Acidification and Photoperiod in the Antarctic Sea Ice Algae Chlamydomonas sp ICE-L</t>
  </si>
  <si>
    <t>ENVIRONMENTAL SCIENCE &amp; TECHNOLOGY</t>
  </si>
  <si>
    <t>CLIMATE-CHANGE; ELEVATED CO2; TEMPERATURE; PHYTOPLANKTON; IMPACTS; LIGHT; PH; PRODUCTIVITY; CAPACITY; PROFILE</t>
  </si>
  <si>
    <t>Studies on ocean acidification have mostly been based on short-term experiments of low latitude with few investigations of the long-term influence on sea ice communities. Here, the combined effects of ocean acidification and photoperiod on the physiological response of the Antarctic sea ice microalgae Chlamydomonas sp. ICE-L were examined. There was a general increase in growth, PSII photosynthetic parameters, and N and P uptake in continuous light, compared to those exposed to regular dark and light cydes. Elevated pCO(2) showed no consistent effect on growth rate (p = 0.8) and N uptake (p = 0.38) during exponential phrase, depending on the photoperiod but had a positive effect on PSII photosynthetic capacity and P uptake. Continuous dark reduced growth, photosynthesis, and nutrient uptake. Moreover, intracellular lipid, mainly in the form of PUFA, was consumed at 80% and 63% in low and high pCO(2) in darkness. However, long-term culture under high pCO(2) gave a more significant inhibition of growth and F-v/F-m to high light stress. In summary, ocean acidification may have significant effects on Chlamydomonas sp. ICE-L survival in polar winter. The current study contributes to an understanding of how a sea ice algae-based community may respond to global climate change at high latitudes.</t>
  </si>
  <si>
    <t>[Xu, Dong; Fan, Xiao; Ye, Naihao; Zhang, Xiaowen; Mou, Shanli; Zhuang, Zhimeng] Chinese Acad Fishery Sci, Yellow Sea Fisheries Res Inst, Qingdao 266071, Peoples R China; [Wang, Yitao; Wang, Dongsheng] Qingdao Agr Univ, Coll Marine Sci &amp; Engn, Qingdao 266109, Peoples R China; [Guan, Zheng] Shanghai Ocean Univ, Coll Fisheries &amp; Life Sci, Shanghai 201306, Peoples R China</t>
  </si>
  <si>
    <t>Chinese Academy of Fishery Sciences; Yellow Sea Fisheries Research Institute, CAFS; Qingdao Agricultural University; Shanghai Ocean University</t>
  </si>
  <si>
    <t>Ye, NH (corresponding author), Chinese Acad Fishery Sci, Yellow Sea Fisheries Res Inst, Qingdao 266071, Peoples R China.</t>
  </si>
  <si>
    <t>yenh@ysfri.ac.cn</t>
  </si>
  <si>
    <t>Liu, Yifan/S-6217-2017</t>
  </si>
  <si>
    <t>National Natural Science Foundation of China [41306179, 41176153, 31200187]; Special Scientific Research Funds for Central Nonprofit Institutes; Yellow Sea Fisheries Research Institutes [20603022012004]; Science and Technology Commission of Qingdao Shinan District [2012-5-008-SW]; Shandong Key Laboratory of Marine Ecological Restoration; Shandong Marine Fisheries Research Institute Grant [201213]; Shandong Science and Technology plan project [2011GHY11528]; Hi-Tech Research and Development Program (863) of China [2012AA052103]; Qingdao Municipal Science and Technology plan project [12-6-1-3-hy]</t>
  </si>
  <si>
    <t>National Natural Science Foundation of China(National Natural Science Foundation of China (NSFC)); Special Scientific Research Funds for Central Nonprofit Institutes; Yellow Sea Fisheries Research Institutes; Science and Technology Commission of Qingdao Shinan District; Shandong Key Laboratory of Marine Ecological Restoration; Shandong Marine Fisheries Research Institute Grant; Shandong Science and Technology plan project; Hi-Tech Research and Development Program (863) of China(National High Technology Research and Development Program of China); Qingdao Municipal Science and Technology plan project</t>
  </si>
  <si>
    <t>This work was supported by National Natural Science Foundation of China (41306179), Special Scientific Research Funds for Central Nonprofit Institutes, Yellow Sea Fisheries Research Institutes (20603022012004), a project from Science and Technology Commission of Qingdao Shinan District (2012-5-008-SW), Shandong Key Laboratory of Marine Ecological Restoration, Shandong Marine Fisheries Research Institute Grant (201213), Shandong Science and Technology plan project (2011GHY11528), the Hi-Tech Research and Development Program (863) of China (2012AA052103), National Natural Science Foundation of China (41176153, 31200187), and Qingdao Municipal Science and Technology plan project (12-6-1-3-hy).</t>
  </si>
  <si>
    <t>AMER CHEMICAL SOC</t>
  </si>
  <si>
    <t>1155 16TH ST, NW, WASHINGTON, DC 20036 USA</t>
  </si>
  <si>
    <t>0013-936X</t>
  </si>
  <si>
    <t>1520-5851</t>
  </si>
  <si>
    <t>ENVIRON SCI TECHNOL</t>
  </si>
  <si>
    <t>Environ. Sci. Technol.</t>
  </si>
  <si>
    <t>JUL 15</t>
  </si>
  <si>
    <t>10.1021/es404866z</t>
  </si>
  <si>
    <t>Engineering, Environmental; Environmental Sciences</t>
  </si>
  <si>
    <t>Engineering; Environmental Sciences &amp; Ecology</t>
  </si>
  <si>
    <t>AL6FH</t>
  </si>
  <si>
    <t>WOS:000339227500010</t>
  </si>
  <si>
    <t>Garenne, A; Beck, P; Montes-Hernandez, G; Chiriac, R; Toche, F; Quirico, E; Bonal, L; Schmitt, B</t>
  </si>
  <si>
    <t>Garenne, A.; Beck, P.; Montes-Hernandez, G.; Chiriac, R.; Toche, F.; Quirico, E.; Bonal, L.; Schmitt, B.</t>
  </si>
  <si>
    <t>The abundance and stability of water in type 1 and 2 carbonaceous chondrites (CI, CM and CR)</t>
  </si>
  <si>
    <t>X-RAY-DIFFRACTION; AQUEOUS ALTERATION; THERMAL METAMORPHISM; SILICATE GRAINS; MODAL MINERALOGY; MU-M; MATRIX; ORIGIN; METEORITES; ASTEROIDS</t>
  </si>
  <si>
    <t>Carbonaceous chondrites record processes of aqueous alteration in the presence of hydrated and hydroxylated minerals, which could have provided a source of water in the inner solar system (Alexander et al., 2012, 2013). In this study, thermogravimetric analysis (TGA) was performed on 26 CM chondrites, which cover a range of degree of aqueous alteration from 2.0, such as Meteorite Hills (MET) 01070, to 2.6, such as Queen Alexandra Range (QUE) 97990, in order to quantify their water content. In addition, by measuring the release of volatile elements as a function of temperature, we obtained information on the mineralogy of water-bearing phases and provide indicators of aqueous alteration based on water released by phyllosilicates. These analyses are combined with infrared spectroscopy (IR) made on meteorite pellets heated up to 300 degrees C. The infrared features (-OH band at 3-mu m and SiO4 around 10-mu m) revealed a correlation with TGA. The two techniques are in agreement with the scheme of aqueous alteration proposed by Rubin et al. (2007) and Alexander et al. (2013) based on phyllosilicate abundance. The low temperature (200-400 degrees C) mass loss observed in TGA is attributed to Fe-oxy-hydroxydes (ferrihydrite, goethite). However, the proportion of these minerals formed by terrestrial alteration remains unknown. TGA also revealed two anomalous CM chondrites, Pecora Escarpment (PCA) 02012 and PCA 02010. Their TGA curves are significantly different from those of regular CMs with little mass loss, which can be related to the dehydration history of these meteorites in response to a heating event (Raman measurements also point toward a thermal event, Quirico et al., 2013). In the case of more mildly heated chondrites, such as with Wisconsin Range (WIS) 91600, the TGA curve presents similar mass loss to the other CMs. Seven bulk measurements of CR chondrites and 3 measurements of matrix-enriched parts of CR meteorites were also studied by TGA, and confirm the low hydration level of chondrules and a significant alteration of the matrix. The water content of the matrix of the CM 2.6 QUE 97990 was estimated and compared to TGA of the matrix enriched portion of the CR2 EET 92159 and that of Orgueil. Results suggest a similar aqueous alteration degree between Orgueil and the matrix of CMs (around 25 wt.%) and a lower alteration of the CR2 matrix (11 wt.% of H2O). (C) 2014 Elsevier Ltd. All rights reserved.</t>
  </si>
  <si>
    <t>[Garenne, A.; Beck, P.; Quirico, E.; Bonal, L.; Schmitt, B.] Univ Grenoble Alpes, IPAG, F-38000 Grenoble, France; [Garenne, A.; Beck, P.; Quirico, E.; Bonal, L.; Schmitt, B.] CNRS, IPAG, F-38000 Grenoble, France; [Montes-Hernandez, G.] Univ Grenoble Alpes, ISTerre, F-38000 Grenoble, France; [Montes-Hernandez, G.] CNRS, ISTerre, F-38000 Grenoble, France; [Montes-Hernandez, G.] IRD, ISTerre, F-38000 Grenoble, France; [Montes-Hernandez, G.] IFSTTAR, ISTerre, F-38000 Grenoble, France; [Chiriac, R.; Toche, F.] Univ Lyon 1, Lab Multimat &amp; Interfaces UMR CNRS 5615, F-69622 Villeurbanne, France</t>
  </si>
  <si>
    <t>Institut de Planetologie et d'Astrophysique de Grenoble (IPAG); Communaute Universite Grenoble Alpes; Universite Grenoble Alpes (UGA); Centre National de la Recherche Scientifique (CNRS); Institut de Planetologie et d'Astrophysique de Grenoble (IPAG);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Communaute Universite Grenoble Alpes; Universite Grenoble Alpes (UGA); Centre National de la Recherche Scientifique (CNRS); Institut de Recherche pour le Developpement (IRD); Universite Gustave-Eiffel; Universite Savoie Mont Blanc; Universite Claude Bernard Lyon 1</t>
  </si>
  <si>
    <t>Garenne, A (corresponding author), Univ Grenoble Alpes, IPAG, F-38000 Grenoble, France.</t>
  </si>
  <si>
    <t>alexandre.garenne@obs.ujf-grenoble.fr</t>
  </si>
  <si>
    <t>Montes-Hernandez, German/C-5570-2009; Beck, Pierre/F-3149-2011; quirico, eric/K-9650-2013; Schmitt, Bernard/A-1064-2009</t>
  </si>
  <si>
    <t>quirico, eric/0000-0003-2768-0694; Schmitt, Bernard/0000-0002-1230-6627; BONAL, Lydie/0000-0002-0655-4034</t>
  </si>
  <si>
    <t>CNES; Agence Nationale de la Recherche [ANR-10-JCJC-0505-01]; Agence Nationale de la Recherche (ANR) [ANR-10-JCJC-0505] Funding Source: Agence Nationale de la Recherche (ANR)</t>
  </si>
  <si>
    <t>CNES(Centre National D'etudes Spatiales); Agence Nationale de la Recherche(Agence Nationale de la Recherche (ANR)); Agence Nationale de la Recherche (ANR)(Agence Nationale de la Recherche (ANR))</t>
  </si>
  <si>
    <t>The Meteorite Working Group and the Antarctic Meteorite Research Program are acknowledged for providing the samples. Funding and support from CNES, the Programme National de Planetologie as well as Grant ANR-10-JCJC-0505-01 from the Agence Nationale de la Recherche are acknowledged. We are very grateful to Ashley King, Alan Rubin, an anonymous reviewer and Sara Russell, the associate editor for their extensive work that greatly benefited to this manuscript.</t>
  </si>
  <si>
    <t>10.1016/j.gca.2014.03.034</t>
  </si>
  <si>
    <t>AK4WD</t>
  </si>
  <si>
    <t>WOS:000338424000007</t>
  </si>
  <si>
    <t>Winsley, TJ; Snape, I; McKinlay, J; Stark, J; van Dorst, JM; Ji, M; Ferrari, BC; Siciliano, SD</t>
  </si>
  <si>
    <t>Winsley, Tristrom J.; Snape, Ian; McKinlay, John; Stark, Jonny; van Dorst, Josie M.; Ji, Mukan; Ferrari, Belinda C.; Siciliano, Steven D.</t>
  </si>
  <si>
    <t>The ecological controls on the prevalence of candidate division TM7 in polar regions</t>
  </si>
  <si>
    <t>candidate pylum TM7; soil bacteria; Arctic; Antarctic; siderophores; bacterial culturing</t>
  </si>
  <si>
    <t>SUBSTRATE MEMBRANE SYSTEM; UNCULTURED SOIL BACTERIA; RIBOSOMAL-RNA GENES; MICROBIAL COMMUNITY; DIVERSITY; DISEASE; MICROORGANISMS; ABUNDANCE; TAXONOMY; REMOVAL</t>
  </si>
  <si>
    <t>The candidate division TM7 is ubiquitous and yet uncultured phylum of the Bacteria that encompasses a commonly environmental associated clade, TM7-1, and a host-associated clade, TM7-3. However, as members of the TM7 phylum have not been cultured, little is known about what differs between these two clades. We hypothesized that these clades would have different environmental niches. To test this, we used a large-scale global soil dataset, encompassing 223 soil samples, their environmental parameters and associated bacterial 16S rRNA gene sequence data. We correlated chemical, physical and biological parameters of each soil with the relative abundance of the two major classes of the phylum to deduce factors that influence the groups' seemingly ubiquitous nature. The two classes of the phylum (TM7-1 and TM7-3) were indeed distinct from each other in their habitat requirements. A key determinant of each class' prevalence appears to be the pH of the soil. The class TM7-1 displays a facultative anaerobic nature with correlations to more acidic soils with total iron, silicon, titanium and copper indicating a potential for siderophore production. However, the TM7-3 class shows a more classical oligotrophic, heterotroph nature with a preference for more alkaline soils, and a probable pathogenic role with correlations to extractable iron, sodium and phosphate. In addition, the TM7-3 was abundant in diesel contaminated soils highlighting a resilient nature along with a possible carbon source. In addition to this both classes had unique co-occurrence relationships with other bacterial phyla. In particular, both groups had opposing correlations to the Gemmatimonadetes phylum, with the TM7-3 class seemingly being outcompeted by this phylum to result in a negative correlation. These ecological controls allow the characteristics of a TM7 phylum preferred niche to be defined and give insight into possible avenues for cultivation of this previously uncultured group.</t>
  </si>
  <si>
    <t>[Winsley, Tristrom J.; Snape, Ian; McKinlay, John; Stark, Jonny] Australian Antarctic Div, Dept Environm, Kingston, Tas 7050, Australia; [Winsley, Tristrom J.; Siciliano, Steven D.] Univ Saskatchewan, Dept Soil Sci, Saskatoon, SK S7N 0W0, Canada; [van Dorst, Josie M.; Ji, Mukan; Ferrari, Belinda C.] Univ New S Wales, Fac Sci, Sch Biotechnol &amp; Biomol Sci, Kensington, NSW 2033, Australia</t>
  </si>
  <si>
    <t>Australian Antarctic Division; University of Saskatchewan; University of New South Wales Sydney</t>
  </si>
  <si>
    <t>Winsley, TJ (corresponding author), Australian Antarctic Div, Dept Environm, 203 Channel Highway, Kingston, Tas 7050, Australia.</t>
  </si>
  <si>
    <t>tristrom.winsley@aad.gov.au</t>
  </si>
  <si>
    <t>Siciliano, Steven D/G-3370-2011; Stark, Jonathan/ABF-4025-2020; Ferrari, Belinda/AAI-3022-2020; Ji, Mukan/AAI-5743-2020</t>
  </si>
  <si>
    <t>Stark, Jonathan/0000-0002-4268-8072; Ferrari, Belinda/0000-0001-5043-3726; Siciliano, Steven/0000-0002-8994-3341; McKinlay, John/0000-0003-4858-2604; van Dorst, Josie/0000-0002-9353-8787; Ji, Mukan/0000-0001-8139-2875</t>
  </si>
  <si>
    <t>10.3389/fmicb.2014.00345</t>
  </si>
  <si>
    <t>AL3WM</t>
  </si>
  <si>
    <t>WOS:000339061900001</t>
  </si>
  <si>
    <t>Aquilina, A; Homoky, WB; Hawkes, JA; Lyons, TW; Mills, RA</t>
  </si>
  <si>
    <t>Aquilina, Alfred; Homoky, William B.; Hawkes, Jeffrey A.; Lyons, Timothy W.; Mills, Rachel A.</t>
  </si>
  <si>
    <t>Hydrothermal sediments are a source of water column Fe and Mn in the Bransfield Strait, Antarctica</t>
  </si>
  <si>
    <t>DISSOLVED IRON; PACIFIC-OCEAN; CONTINENTAL-SHELF; DRAKE PASSAGE; BENTHIC FLUX; TRACE-METAL; MANGANESE; DEEP; SEA; SULFIDE</t>
  </si>
  <si>
    <t>Short sediment cores were collected from similar to 1100 m water depth at the top of Hook Ridge, a submarine volcanic edifice in the Central Basin of the Bransfield Strait, Antarctica, to assess Fe and Mn supply to the water column. Low-temperature hydrothermal fluids advect through these sediments and, in places, subsurface H2S is present at high enough concentrations to support abundant Sclerolinum sp., an infaunal tubeworm that hosts symbiotic thiotrophic bacteria. The water column is fully oxic, and oxygen penetration depths at all sites are 2-5 cmbsf. Pore water Fe and Mn content is high within the subsurface ferruginous zone (max. 565 mu mol Fe L-1, &gt;3-7 cmbsf)-14-18 times higher than values measured at a nearby, background site of equivalent water depth. Diffusion and advection of pore waters supply significant Fe and Mn to the surface sediment. Sequential extraction of the sediment demonstrates that there is a significant enrichment in a suite of reactive, authigenic Fe minerals in the upper 0-5 cm of sediment at one site characterised by weathered crusts at the seafloor. At a site with only minor authigenic mineral surface enrichment we infer that leakage of pore water Fe and Mn from the sediment leads to enriched total dissolvable Fe and Mn in bottom waters. An Eh sensor mounted on a towed package mapped a distinct Eh signature above this coring site which is dispersed over several km at the depth of Hook Ridge. We hypothesise that the main mechanism for Fe and Mn efflux from the sediment is breach of the surface oxic layer by the abundant Sclerolinum sp., along with episodic enhancements by physical mixing and resuspension of sediment in this dynamic volcanic environment. We propose that Hook Ridge sediments are an important source of Fe and Mn to the deep waters of the Central Basin in the Bransfield Strait, where concentrations are sustained by the benthic flux, and Fe is stabilised in the water column as either colloidal phases or ligand-bound dissolved species. Entrainment of this water mass into the Drake Passage and thereby the Antarctic Circumpolar Current could provide a significant metal source to this HNLC region of the Southern Ocean if mixing and upwelling occurs before removal of this metal pool to underlying sediments. Sediment-covered volcanic ridges are common within rifted margins and may play a previously overlooked role in the global Fe cycle. (C) 2014 Elsevier Ltd. All rights reserved.</t>
  </si>
  <si>
    <t>[Aquilina, Alfred; Homoky, William B.; Hawkes, Jeffrey A.; Mills, Rachel A.] Univ Southampton, Natl Oceanog Ctr Southampton, Southampton SO14 3ZH, Hants, England; [Homoky, William B.] Univ Oxford, Dept Earth Sci, Oxford OX1 3AN, England; [Hawkes, Jeffrey A.] Carl von Ossietzky Univ Oldenburg, Inst Chem &amp; Biol Marine Environm, D-26111 Oldenburg, Germany; [Lyons, Timothy W.] Univ Calif Riverside, Dept Earth Sci, Riverside, CA 92521 USA</t>
  </si>
  <si>
    <t>NERC National Oceanography Centre; University of Southampton; University of Oxford; Carl von Ossietzky Universitat Oldenburg; University of California System; University of California Riverside</t>
  </si>
  <si>
    <t>Mills, RA (corresponding author), Univ Southampton, Natl Oceanog Ctr Southampton, Southampton SO14 3ZH, Hants, England.</t>
  </si>
  <si>
    <t>Rachel.mills@soton.ac.uk</t>
  </si>
  <si>
    <t>Homoky, Will/JCE-2062-2023; Homoky, Will/HNS-8005-2023; Mills, Rachel/A-1150-2011</t>
  </si>
  <si>
    <t>Mills, Rachel/0000-0002-9811-246X; Homoky, William/0000-0002-9562-8591</t>
  </si>
  <si>
    <t>NERC ChEsSo consortium (NERC) [NE/DO1249X/1]; NERC [NE/H004394/1]; U.S. National Science Foundation; Natural Environment Research Council [NE/D01249X/1, NE/K009532/1, NE/D010470/2, NE/H004394/1] Funding Source: researchfish; NERC [NE/D010470/2, NE/D01249X/1, NE/H004394/1, NE/K009532/1] Funding Source: UKRI; Directorate For Geosciences [1234778] Funding Source: National Science Foundation; Division Of Ocean Sciences [1234778] Funding Source: National Science Foundation</t>
  </si>
  <si>
    <t>NERC ChEsSo consortium (NERC); NERC(UK Research &amp; Innovation (UKRI)Natural Environment Research Council (NERC)); U.S. National Science Foundation(National Science Foundation (NSF)); Natural Environment Research Council(UK Research &amp; Innovation (UKRI)Natural Environment Research Council (NERC)); NERC(UK Research &amp; Innovation (UKRI)Natural Environment Research Council (NERC)); Directorate For Geosciences(National Science Foundation (NSF)NSF - Directorate for Geosciences (GEO)); Division Of Ocean Sciences(National Science Foundation (NSF)NSF - Directorate for Geosciences (GEO))</t>
  </si>
  <si>
    <t>The authors would like to thank the officers, technicians and crew aboard the RRS James Cook for supporting the sampling in the Bransfield Strait, and the staff of the UK National Marine Facilities at NOC for logistic and shipboard support. We thank Ko-ichi Nakamura from the National Institute of Advanced Industrial Science and Technology, Tsukuba, Japan for the loan of the Eh sensor for this work. Laura Hepburn and Darryl Green provided invaluable analytical support at sea and in the laboratory. Veerle Huvenne and Leigh Marsh generated Fig. 1. This expedition was funded by the NERC ChEsSo consortium (NERC Grant NE/DO1249X/1). W.B.H. was funded by NERC Grant NE/H004394/1. T.W.L received support from the U.S. National Science Foundation.</t>
  </si>
  <si>
    <t>10.1016/j.gca.2014.04.003</t>
  </si>
  <si>
    <t>WOS:000338424000005</t>
  </si>
  <si>
    <t>Burn-Nunes, L; Vallelonga, P; Lee, K; Hong, S; Burton, G; Hou, SG; Moy, A; Edwards, R; Loss, R; Rosman, K</t>
  </si>
  <si>
    <t>Burn-Nunes, Laurie; Vallelonga, Paul; Lee, Khanghyun; Hong, Sungmin; Burton, Graeme; Hou, Shugui; Moy, Andrew; Edwards, Ross; Loss, Robert; Rosman, Kevin</t>
  </si>
  <si>
    <t>Seasonal variations in the sources of natural and anthropogenic lead deposited at the East Rongbuk Glacier in the high-altitude Himalayas</t>
  </si>
  <si>
    <t>SCIENCE OF THE TOTAL ENVIRONMENT</t>
  </si>
  <si>
    <t>Lead isotope; Ice core; Snow; Dust; Pollution; Northern Hemisphere</t>
  </si>
  <si>
    <t>ISOTOPIC SOURCE SIGNATURES; MT. QOMOLANGMA EVEREST; ICE CORE; ELEMENTAL COMPOSITION; ATMOSPHERIC LEAD; TIBETAN PLATEAU; GREENLAND ICE; PB; SNOW; RATIOS</t>
  </si>
  <si>
    <t>Lead (Pb) isotopic compositions and concentrations, and barium (Ba) and indium (In) concentrations have been analysed at sub-annual resolution in three sections from a &lt;110 m ice core dated to the 18th and 20th centuries, as well as snow pit samples dated to 2004/2005, recovered from the East Rongbuk Glacier in the high-altitude Himalayas. Ice core sections indicate that atmospheric chemistry prior to similar to 1953 was controlled by mineral dust inputs, with no discernible volcanic or anthropogenic contributions. Eighteenth century monsoon ice core chemistry is indicative of dominant contributions from local Himalayan sources; non-monsoon ice core chemistry is linked to contributions from local (Himalayan), regional (Indian/filar Desert) and long-range (North Africa, Central Asia) sources. Twentieth century monsoon and non-monsoon ice core data demonstrate similar seasonal sources of mineral dust, however with a transition to less-radiogenic isotopic signatures that suggests local and regional climate/environmental change. The snow pit record demonstrates natural and anthropogenic contributions during both seasons, with increased anthropogenic influence during non-monsoon times. Monsoon anthropogenic inputs are most likely sourced to South/South-East Asia and/or India, whereas non-monsoon anthropogenic inputs are most likely sourced to India and Central Asia. (C) 2014 Elsevier B.V. All rights reserved.</t>
  </si>
  <si>
    <t>[Burn-Nunes, Laurie; Burton, Graeme; Edwards, Ross; Loss, Robert; Rosman, Kevin] Curtin Univ, Dept Imaging &amp; Appl Phys, Perth, WA 6845, Australia; [Vallelonga, Paul] Univ Copenhagen, Niels Bohr Inst, Ctr Ice &amp; Climate, DK-2100 Copenhagen O, Denmark; [Lee, Khanghyun] Natl Inst Environm Res, Environm Measurement &amp; Anal Ctr, Inchon 404170, South Korea; [Hong, Sungmin] Inha Univ, Dept Ocean Sci, Inchon 402751, South Korea; [Hou, Shugui] Nanjing Univ, Sch Geog &amp; Oceanog Sci, Minist Educ, Key Lab Coast &amp; Isl Dev, Nanjing 210093, Jiangsu, Peoples R China; [Moy, Andrew] Australian Antarctic Div, Dept Environm, Kingston, Tas 7050, Australia; [Moy, Andrew] Univ Tasmania, Antarctic Climate &amp; Ecosyst Cooperat Res Ctr, Hobart, Tas 7001, Australia</t>
  </si>
  <si>
    <t>Curtin University; University of Copenhagen; Niels Bohr Institute; National Institute of Environmental Research (NIER), Republic of Korea; Inha University; Nanjing University; Australian Antarctic Division; Antarctic Climate &amp; Ecosystems Cooperative Research Centre (ACE CRC); University of Tasmania</t>
  </si>
  <si>
    <t>Burn-Nunes, L (corresponding author), Curtin Univ, Dept Imaging &amp; Appl Phys, GPO Box U 1987, Perth, WA 6845, Australia.</t>
  </si>
  <si>
    <t>L.Nunes@curtin.edu.au</t>
  </si>
  <si>
    <t>Hou, Shugui/J-3651-2015; Vallelonga, Paul/I-9650-2016; Edwards, Ross/B-1433-2013</t>
  </si>
  <si>
    <t>Vallelonga, Paul/0000-0003-1055-7235; Hou, Shugui/0000-0002-0905-3542; Moy, Andrew/0000-0002-7664-9960; Edwards, Ross/0000-0002-9233-8775</t>
  </si>
  <si>
    <t>0048-9697</t>
  </si>
  <si>
    <t>1879-1026</t>
  </si>
  <si>
    <t>SCI TOTAL ENVIRON</t>
  </si>
  <si>
    <t>Sci. Total Environ.</t>
  </si>
  <si>
    <t>10.1016/j.scitotenv.2014.03.120</t>
  </si>
  <si>
    <t>AI9NK</t>
  </si>
  <si>
    <t>WOS:000337259100045</t>
  </si>
  <si>
    <t>Kanao, M; Suvorov, VD; Yamashita, M; Mishenkin, B</t>
  </si>
  <si>
    <t>Kanao, Masaki; Suvorov, Vladimir D.; Yamashita, Mikiya; Mishenkin, Boris</t>
  </si>
  <si>
    <t>Crustal structure and tectonic evolution of Enderby Land, East Antarctica, as revealed by deep seismic surveys</t>
  </si>
  <si>
    <t>Deep seismic surveys; Crustal structure; Tectonic evolution; East Antarctica; Enderby Land; Gondwana supercontinent</t>
  </si>
  <si>
    <t>UPPER-MANTLE STRUCTURE; LUTZOW-HOLM BAY; ICE-SHEET; GONDWANA; CANADA; LITHOSPHERE; MOUNTAINS; ANOMALIES; PLATEAU; COMPLEX</t>
  </si>
  <si>
    <t>Subsurface crustal structures of the metamorphic terrains in Enderby Land, East Antarctica, were obtained on the basis of data from deep seismic surveys along with connecting reliable tectonic models. The lithospheric structure of the early-Paleozoic Lutzow-Holm Complex (LHC) at the western side of Enderby Land was delineated by inland dipping velocity models and lower crustal reflectivity by the Japanese Antarctic Research Expedition. The seismic profiles across the Prince Charles Mountains (PCM) and Princess Elizabeth Land (PEL) by the Soviet Antarctic Expedition demonstrated the graben structure beneath the Amery Ice Shelf. The Lambert graben and the underlying rift structure in the central part of the profile appeared to be associated with the Cretaceous breakup. Tectonic evolution of the wider area in Enderby land is discussed by combining the coastal structure with that toward the inland plateau of the Gambursev Subglacial Mountains (GSM), with geological aspects concerning the amalgamation and separation of the Gondwana supercontinent. (C) 2014 Elsevier B.V. All rights reserved.</t>
  </si>
  <si>
    <t>[Kanao, Masaki] Natl Inst Polar Res, Res Org Informat &amp; Syst, Tokyo 1908518, Japan; [Suvorov, Vladimir D.; Mishenkin, Boris] Russian Acad Sci, Trofimuk Inst Petr Geol, Geophys Siberian Branch, Novosibirsk 630090, Russia; [Yamashita, Mikiya] Japan Agcy Marine Earth Sci &amp; Technol, Inst Res Earth Evolut, Kanazawa Ku, Yokohama, Kanagawa 2360001, Japan</t>
  </si>
  <si>
    <t>Research Organization of Information &amp; Systems (ROIS); National Institute of Polar Research (NIPR) - Japan; Russian Academy of Sciences; Trofimuk Institute of Petroleum Geology &amp; Geophysics; Japan Agency for Marine-Earth Science &amp; Technology (JAMSTEC)</t>
  </si>
  <si>
    <t>Kanao, M (corresponding author), Natl Inst Polar Res, Res Org Informat &amp; Syst, 10-3 Midori cho,Tachikawa shi, Tokyo 1908518, Japan.</t>
  </si>
  <si>
    <t>kanao@nipr.ac.jp; SuvorovVD@ipgg.nsc.ru; mikiya@jamstec.go.jp; MishenkinBP@ipgg.nsc.ru</t>
  </si>
  <si>
    <t>Yamashita, Mikiya/AAD-7647-2020</t>
  </si>
  <si>
    <t>Grants-in-Aid for Scientific Research [26241010] Funding Source: KAKEN</t>
  </si>
  <si>
    <t>JUL 13</t>
  </si>
  <si>
    <t>10.1016/j.tecto.2014.04.014</t>
  </si>
  <si>
    <t>AM0KR</t>
  </si>
  <si>
    <t>WOS:000339535000005</t>
  </si>
  <si>
    <t>Hogg, AM; Munday, DR</t>
  </si>
  <si>
    <t>Hogg, Andrew McC.; Munday, David R.</t>
  </si>
  <si>
    <t>Does the sensitivity of Southern Ocean circulation depend upon bathymetric details?</t>
  </si>
  <si>
    <t>Southern Ocean; eddy saturation; meridional overturning circulation</t>
  </si>
  <si>
    <t>CLIMATE; WIND; VARIABILITY; SATURATION; TRANSPORT; CHANNEL; EDDIES; MODEL</t>
  </si>
  <si>
    <t>The response of the major ocean currents to changes in wind stress forcing is investigated with a series of idealized, but eddy-permitting, model simulations. Previously, ostensibly similar models have shown considerable variation in the oceanic response to changing wind stress forcing. Here, it is shown that a major reason for these differences in model sensitivity is subtle modification of the idealized bathymetry. The key bathymetric parameter is the extent to which the strong eddy field generated in the circumpolar current can interact with the bottom water formation process. The addition of an embayment, which insulates bottom water formation from meridional eddy fluxes, acts to stabilize the deep ocean density and enhances the sensitivity of the circumpolar current. The degree of interaction between Southern Ocean eddies and Antarctic shelf processes may thereby control the sensitivity of the Southern Ocean to change.</t>
  </si>
  <si>
    <t>[Hogg, Andrew McC.] Australian Natl Univ, Res Sch Earth Sci, Canberra, ACT 0200, Australia; [Hogg, Andrew McC.] Australian Natl Univ, ARC Ctr Excellence Climate Syst Sci, Canberra, ACT 0200, Australia; [Munday, David R.] Univ Oxford, Dept Phys, Oxford OX1 3PU, England</t>
  </si>
  <si>
    <t>Australian National University; ARC Centre of Excellence for Climate System Science; Australian National University; University of Oxford</t>
  </si>
  <si>
    <t>Hogg, AM (corresponding author), Australian Natl Univ, Res Sch Earth Sci, GPO Box 4, Canberra, ACT 0200, Australia.</t>
  </si>
  <si>
    <t>andy.hogg@anu.edu.au</t>
  </si>
  <si>
    <t>Hogg, Andy/AAZ-8733-2021; Hogg, Andy McC./A-7553-2011; Munday, David/Y-7052-2019; Munday, David R/R-1986-2016</t>
  </si>
  <si>
    <t>Hogg, Andy/0000-0001-5898-7635; Hogg, Andy McC./0000-0001-5898-7635; Munday, David R/0000-0003-1920-708X</t>
  </si>
  <si>
    <t>Australian Research Council [FT120100842]; UK Natural Environment Research Council; Office of Science and Technology through EPSRC's High End Computing Programme; Australian Commonwealth Government; Australian Research Council [FT120100842] Funding Source: Australian Research Council</t>
  </si>
  <si>
    <t>Australian Research Council(Australian Research Council); UK Natural Environment Research Council(UK Research &amp; Innovation (UKRI)Natural Environment Research Council (NERC)); Office of Science and Technology through EPSRC's High End Computing Programme(UK Research &amp; Innovation (UKRI)Engineering &amp; Physical Sciences Research Council (EPSRC)); Australian Commonwealth Government(Australian Government); Australian Research Council(Australian Research Council)</t>
  </si>
  <si>
    <t>A. M. H. was supported by Australian Research Council Future Fellowship FT120100842. D. R. M. was supported by the UK Natural Environment Research Council. This work made use of the facilities of HECToR, the UK's national high-performance computing service, which is provided by UoE HPCx Ltd at the University of Edinburgh, Cray Inc and NAG Ltd, and funded by the Office of Science and Technology through EPSRC's High End Computing Programme. Supporting simulations were undertaken on the NCI National Facility in Canberra, Australia, which is supported by the Australian Commonwealth Government.</t>
  </si>
  <si>
    <t>10.1098/rsta.2013.0050</t>
  </si>
  <si>
    <t>AJ0SS</t>
  </si>
  <si>
    <t>WOS:000337366900005</t>
  </si>
  <si>
    <t>Marshall, J; Armour, KC; Scott, JR; Kostov, Y; Hausmann, U; Ferreira, D; Shepherd, TG; Bitz, CM</t>
  </si>
  <si>
    <t>Marshall, John; Armour, Kyle C.; Scott, Jeffery R.; Kostov, Yavor; Hausmann, Ute; Ferreira, David; Shepherd, Theodore G.; Bitz, Cecilia M.</t>
  </si>
  <si>
    <t>The ocean's role in polar climate change: asymmetric Arctic and Antarctic responses to greenhouse gas and ozone forcing</t>
  </si>
  <si>
    <t>Southern Ocean; ozone hole; greenhouse gas forcing; climate model</t>
  </si>
  <si>
    <t>SOUTHERN ANNULAR MODE; SEA-ICE; VERTICAL STRUCTURE; MESOSCALE EDDIES; ALBEDO FEEDBACK; WARMING ALOFT; TRENDS; AMPLIFICATION; VARIABILITY; CIRCULATION</t>
  </si>
  <si>
    <t>In recent decades, the Arctic has been warming and sea ice disappearing. By contrast, the Southern Ocean around Antarctica has been (mainly) cooling and sea-ice extent growing. We argue here that interhemispheric asymmetries in the mean ocean circulation, with sinking in the northern North Atlantic and upwelling around Antarctica, strongly influence the sea-surface temperature (SST) response to anthropogenic greenhouse gas (GHG) forcing, accelerating warming in the Arctic while delaying it in the Antarctic. Furthermore, while the amplitude of GHG forcing has been similar at the poles, significant ozone depletion only occurs over Antarctica. We suggest that the initial response of SST around Antarctica to ozone depletion is one of cooling and only later adds to the GHG-induced warming trend as upwelling of sub-surface warm water associated with stronger surface westerlies impacts surface properties. We organize our discussion around 'climate response functions' (CRFs), i.e. the response of the climate to 'step' changes in anthropogenic forcing in which GHG and/or ozone-hole forcing is abruptly turned on and the transient response of the climate revealed and studied. Convolutions of known or postulated GHG and ozone-hole forcing functions with their respective CRFs then yield the transient forced SST response (implied by linear response theory), providing a context for discussion of the differing warming/cooling trends in the Arctic and Antarctic. We speculate that the period through which we are now passing may be one in which the delayed warming of SST associated with GHG forcing around Antarctica is largely cancelled by the cooling effects associated with the ozone hole. By mid-century, however, ozone-hole effects may instead be adding to GHG warming around Antarctica but with diminished amplitude as the ozone hole heals. The Arctic, meanwhile, responding to GHG forcing but in a manner amplified by ocean heat transport, may continue to warm at an accelerating rate.</t>
  </si>
  <si>
    <t>[Marshall, John; Armour, Kyle C.; Scott, Jeffery R.; Kostov, Yavor; Hausmann, Ute] MIT, Dept Earth Atmospher &amp; Planetary Sci, Cambridge, MA 02139 USA; [Ferreira, David; Shepherd, Theodore G.] Univ Reading, Dept Meteorol, Reading, Berks, England; [Bitz, Cecilia M.] Univ Washington, Dept Atmospher Sci, Seattle, WA 98195 USA</t>
  </si>
  <si>
    <t>Massachusetts Institute of Technology (MIT); University of Reading; University of Washington; University of Washington Seattle</t>
  </si>
  <si>
    <t>Marshall, J (corresponding author), MIT, Dept Earth Atmospher &amp; Planetary Sci, 77 Massachusetts Ave, Cambridge, MA 02139 USA.</t>
  </si>
  <si>
    <t>jmarsh@mit.edu</t>
  </si>
  <si>
    <t>Ferreira, David/JJD-6133-2023; Ferreira, David/JNR-2354-2023; Bitz, Cecilia M/S-8423-2016</t>
  </si>
  <si>
    <t>Ferreira, David/0000-0003-3243-9774; Hausmann, Ute/0000-0003-2753-5710; Bitz, Cecilia/0000-0002-9477-7499</t>
  </si>
  <si>
    <t>NASA MAP program; NSF FESD program; James S. McDonnell Foundation Postdoctoral Fellowship; Joint Program on the Science and Policy of Global Change; NSF [1259388]; Directorate For Geosciences; Division Of Ocean Sciences [1259388] Funding Source: National Science Foundation; Division Of Ocean Sciences; Directorate For Geosciences [1338814] Funding Source: National Science Foundation; Office of Polar Programs (OPP); Directorate For Geosciences [1341497] Funding Source: National Science Foundation</t>
  </si>
  <si>
    <t>NASA MAP program(National Aeronautics &amp; Space Administration (NASA)); NSF FESD program; James S. McDonnell Foundation Postdoctoral Fellowship; Joint Program on the Science and Policy of Global Change; NSF(National Science Foundation (NSF)); Directorate For Geosciences; Division Of Ocean Sciences(National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</si>
  <si>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J.M. and Y.K. would like to acknowledge support from the NASA MAP program and UH from the NSF FESD program. K. A. was supported by a James S. McDonnell Foundation Postdoctoral Fellowship. J.S. received support from the Joint Program on the Science and Policy of Global Change, which is funded by a number of federal agencies and a consortium of 40 industrial and foundation sponsors, and from NSF grant #1259388. The authors are grateful to G. Forget for help with the model configuration used in this study, a simplified version of a fully global setup developed by the 'Estimating the Circulation and Climate of the Ocean' (ECCO) project built around the MITgcm.</t>
  </si>
  <si>
    <t>10.1098/rsta.2013.0040</t>
  </si>
  <si>
    <t>WOS:000337366900001</t>
  </si>
  <si>
    <t>Anderson, RF; Barker, S; Fleisher, M; Gersonde, R; Goldstein, SL; Kuhn, G; Mortyn, PG; Pahnke, K; Sachs, JP</t>
  </si>
  <si>
    <t>Anderson, Robert F.; Barker, Stephen; Fleisher, Martin; Gersonde, Rainer; Goldstein, Steven L.; Kuhn, Gerhard; Graham Mortyn, P.; Pahnke, Katharina; Sachs, Julian P.</t>
  </si>
  <si>
    <t>Biological response to millennial variability of dust and nutrient supply in the Subantarctic South Atlantic Ocean</t>
  </si>
  <si>
    <t>Southern Ocean; dust; iron; biological productivity</t>
  </si>
  <si>
    <t>LAST GLACIAL MAXIMUM; WESTERLY WIND CHANGES; LATE QUATERNARY; ATMOSPHERIC CO2; SURFACE SEDIMENTS; EAST ANTARCTICA; ORGANIC-CARBON; BIOGENIC OPAL; WATER COLUMN; NEW-ZEALAND</t>
  </si>
  <si>
    <t>Fluxes of lithogenic material and fluxes of three palaeo-productivity proxies (organic carbon, biogenic opal and alkenones) over the past 100 000 years were determined using the Th-230-normalization method in three sediment cores from the Subantarctic South Atlantic Ocean. Features in the lithogenic flux record of each core correspond to similar features in the record of dust deposition in the EPICA Dome C ice core. Biogenic fluxes correlate with lithogenic fluxes in each sediment core. Our preferred interpretation is that South American dust, most probably from Patagonia, constitutes a major source of lithogenic material in Subantarctic South Atlantic sediments, and that past biological productivity in this region responded to variability in the supply of dust, probably due to biologically available iron carried by the dust. Greater nutrient supply as well as greater nutrient utilization (stimulated by dust) contributed to Subantarctic productivity during cold periods, in contrast to the region south of the Antarctic Polar Front (APF), where reduced nutrient supply during cold periods was the principal factor limiting productivity. The anti-phased patterns of productivity on opposite sides of the APF point to shifts in the physical supply of nutrients and to dust as cofactors regulating productivity in the Southern Ocean.</t>
  </si>
  <si>
    <t>[Anderson, Robert F.; Fleisher, Martin; Goldstein, Steven L.] Columbia Univ, Lamont Doherty Earth Observ, Palisades, NY 10964 USA; [Anderson, Robert F.; Goldstein, Steven L.] Columbia Univ, Dept Earth &amp; Environm Sci, New York, NY 10027 USA; [Barker, Stephen] Cardiff Univ, Sch Earth &amp; Ocean Sci, Cardiff CF10 3AT, S Glam, Wales; [Gersonde, Rainer; Kuhn, Gerhard] Helmholtz Ctr Polar &amp; Marine Res, Alfred Wegener Inst, D-27568 Bremerhaven, Germany; [Graham Mortyn, P.] Univ Autonoma Barcelona, Inst Environm Sci &amp; Technol ICTA, Bellaterra 08193, Spain; [Graham Mortyn, P.] Univ Autonoma Barcelona, Dept Geog, Bellaterra 08193, Spain; [Pahnke, Katharina] Carl von Ossietzky Univ Oldenburg, Inst Chem &amp; Biol Marine Environm ICBM, Max Planck Res Grp, D-26129 Oldenburg, Germany; [Sachs, Julian P.] Univ Washington, Sch Oceanog, Seattle, WA 98195 USA</t>
  </si>
  <si>
    <t>Columbia University; Columbia University; Cardiff University; Helmholtz Association; Alfred Wegener Institute, Helmholtz Centre for Polar &amp; Marine Research; Autonomous University of Barcelona; Autonomous University of Barcelona; Max Planck Society; Carl von Ossietzky Universitat Oldenburg; University of Washington; University of Washington Seattle</t>
  </si>
  <si>
    <t>Anderson, RF (corresponding author), Columbia Univ, Lamont Doherty Earth Observ, POB 1000, Palisades, NY 10964 USA.</t>
  </si>
  <si>
    <t>boba@ldeo.columbia.edu</t>
  </si>
  <si>
    <t>Stephen, Barker/C-2770-2009; Mortyn, P. Graham/I-3860-2015</t>
  </si>
  <si>
    <t>Goldstein, Steven L/0000-0001-7252-8064; Barker, Stephen/0000-0001-7870-6431; Anderson, Robert/0000-0002-8472-2494; Mortyn, P. Graham/0000-0002-9473-4309; Pahnke, Katharina/0000-0001-9114-8411; Kuhn, Gerhard/0000-0001-6069-7485</t>
  </si>
  <si>
    <t>US NSF [OCE 0823507]</t>
  </si>
  <si>
    <t>US NSF(National Science Foundation (NSF))</t>
  </si>
  <si>
    <t>New results reported here were generated with support from the US NSF via award OCE 0823507.</t>
  </si>
  <si>
    <t>10.1098/rsta.2013.0054</t>
  </si>
  <si>
    <t>WOS:000337366900006</t>
  </si>
  <si>
    <t>Brown, PJ; Meredith, MP; Jullion, L; Garabato, AN; Torres-Valdés, S; Holland, P; Leng, MJ; Venables, H</t>
  </si>
  <si>
    <t>Brown, Peter J.; Meredith, Michael P.; Jullion, Loic; Garabato, Alberto Naveira; Torres-Valdes, Sinhue; Holland, Paul; Leng, Melanie J.; Venables, Hugh</t>
  </si>
  <si>
    <t>Freshwater fluxes in the Weddell Gyre: results from δ18O</t>
  </si>
  <si>
    <t>Antarctic Bottom Water; freshwater cycle; oxygen isotope; dense water export</t>
  </si>
  <si>
    <t>ANTARCTIC SEA-ICE; BOTTOM WATER; SOUTHERN-OCEAN; ATMOSPHERIC CO2; ISOTOPE DATA; DEEP-WATER; OXYGEN; TRENDS; SURFACE; CARBON</t>
  </si>
  <si>
    <t>Full-depth measurements of delta O-18 from 2008 to 2010 enclosing the Weddell Gyre in the Southern Ocean are used to investigate the regional freshwater budget. Using complementary salinity, nutrients and oxygen data, a four-component mass balance was applied to quantify the relative contributions of meteoric water (precipitation/glacial input), sea-ice melt and saline (oceanic) sources. Combination of freshwater fractions with velocity fields derived from a box inverse analysis enabled the estimation of gyre-scale budgets of both freshwater types, with deep water exports found to dominate the budget. Surface net sea-ice melt and meteoric contributions reach 1.8% and 3.2%, respectively, influenced by the summer sampling period, and -1.7% and +1.7% at depth, indicative of a dominance of sea-ice production over melt and a sizable contribution of shelf waters to deep water mass formation. A net meteoric water export of approximately 37 mSv is determined, commensurate with local estimates of ice sheet outflow and precipitation, and the Weddell Gyre is estimated to be a region of net sea-ice production. These results constitute the first synoptic benchmarking of sea-ice and meteoric exports from the Weddell Gyre, against which future change associated with an accelerating hydrological cycle, ocean climate change and evolving Antarctic glacial mass balance can be determined.</t>
  </si>
  <si>
    <t>[Brown, Peter J.; Meredith, Michael P.; Holland, Paul; Venables, Hugh] British Antarctic Survey, Cambridge CB3 0ET, England; [Brown, Peter J.] Univ E Anglia, Sch Environm Sci, Norwich NR4 7TJ, Norfolk, England; [Meredith, Michael P.] Scottish Assoc Marine Sci, Oban, Argyll, Scotland; [Jullion, Loic; Garabato, Alberto Naveira] Univ Southampton, Natl Oceanog Ctr, Southampton, Hants, England; [Jullion, Loic] Florida State Univ, Inst Geophys Fluid Dynam, Tallahassee, FL 32306 USA; [Torres-Valdes, Sinhue] Natl Oceanog Ctr, Southampton, Hants, England; [Leng, Melanie J.] NERC Isotope Geosci Lab, Keyworth, Notts, England; [Leng, Melanie J.] Univ Leicester, Dept Geol, Leicester LE1 7RH, Leics, England</t>
  </si>
  <si>
    <t>UK Research &amp; Innovation (UKRI); Natural Environment Research Council (NERC); NERC British Antarctic Survey; University of East Anglia; UHI Millennium Institute; University of Southampton; NERC National Oceanography Centre; State University System of Florida; Florida State University; NERC National Oceanography Centre; UK Research &amp; Innovation (UKRI); Natural Environment Research Council (NERC); NERC British Geological Survey; University of Leicester</t>
  </si>
  <si>
    <t>Brown, PJ (corresponding author), British Antarctic Survey, Cambridge CB3 0ET, England.</t>
  </si>
  <si>
    <t>p.j.brown@uea.ac.uk</t>
  </si>
  <si>
    <t>Garabato, Alberto Naveira/AAQ-1114-2020; Brown, Peter/AAN-4372-2020; Torres-Valdés, Sinhué/O-6436-2019; Holland, Paul R/G-2796-2012; Torres Valdés, Sinhué/A-1435-2013; Jullion, Loic/B-3304-2011</t>
  </si>
  <si>
    <t>Garabato, Alberto Naveira/0000-0001-6071-605X; Brown, Peter/0000-0002-1152-1114; Torres-Valdés, Sinhué/0000-0003-2749-4170; Torres Valdés, Sinhué/0000-0003-2749-4170; Jullion, Loic/0000-0001-6269-6750; Meredith, Michael/0000-0002-7342-7756</t>
  </si>
  <si>
    <t>UK Natural Environment Research Council [NE/E013368/1, NE/F010427/1]; NERC [NE/E013368/1, NE/E013538/1, NE/F010427/1, NE/E013341/1, NE/E01366X/1, nigl010001] Funding Source: UKRI; Natural Environment Research Council [NE/E013368/1, nigl010001, NE/F010427/1, NE/E01366X/1, NE/E013341/1, NE/E013538/1]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</si>
  <si>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</si>
  <si>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is a contribution of the Antarctic Deep Water Rates of Export (ANDREX) programme, funded by the UK Natural Environment Research Council via award nos. NE/E013368/1 and NE/F010427/1.</t>
  </si>
  <si>
    <t>10.1098/rsta.2013.0298</t>
  </si>
  <si>
    <t>WOS:000337366900012</t>
  </si>
  <si>
    <t>Gille, ST</t>
  </si>
  <si>
    <t>Gille, Sarah T.</t>
  </si>
  <si>
    <t>Meridional displacement of the Antarctic Circumpolar Current</t>
  </si>
  <si>
    <t>Antarctic Circumpolar Current; Southern Annular mode; climate change; wind forcing</t>
  </si>
  <si>
    <t>SOUTHERN-HEMISPHERE CIRCULATION; SEA-SURFACE HEIGHT; OCEAN CIRCULATION; POLAR FRONT; OZONE DEPLETION; ANNULAR MODE; GLOBAL HEAT; LEVEL RISE; MEAN FLOW; IN-SITU</t>
  </si>
  <si>
    <t>Observed long-term warming trends in the Southern Ocean have been interpreted as a sign of increased poleward eddy heat transport or of a poleward displacement of the entire Antarctic Circumpolar Current (ACC) frontal system. The two-decade-long record from satellite altimetry is an important source of information for evaluating the mechanisms governing these trends. While several recent studies have used sea surface height contours to index ACC frontal displacements, here altimeter data are instead used to track the latitude of mean ACC transport. Altimetric height contours indicate a poleward trend, regardless of whether they are associated with ACC fronts. The zonally averaged transport latitude index shows no long-term trend, implying that ACC meridional shifts determined from sea surface height might be associated with large-scale changes in sea surface height more than with localized shifts in frontal positions. The transport latitude index is weakly sensitive to the Southern Annular Mode, but is uncorrelated with El Nino/Southern Oscillation.</t>
  </si>
  <si>
    <t>Univ Calif San Diego, Scripps Inst Oceanog, La Jolla, CA 92093 USA</t>
  </si>
  <si>
    <t>University of California System; University of California San Diego; Scripps Institution of Oceanography</t>
  </si>
  <si>
    <t>Gille, ST (corresponding author), Univ Calif San Diego, Scripps Inst Oceanog, 9500 Gilman Dr,Mail Code 0230, La Jolla, CA 92093 USA.</t>
  </si>
  <si>
    <t>sgille@ucsd.edu</t>
  </si>
  <si>
    <t>Gille, Sarah T./B-3171-2012</t>
  </si>
  <si>
    <t>Gille, Sarah/0000-0001-9144-4368</t>
  </si>
  <si>
    <t>NOAA [NA10OAR4310139]; NSF [OCE-1234473]; NASA [NNX13AE44G]; Division Of Ocean Sciences; Directorate For Geosciences [1234473] Funding Source: National Science Foundation; NASA [474906, NNX13AE44G] Funding Source: Federal RePORTER</t>
  </si>
  <si>
    <t>NOAA(National Oceanic Atmospheric Admin (NOAA) - USA); NSF(National Science Foundation (NSF)); NASA(National Aeronautics &amp; Space Administration (NASA)); Division Of Ocean Sciences; Directorate For Geosciences(National Science Foundation (NSF)NSF - Directorate for Geosciences (GEO)); NASA(National Aeronautics &amp; Space Administration (NASA))</t>
  </si>
  <si>
    <t>Work has been supported by a number of funding sources, including NOAA award NA10OAR4310139, NSF grant no. OCE-1234473 and NASA grant no. NNX13AE44G.</t>
  </si>
  <si>
    <t>10.1098/rsta.2013.0273</t>
  </si>
  <si>
    <t>WOS:000337366900010</t>
  </si>
  <si>
    <t>Heywood, KJ; Schmidtko, S; Heuzé, C; Kaiser, J; Jickells, TD; Queste, BY; Stevens, DP; Wadley, M; Thompson, AF; Fielding, S; Guihen, D; Creed, E; Ridley, JK; Smith, W</t>
  </si>
  <si>
    <t>Heywood, Karen J.; Schmidtko, Sunke; Heuze, Celine; Kaiser, Jan; Jickells, Timothy D.; Queste, Bastien Y.; Stevens, David P.; Wadley, Martin; Thompson, Andrew F.; Fielding, Sophie; Guihen, Damien; Creed, Elizabeth; Ridley, Jeff K.; Smith, Walker</t>
  </si>
  <si>
    <t>Ocean processes at the Antarctic continental slope</t>
  </si>
  <si>
    <t>Antarctic continental shelf; Antarctic Slope Front; ocean glider; water mass; climate model; iron fertilization</t>
  </si>
  <si>
    <t>SOUTHERN-OCEAN; IRON</t>
  </si>
  <si>
    <t>The Antarctic continental shelves and slopes occupy relatively small areas, but, nevertheless, are important for global climate, biogeochemical cycling and ecosystem functioning. Processes of water mass transformation through sea ice formation/melting and ocean-atmosphere interaction are key to the formation of deep and bottom waters as well as determining the heat flux beneath ice shelves. Climate models, however, struggle to capture these physical processes and are unable to reproduce water mass properties of the region. Dynamics at the continental slope are key for correctly modelling climate, yet their small spatial scale presents challenges both for ocean modelling and for observational studies. Cross-slope exchange processes are also vital for the flux of nutrients such as iron from the continental shelf into the mixed layer of the Southern Ocean. An iron-cycling model embedded in an eddy-permitting ocean model reveals the importance of sedimentary iron in fertilizing parts of the Southern Ocean. Ocean gliders play a key role in improving our ability to observe and understand these small-scale processes at the continental shelf break. The Gliders: Excellent New Tools for Observing the Ocean (GENTOO) project deployed three Seagliders for up to two months in early 2012 to sample the water to the east of the Antarctic Peninsula in unprecedented temporal and spatial detail. The glider data resolve small-scale exchange processes across the shelf-break front (the Antarctic Slope Front) and the front's biogeochemical signature. GENTOO demonstrated the capability of ocean gliders to play a key role in a future multi-disciplinary Southern Ocean observing system.</t>
  </si>
  <si>
    <t>[Heywood, Karen J.; Schmidtko, Sunke; Heuze, Celine; Kaiser, Jan; Jickells, Timothy D.; Queste, Bastien Y.] Univ E Anglia, Sch Environm Sci, Ctr Ocean &amp; Atmospher Sci, Norwich NR4 7TJ, Norfolk, England; [Stevens, David P.; Wadley, Martin] Univ E Anglia, Sch Math, Ctr Ocean &amp; Atmospher Sci, Norwich NR4 7TJ, Norfolk, England; [Thompson, Andrew F.] CALTECH, Pasadena, CA 91125 USA; [Fielding, Sophie; Guihen, Damien] British Antarctic Survey, Cambridge CB3 0ET, England; [Creed, Elizabeth] Kongsberg Underwater Technol Inc, Lynnwood, WA 98036 USA; [Ridley, Jeff K.] Met Off Hadley Ctr, Exeter EX1 3PB, Devon, England; [Smith, Walker] Coll William &amp; Mary, Virginia Inst Marine Sci, Gloucester Point, VA 23062 USA</t>
  </si>
  <si>
    <t>University of East Anglia; University of East Anglia; California Institute of Technology; UK Research &amp; Innovation (UKRI); Natural Environment Research Council (NERC); NERC British Antarctic Survey; Met Office - UK; Hadley Centre; William &amp; Mary; Virginia Institute of Marine Science</t>
  </si>
  <si>
    <t>Heywood, KJ (corresponding author), Univ E Anglia, Sch Environm Sci, Ctr Ocean &amp; Atmospher Sci, Norwich NR4 7TJ, Norfolk, England.</t>
  </si>
  <si>
    <t>k.heywood@uea.ac.uk</t>
  </si>
  <si>
    <t>Kaiser, Jan/D-3327-2009; Heuzé, Céline/U-5058-2017; Fielding, Sophie/E-5137-2012; Schmidtko, Sunke/F-3355-2011; Heywood, Karen/L-1757-2016; Stevens, David/F-2509-2010</t>
  </si>
  <si>
    <t>Kaiser, Jan/0000-0002-1553-4043; Heuzé, Céline/0000-0002-8850-5868; Schmidtko, Sunke/0000-0003-3272-7055; Queste, Bastien/0000-0002-3786-2275; Heywood, Karen/0000-0001-9859-0026; Stevens, David/0000-0002-7283-4405</t>
  </si>
  <si>
    <t>Research and Specialist Computing Support service at UEA; NERC [NE/C50633X/1, NE/H01439X/1, NE/H014756/1, NE/I018239/1]; Joint DECC/Defra Met Office Hadley Centre Climate Programme [GA01101]; Natural Environment Research Council [NE/H014756/1, 1093171, NE/H012532/1, NE/C50633X/1, NE/H01439X/1, bas0100025] Funding Source: researchfish; NERC [NE/H012532/1, NE/H01439X/1, NE/C50633X/1, bas0100025, NE/H014756/1] Funding Source: UKRI</t>
  </si>
  <si>
    <t>Research and Specialist Computing Support service at UEA; NERC(UK Research &amp; Innovation (UKRI)Natural Environment Research Council (NERC)); Joint DECC/Defra Met Office Hadley Centre Climate Programme; Natural Environment Research Council(UK Research &amp; Innovation (UKRI)Natural Environment Research Council (NERC)); NERC(UK Research &amp; Innovation (UKRI)Natural Environment Research Council (NERC))</t>
  </si>
  <si>
    <t>This research was carried out on the High Performance Computing Cluster supported by the Research and Specialist Computing Support service at UEA. We thank Caltech, iRobot and UEA for supporting the Seaglider campaign. NERC research funding supported the iron modelling (NE/C50633X/1), Seaglider deployments (NE/H01439X/1 and NE/H014756/1) and CMIP5 model analysis (NE/I018239/1). J.K.R. is supported by the Joint DECC/Defra Met Office Hadley Centre Climate Programme (GA01101). We acknowledge the WCRP's Working Group on Coupled Modelling, responsible for CMIP, and thank the CMIP5 climate modelling groups for releasing their model output. CMIP5 datasets are available through their portal; the oceanographic observed datasets are available from BODC. For the iron-cycling model code, contact MartinWadley (m.wadley@uea.ac.uk).</t>
  </si>
  <si>
    <t>10.1098/rsta.2013.0047</t>
  </si>
  <si>
    <t>WOS:000337366900004</t>
  </si>
  <si>
    <t>Meijers, AJS</t>
  </si>
  <si>
    <t>Meijers, A. J. S.</t>
  </si>
  <si>
    <t>The Southern Ocean in the Coupled Model Intercomparison Project phase 5</t>
  </si>
  <si>
    <t>Southern Ocean; CMIP5; Antarctic circumpolar current; meridional overturning circulation; mixed layer; sea ice</t>
  </si>
  <si>
    <t>ANTARCTIC CIRCUMPOLAR CURRENT; SEA-ICE TRENDS; CMIP5 MODELS; ANNULAR MODE; HISTORICAL BIAS; CLIMATE-CHANGE; WATER MASSES; CIRCULATION; VARIABILITY; WINDS</t>
  </si>
  <si>
    <t>The Southern Ocean is an important part of the global climate system, but its complex coupled nature makes both its present state and its response to projected future climate forcing difficult to model. Clear trends in wind, sea-ice extent and ocean properties emerged from multi-model intercomparison in the Coupled Model Intercomparison Project phase 3 (CMIP3). Here, we review recent analyses of the historical and projected wind, sea ice, circulation and bulk properties of the Southern Ocean in the updated Coupled Model Intercomparison Project phase 5 (CMIP5) ensemble. Improvements to the models include higher resolutions, more complex and better-tuned parametrizations of ocean mixing, and improved biogeochemical cycles and atmospheric chemistry. CMIP5 largely reproduces the findings of CMIP3, but with smaller inter-model spreads and biases. By the end of the twenty-first century, mid-latitude wind stresses increase and shift polewards. All water masses warm, and intermediate waters freshen, while bottom waters increase in salinity. Surface mixed layers shallow, warm and freshen, whereas sea ice decreases. The upper overturning circulation intensifies, whereas bottom water formation is reduced. Significant disagreement exists between models for the response of the Antarctic Circumpolar Current strength, for reasons that are as yet unclear.</t>
  </si>
  <si>
    <t>Meijers, AJS (corresponding author), British Antarctic Survey, Madingley Rd, Cambridge CB3 0ET, England.</t>
  </si>
  <si>
    <t>andmei@bas.ac.uk</t>
  </si>
  <si>
    <t>Natural Environment Research Council [bas0100028] Funding Source: researchfish; NERC [bas0100028] Funding Source: UKRI</t>
  </si>
  <si>
    <t>10.1098/rsta.2013.0296</t>
  </si>
  <si>
    <t>WOS:000337366900011</t>
  </si>
  <si>
    <t>Meredith, MP; Jullion, L; Brown, PJ; Garabato, ACN; Couldrey, MP</t>
  </si>
  <si>
    <t>Meredith, Michael P.; Jullion, Loic; Brown, Peter J.; Garabato, Alberto C. Naveira; Couldrey, Matthew P.</t>
  </si>
  <si>
    <t>Dense waters of the Weddell and Scotia Seas: recent changes in properties and circulation</t>
  </si>
  <si>
    <t>Antarctic Bottom Water; dense water export; overturning circulation; abyssal mixing</t>
  </si>
  <si>
    <t>ANTARCTIC BOTTOM WATER; SOUTHERN-OCEAN; ABYSSAL; DEEP; GYRE; PENINSULA; IMPACT; MASSES; EXPORT; SHELF</t>
  </si>
  <si>
    <t>The densest waters in the Atlantic overturning circulation are sourced at the periphery of Antarctica, especially the Weddell Sea, and flow northward via routes that involve crossing the complex bathymetry of the Scotia Arc. Recent observations of significant warming of these waters along much of the length of the Atlantic have highlighted the need to identify and understand the time-varying formation and export processes, and the controls on their properties and flows. Here, we review recent developments in understanding of the processes that control the changing flux of water through the main export route from the Weddell Sea into the Scotia Sea, and the transformations of the waters within the Scotia Sea and environs. We also present a synopsis of recent findings that relate to the climatic change of dense water properties within the Weddell Sea itself, in the context of known Atlantic-scale changes. Among the most significant findings are the discovery that the warming of waters exported from the Weddell Sea has been accompanied by a significant freshening, and that the episodic nature of the overflow into the Scotia Sea ismarkedly wind-controlled and can lead to significantly enhanced abyssal stratification. Key areas for focusing future research effort are outlined.</t>
  </si>
  <si>
    <t>[Meredith, Michael P.; Brown, Peter J.] British Antarctic Survey, Cambridge CB3 0ET, England; [Meredith, Michael P.] Scottish Assoc Marine Sci, Oban PA37 1QA, Argyll, Scotland; [Jullion, Loic; Garabato, Alberto C. Naveira; Couldrey, Matthew P.] Univ Southampton, Natl Oceanog Ctr, Southampton SO14 3ZH, Hants, England; [Brown, Peter J.] Univ E Anglia, Sch Environm Sci, Norwich NR4 7TJ, Norfolk, England</t>
  </si>
  <si>
    <t>UK Research &amp; Innovation (UKRI); Natural Environment Research Council (NERC); NERC British Antarctic Survey; UHI Millennium Institute; University of Southampton; NERC National Oceanography Centre; University of East Anglia</t>
  </si>
  <si>
    <t>Meredith, MP (corresponding author), British Antarctic Survey, Cambridge CB3 0ET, England.</t>
  </si>
  <si>
    <t>mmm@bas.ac.uk</t>
  </si>
  <si>
    <t>Garabato, Alberto Naveira/AAQ-1114-2020; Brown, Peter/AAN-4372-2020; Jullion, Loic/B-3304-2011</t>
  </si>
  <si>
    <t>Garabato, Alberto Naveira/0000-0001-6071-605X; Brown, Peter/0000-0002-1152-1114; Meredith, Michael/0000-0002-7342-7756; Jullion, Loic/0000-0001-6269-6750</t>
  </si>
  <si>
    <t>NERC [NE/E01366X/1, NE/E013341/1, NE/K012843/1, NE/E013538/1, NE/F010427/1, NE/E007058/1] Funding Source: UKRI; Natural Environment Research Council [NE/E01366X/1, NE/E013341/1, NE/E013538/1, NE/E007058/1, NE/F010427/1, NE/K012843/1] Funding Source: researchfish</t>
  </si>
  <si>
    <t>10.1098/rsta.2013.0041</t>
  </si>
  <si>
    <t>WOS:000337366900002</t>
  </si>
  <si>
    <t>van Heuven, SMAC; Hoppema, M; Jones, EM; de Baar, HJW</t>
  </si>
  <si>
    <t>van Heuven, Steven M. A. C.; Hoppema, Mario; Jones, Elizabeth M.; de Baar, Hein J. W.</t>
  </si>
  <si>
    <t>Rapid invasion of anthropogenic CO2 into the deep circulation of the Weddell Gyre</t>
  </si>
  <si>
    <t>anthropogenic carbon; macronutrients; dissolved oxygen; Weddell Sea; Antarctic; Weddell Sea Bottom Water</t>
  </si>
  <si>
    <t>BOTTOM WATER; CARBON-DIOXIDE; SEA; OCEAN; VARIABILITY; TRANSPORT; STORAGE; ORIGIN; EXPORT</t>
  </si>
  <si>
    <t>Data are presented for total carbon dioxide (TCO2), oxygen and nutrients from 14 cruises covering two repeat sections across the Weddell Gyre, from 1973 to 2010. Assessments of the rate of increase in anthropogenic CO2 (C-ant) are made at three locations. Along the Prime Meridian, TCO2 is observed to steadily increase in the bottom water. Accompanying changes in silicate, nitrate and oxygen confirm the non-steady state of the Weddell circulation. The rate of increase in TCO2 of + 0.12 +/- 0.05 mu mol kg(-1) yr(-1) therefore poses an upper limit to the rate of increase in Cant. By contrast, the bottom water located in the central Weddell Sea exhibits no significant increase in TCO2, suggesting that thiswater is less well ventilated at the southern margins of the Weddell Sea. At the tip of the Antarctic Peninsula (i. e. the formation region of the bottom water found at the Prime Meridian), the high rate of increase in TCO2 over time observed at the lowest temperatures suggests that nearly full equilibration occurs with the anthropogenic CO2 of the atmosphere. This observation constitutes rare evidence for the possibility that ice cover is not a major impediment for uptake of Cant in this prominent deep water formation region.</t>
  </si>
  <si>
    <t>[van Heuven, Steven M. A. C.] Univ Groningen, Ctr Isotope Res, NL-9747 AG Groningen, Netherlands; [Hoppema, Mario; Jones, Elizabeth M.] Helmholtz Ctr Polar &amp; Marine Res, Alfred Wegener Inst, D-27515 Bremerhaven, Germany; [de Baar, Hein J. W.] Royal Netherlands Inst Sea Res NIOZ, NL-1790 AB Texel, Netherlands</t>
  </si>
  <si>
    <t>University of Groningen; Helmholtz Association; Alfred Wegener Institute, Helmholtz Centre for Polar &amp; Marine Research; Utrecht University; Royal Netherlands Institute for Sea Research (NIOZ)</t>
  </si>
  <si>
    <t>Hoppema, M (corresponding author), Helmholtz Ctr Polar &amp; Marine Res, Alfred Wegener Inst, Postfach 120161, D-27515 Bremerhaven, Germany.</t>
  </si>
  <si>
    <t>mario.hoppema@awi.de</t>
  </si>
  <si>
    <t>Hoppema, Mario/I-6286-2013</t>
  </si>
  <si>
    <t>Hoppema, Mario/0000-0002-2326-619X</t>
  </si>
  <si>
    <t>EU; European Community [264879]</t>
  </si>
  <si>
    <t>EU(European Union (EU)); European Community</t>
  </si>
  <si>
    <t>This work was supported through EU project CARBOCHANGE 'Changes in carbon uptake and emissions by oceans in a changing climate', which received funding from the European Community's Seventh Framework Programme under grant agreement no. 264879.</t>
  </si>
  <si>
    <t>10.1098/rsta.2013.0056</t>
  </si>
  <si>
    <t>WOS:000337366900007</t>
  </si>
  <si>
    <t>Watson, AJ; Meredith, MP; Marshall, J</t>
  </si>
  <si>
    <t>Watson, Andrew J.; Meredith, Michael P.; Marshall, John</t>
  </si>
  <si>
    <t>The Southern Ocean, carbon and climate</t>
  </si>
  <si>
    <t>[Watson, Andrew J.] Univ Exeter, Exeter, Devon, England; [Meredith, Michael P.] British Antarctic Survey, Cambridge, England; [Meredith, Michael P.] Scottish Assoc Marine Sci, Oban, Argyll, Scotland; [Marshall, John] MIT, Cambridge, MA 02139 USA</t>
  </si>
  <si>
    <t>University of Exeter; UK Research &amp; Innovation (UKRI); Natural Environment Research Council (NERC); NERC British Antarctic Survey; UHI Millennium Institute; Massachusetts Institute of Technology (MIT)</t>
  </si>
  <si>
    <t>Watson, AJ (corresponding author), Univ Exeter, Exeter, Devon, England.</t>
  </si>
  <si>
    <t>andrew.watson@exeter.ac.uk</t>
  </si>
  <si>
    <t>Watson, Andrew/0000-0002-9654-8147; Meredith, Michael/0000-0002-7342-7756</t>
  </si>
  <si>
    <t>NERC [NE/K002473/1, NE/E005985/2, bas0100028] Funding Source: UKRI; Natural Environment Research Council [NE/E005985/2, NE/K002473/1, bas0100028] Funding Source: researchfish</t>
  </si>
  <si>
    <t>10.1098/rsta.2013.0057</t>
  </si>
  <si>
    <t>WOS:000337366900008</t>
  </si>
  <si>
    <t>Kim, K; Trebukhova, Y; Lee, W; Karanovic, T</t>
  </si>
  <si>
    <t>Kim, Kichoon; Trebukhova, Yulia; Lee, Wonchoel; Karanovic, Tomislav</t>
  </si>
  <si>
    <t>A new species of Enhydrosoma (Copepoda: Harpacticoida: Cletodidae) from Korea, with redescription of E-intermedia and establishment of a new genus</t>
  </si>
  <si>
    <t>PROCEEDINGS OF THE BIOLOGICAL SOCIETY OF WASHINGTON</t>
  </si>
  <si>
    <t>Article; Proceedings Paper</t>
  </si>
  <si>
    <t>15th International Meiofauna Conference (FiftIMCo)</t>
  </si>
  <si>
    <t>JUL 22-26, 2013</t>
  </si>
  <si>
    <t>Hanyang Univ, Ansan, SOUTH KOREA</t>
  </si>
  <si>
    <t>Hanyang Univ</t>
  </si>
  <si>
    <t>East Asia; Geehydrosoma; mtCOI; phylogeny; sublittoral; taxonomy</t>
  </si>
  <si>
    <t>SIZE DIFFERENTIATION; CRYPTIC SPECIATION; TAXONOMIC POSITION; COMPLEX COPEPODA; MOLECULAR-DATA; DNA; CRUSTACEA; BOECK; CYCLOPOIDA; DIVERSITY</t>
  </si>
  <si>
    <t>Two species of Enhydrosoma Boeck, 1873, found in muddy sediments in the sublittoral zone of Gwangyang Bay, represent the first record of this genus in Korea. Enhydrosoma coreana, new species, shares a number of rare morphological features with the type species, E. curticauda Boeck, 1872, such as a bifid rostrum with centrally inserted sensilla, endopodal lobe of P5 with a peduncle, and a characteristic shape of the female genital field. They differ in the armature formula of the mandible, P1 endopod, and P5 exopod, size of the P5 peduncle, and minor details in the ornamentation of several somites. Enhydrosoma intermedia Chislenko, 1978 is redescribed from its holotype, freshly collected Korean material, and freshly collected material from and near its type locality in the Russian Far East. Its male is described for the first time. Minor morphological differences are observed between these two disjunct populations, such as longer caudal rami and sparse hair-like spinules on somites in Korean specimens. However, molecular data from the mtCOI gene suggest them to be conspecific. Detailed morphological comparisons between E. coreana and E. intermedia reveal a number of important differences, and molecular phylogenies suggest only a remote relationship. Their average pairwise maximum likelihood distances are very similar to those between other well-established genera of harpacticoid copepods. Geehyndrosoma, new genus, is erected to accommodate E. intermedia, together with E. brevipodum Gomez, 2004, from the Pacific coast of Mexico.</t>
  </si>
  <si>
    <t>[Kim, Kichoon; Lee, Wonchoel; Karanovic, Tomislav] Hanyang Univ, Dept Life Sci, Coll Nat Sci, Seoul 133791, South Korea; [Trebukhova, Yulia] AV Zhirmunsky Inst Marine Biol, Vladivostok 690059, Russia; [Karanovic, Tomislav] Univ Tasmania, Inst Marine &amp; Antarctic Studies, Hobart, Tas 7001, Australia</t>
  </si>
  <si>
    <t>Hanyang University; Russian Academy of Sciences; National Scientific Center of Marine Biology, Far East Branch of the Russian Academy of Sciences; University of Tasmania</t>
  </si>
  <si>
    <t>Karanovic, T (corresponding author), Univ Tasmania, Inst Marine &amp; Antarctic Studies, Hobart, Tas 7001, Australia.</t>
  </si>
  <si>
    <t>kichoonkim@gmail.com; trebukhova@gmail.com; wlee@hanyang.ac.kr; Tomislav.Karanovic@utas.edu.au</t>
  </si>
  <si>
    <t>Trebukhova, Yulia/D-8140-2019; Lee, Wonchoel/L-9822-2018</t>
  </si>
  <si>
    <t>Trebukhova, Yulia/0000-0003-0538-6005; Lee, Wonchoel/0000-0002-9873-1033</t>
  </si>
  <si>
    <t>ALLEN PRESS INC</t>
  </si>
  <si>
    <t>LAWRENCE</t>
  </si>
  <si>
    <t>810 E 10TH ST, LAWRENCE, KS 66044 USA</t>
  </si>
  <si>
    <t>0006-324X</t>
  </si>
  <si>
    <t>1943-6327</t>
  </si>
  <si>
    <t>P BIOL SOC WASH</t>
  </si>
  <si>
    <t>Proc. Biol. Soc. Wash.</t>
  </si>
  <si>
    <t>JUL 9</t>
  </si>
  <si>
    <t>10.2988/0006-324X-127.1.248</t>
  </si>
  <si>
    <t>AL1UP</t>
  </si>
  <si>
    <t>WOS:000338912100018</t>
  </si>
  <si>
    <t>Alvarez-Fernández, E; Carriol, RP; Jordá, JF; Aura, JE; Avezuela, B; Badal, E; Carrión, Y; García-Guinea, J; Maestro, A; Morales, JV; Perez, G; Perez-Ripoll, M; Rodrigo, MJ; Scarff, JE; Villalba, MP; Wood, R</t>
  </si>
  <si>
    <t>Alvarez-Fernandez, Esteban; Carriol, Rene-Pierre; Jorda, Jesus F.; Emili Aura, J.; Avezuela, Barbara; Badal, Ernestina; Carrion, Yolanda; Garcia-Guinea, Javier; Maestro, Adolfo; Morales, Juan V.; Perez, Guillem; Perez-Ripoll, Manuel; Rodrigo, Maria J.; Scarff, James E.; Paz Villalba, M.; Wood, Rachel</t>
  </si>
  <si>
    <t>Occurrence of whale barnacles in Nerja Cave (Malaga, southern Spain): Indirect evidence of whale consumption by humans in the Upper Magdalenian</t>
  </si>
  <si>
    <t>QUATERNARY INTERNATIONAL</t>
  </si>
  <si>
    <t>WESTERN CAPE PROVINCE; PINNACLE POINT; AFRICA; RESOURCES; EUBALAENA; SHELLFISH; HOLOCENE</t>
  </si>
  <si>
    <t>A total of 167 plates of two whale barnacle species (Tubicinella major Lamarck, 1802 and Cetopirus complanatus Morch, 1853) have been found in the Upper Magdalenian layers of Nerja Cave, Mina Chamber (Maro, Malaga, southern Spain). This is the first occurrence of these species in a prehistoric site. Both species are specific to the southern right whale Eubalena australis, today endemic in the Southern Hemisphere. Because of Antarctic sea-ice expansion during the Last Glacial Period, these whales could have migrated to the Northern Hemisphere, and reached southern Spain. Whale barnacles indicate that maritime-oriented forager human groups found stranded whales on the coast and, because of the size and weight of the large bones, transported only certain pieces (skin, blubber and meat) to the caves where they were consumed. (C) 2013 Elsevier Ltd and INQUA. All rights reserved.</t>
  </si>
  <si>
    <t>[Alvarez-Fernandez, Esteban] Univ Salamanca, Fac Geog &amp; Hist, Dept Prehist Hist Antigua &amp; Arqueol, E-37002 Salamanca, Spain; [Carriol, Rene-Pierre] Museum Natl Hist Nat, Dept Hist Terre, F-75231 Paris 05, France; [Jorda, Jesus F.; Avezuela, Barbara] Univ Nacl Educ Distancia, Fac Geog &amp; Hist, Dpto Prehist &amp; Arqueol, Lab Estudios Paleolit, E-28040 Madrid, Spain; [Emili Aura, J.; Badal, Ernestina; Carrion, Yolanda; Morales, Juan V.; Perez-Ripoll, Manuel; Rodrigo, Maria J.] Univ Valencia, Dept Prehist &amp; Arqueol, E-46010 Valencia, Spain; [Garcia-Guinea, Javier] CSIC, Museo Nacl Ciencias Nat, E-28060 Madrid, Spain; [Maestro, Adolfo] Inst Geol &amp; Min Espana, Dept Invest &amp; Prospect Geocient, E-28760 Tres Cantos Madrid, Spain; [Perez, Guillem] CSIC, CCHS, IH, GI Bioarqueol, Madrid, Spain; [Paz Villalba, M.] Univ Complutense Madrid, Fac Geol, Dept Paleontol, E-28040 Madrid, Spain; [Wood, Rachel] Australian Natl Univ, Res Sch Earth Sci, Canberra, ACT 0200, Australia</t>
  </si>
  <si>
    <t>University of Salamanca; Museum National d'Histoire Naturelle (MNHN); Universidad Nacional de Educacion a Distancia (UNED); University of Valencia; Consejo Superior de Investigaciones Cientificas (CSIC); CSIC - Museo Nacional de Ciencias Naturales (MNCN); Consejo Superior de Investigaciones Cientificas (CSIC); CSIC - Instituto de Historia (IH); Complutense University of Madrid; Australian National University</t>
  </si>
  <si>
    <t>Alvarez-Fernández, E (corresponding author), Univ Salamanca, Fac Geog &amp; Hist, Dept Prehist Hist Antigua &amp; Arqueol, C Cerrada Serranos S-N, E-37002 Salamanca, Spain.</t>
  </si>
  <si>
    <t>epanik@usal.es; Emilio.aura@uv.es</t>
  </si>
  <si>
    <t>Avezuela, Bárbara/AAA-5051-2019; Maestro, Adolfo/K-2434-2014; Wood, Rachel/K-5577-2016; Álvarez Fernandez, Esteban/AAW-4541-2020; Maestro, Adolfo/ABG-7268-2021; Badal Garcia, Ernestina/K-9462-2014; Garcia-Guinea, Javier/N-4992-2014; Carrion Marco, Yolanda/I-3218-2017; Jorda, Jesus F./M-9193-2014; Perez Jorda, Guillem/I-2101-2015; Aura Tortosa, J. Emili/F-4351-2018</t>
  </si>
  <si>
    <t>Maestro, Adolfo/0000-0002-7474-725X; Wood, Rachel/0000-0002-1694-3295; Badal Garcia, Ernestina/0000-0002-8296-1870; Garcia-Guinea, Javier/0000-0003-1848-3138; Carrion Marco, Yolanda/0000-0003-4064-249X; Morales Perez, Juan V./0000-0002-6803-4093; Jorda, Jesus F./0000-0002-3937-9199; Perez Jorda, Guillem/0000-0003-1459-0219; Aura Tortosa, J. Emili/0000-0003-1074-4495; ALVAREZ-FERNANDEZ, Esteban/0000-0002-7895-3421; Avezuela Aristu, Barbara/0000-0001-6291-2329</t>
  </si>
  <si>
    <t>NPI of the Spanish Ministry of Economy and Competitiveness [HAR2008-03005, HAR2011-29907-C03-03/HIST]</t>
  </si>
  <si>
    <t>NPI of the Spanish Ministry of Economy and Competitiveness</t>
  </si>
  <si>
    <t>We wish to thank F. J. Aznar (Universitat de Valencia, Spain), Ph. Clapham (National Marine Mammal Laboratory-Alaska Fisheries Science Center, Seattle, USA), M. Cubas (Sociedad de Ciencias Aranzadi, San Sebastian, Spain), M. Cueto (IIIPC-University of Cantabria, Santander, Spain), M. G. Frick (Caretta Research Project, Savannah, USA), Y. Gruet (Universite de Nantes, France), G. Notarbartolo di Sciara (Tethys Research Institute, Milano, Italy) and J. A. Raga (Universitat de Valencia) for thorough-provoking discussions and suggestions and our referees for their careful review of the manuscript. We also thank P. Loubry (Departement Histoire de la Terre, Museum National d'Histoire Naturelle, Paris) for the photos of the barnacles. This work is funded by the NPI of the Spanish Ministry of Economy and Competitiveness (Projects: HAR2008-03005 and HAR2011-29907-C03-03/HIST).</t>
  </si>
  <si>
    <t>1040-6182</t>
  </si>
  <si>
    <t>1873-4553</t>
  </si>
  <si>
    <t>QUATERN INT</t>
  </si>
  <si>
    <t>Quat. Int.</t>
  </si>
  <si>
    <t>10.1016/j.quaint.2013.01.014</t>
  </si>
  <si>
    <t>Science Citation Index Expanded (SCI-EXPANDED); Arts &amp; Humanities Citation Index (A&amp;HCI)</t>
  </si>
  <si>
    <t>AL2TI</t>
  </si>
  <si>
    <t>WOS:000338977900012</t>
  </si>
  <si>
    <t>Jackson, JA; Steel, DJ; Beerli, P; Congdon, BC; Olavarría, C; Leslie, MS; Pomilla, C; Rosenbaum, H; Baker, CS</t>
  </si>
  <si>
    <t>Jackson, Jennifer A.; Steel, Debbie J.; Beerli, P.; Congdon, Bradley C.; Olavarria, Carlos; Leslie, Matthew S.; Pomilla, Cristina; Rosenbaum, Howard; Baker, C. Scott</t>
  </si>
  <si>
    <t>Global diversity and oceanic divergence of humpback whales (Megaptera novaeangliae)</t>
  </si>
  <si>
    <t>diversity; gene flow; genomic; mitochondrial; whale; cetacean</t>
  </si>
  <si>
    <t>MITOCHONDRIAL-DNA DIVERSITY; POPULATION-STRUCTURE; GENETIC-STRUCTURE; SOUTH ATLANTIC; HAPLOTYPES; NUCLEAR; MODEL; TIME; SEA; DIFFERENTIATION</t>
  </si>
  <si>
    <t>Humpback whales (Megaptera novaeangliae) annually undertake the longest migrations between seasonal feeding and breeding grounds of any mammal. Despite this dispersal potential, discontinuous seasonal distributions and migratory patterns suggest that humpbacks form discrete regional populations within each ocean. To better understand the worldwide population history of humpbacks, and the interplay of this species with the oceanic environment through geological time, we assembled mitochondrial DNA control region sequences representing approximately 2700 individuals (465 bp, 219 haplo-types) and eight nuclear intronic sequences representing approximately 70 individuals (3700 bp, 140 alleles) from the North Pacific, North Atlantic and Southern Hemisphere. Bayesian divergence time reconstructions date the origin of humpback mtDNA lineages to the Pleistocene (880 ka, 95% posterior intervals 550-1320 ka) and estimate radiation of current Northern Hemisphere lineages between 50 and 200 ka, indicating colonization of the northern oceans prior to the Last Glacial Maximum. Coalescent analyses reveal restricted gene flow between ocean basins, with long-term migration rates (individual migrants per generation) of less than 3.3 for mtDNA and less than 2 for nuclear genomic DNA. Genetic evidence suggests that humpbacks in the North Pacific, North Atlantic and Southern Hemisphere are on independent evolutionary trajectories, supporting taxonomic revision of M. novaeangliae to three subspecies.</t>
  </si>
  <si>
    <t>[Jackson, Jennifer A.; Baker, C. Scott] Oregon State Univ, Marine Mammal Inst, Hatfield Marine Sci Ctr, Newport, OR 97365 USA; [Jackson, Jennifer A.; Steel, Debbie J.] British Antarctic Survey, NERC, Cambridge CB3 0ET, England; [Beerli, P.] Florida State Univ, Dept Sci Comp, Tallahassee, FL 32306 USA; [Congdon, Bradley C.] James Cook Univ, Sch Marine &amp; Trop Biol, Cairns, Qld 4870, Australia; [Olavarria, Carlos] Univ Auckland, Sch Biol Sci, Auckland 1010, New Zealand; [Olavarria, Carlos] Fdn CEQUA, Punta Arenas, Chile; [Leslie, Matthew S.; Pomilla, Cristina; Rosenbaum, Howard] Wildlife Conservat Soc, Ocean Giants Program, Bronx, NY 10460 USA; [Leslie, Matthew S.; Pomilla, Cristina; Rosenbaum, Howard] Amer Museum Nat Hist, Sackler Inst Comparat Genom, New York, NY 10024 USA</t>
  </si>
  <si>
    <t>Oregon State University; UK Research &amp; Innovation (UKRI); Natural Environment Research Council (NERC); NERC British Antarctic Survey; State University System of Florida; Florida State University; James Cook University; University of Auckland; Wildlife Conservation Society; American Museum of Natural History (AMNH)</t>
  </si>
  <si>
    <t>Jackson, JA (corresponding author), Oregon State Univ, Marine Mammal Inst, Hatfield Marine Sci Ctr, 2030 SE Marine Sci Dr, Newport, OR 97365 USA.</t>
  </si>
  <si>
    <t>jennifer.jackson@bas.ac.uk</t>
  </si>
  <si>
    <t>Beerli, Peter/HDN-6405-2022; Beerli, Peter/A-3638-2009; Pomilla, Cristina/GYD-9678-2022; Jackson, Jennifer A/E-7997-2013; Pomilla, Cristina/AAC-4035-2020; Congdon, Bradley C/J-9181-2012</t>
  </si>
  <si>
    <t>Beerli, Peter/0000-0003-0947-5451; Pomilla, Cristina/0000-0002-2581-8365; Congdon, Bradley C/0000-0002-8751-0892; Steel, Debbie/0000-0001-5898-2850; Jackson, Jennifer/0000-0003-4158-1924</t>
  </si>
  <si>
    <t>New Zealand Royal Society [01-UOA-070]; Lenfest Ocean Foundation [2004-001492-023]; US National Science Foundation [DEB-1145999]; Natural Environment Research Council [bas0100026] Funding Source: researchfish; NERC [bas0100026] Funding Source: UKRI</t>
  </si>
  <si>
    <t>New Zealand Royal Society(Royal Society of New Zealand); Lenfest Ocean Foundation; US National Science Foundation(National Science Foundation (NSF)); Natural Environment Research Council(UK Research &amp; Innovation (UKRI)Natural Environment Research Council (NERC)); NERC(UK Research &amp; Innovation (UKRI)Natural Environment Research Council (NERC))</t>
  </si>
  <si>
    <t>Primary funding was provided by a Marsden grant (no. 01-UOA-070) from the New Zealand Royal Society to C. S. B., and a sub-award from the Lenfest Ocean Foundation to C. S. B. and H. R. (award no. 2004-001492-023 to S. R. Palumbi). P. B. was partially funded by US National Science Foundation grant no. DEB-1145999.</t>
  </si>
  <si>
    <t>JUL 7</t>
  </si>
  <si>
    <t>10.1098/rspb.2013.3222</t>
  </si>
  <si>
    <t>AI3TA</t>
  </si>
  <si>
    <t>WOS:000336784500007</t>
  </si>
  <si>
    <t>Encheva-Malinova, M; Stoyanova, M; Avramova, H; Pavlova, Y; Gocheva, B; Ivanova, I; Moncheva, P</t>
  </si>
  <si>
    <t>Encheva-Malinova, Marta; Stoyanova, Mariya; Avramova, Hristina; Pavlova, Yanitsa; Gocheva, Blagovesta; Ivanova, Iskra; Moncheva, Penka</t>
  </si>
  <si>
    <t>Antibacterial potential of streptomycete strains from Antarctic soils</t>
  </si>
  <si>
    <t>BIOTECHNOLOGY &amp; BIOTECHNOLOGICAL EQUIPMENT</t>
  </si>
  <si>
    <t>PCR-amplification; phytopathogenic bacteria; antibacterial activity; streptomycetes; Antarctic</t>
  </si>
  <si>
    <t>RIBOSOMAL-RNA; PCR PRIMERS; GENE</t>
  </si>
  <si>
    <t>The exploration of habitats with unusual environment and poorly explored areas such as Antarctica is one of the strategies for discovery of new biologically active substances and/or new producers. The aim of this study was to identify the actinomycetes isolated from the soils of the island Livingston - Antarctica and to investigate their potential to synthesize antibacterial agents against phytopathogens. Twenty-three actinomycete strains were the object of this study. Using PCR (polymerase chain reaction) amplification all strains were affiliated to genus Streptomyces. The sequencing of the 16S rRNA for three of the strains showed greatest similarity to Streptomyces tendae for one of them, and revealed that the other strains had closest relations to streptomycetes isolated from anthropogenically unaltered regions including Antarctica. The isolates were studied for production of antibacterial substances both by molecular and culture methods. PCR targeting specific biosynthetic genes involved in the production of some groups of antibiotics was performed. The screening showed that all strains possessed the gene for Type-II polyketide synthase, 11 strains - for non-ribosomal peptide synthetase; 6 strains - for polyene antibiotics; and 4 strains - for glycopeptide antibiotics. The production of antibacterial substances by the strains was tested in vitro against phytopathogenic bacteria. The strains differed in the number of inhibited test - bacteria and in their spectrum of action. Four strains showed a wide range of activity against Gram-positive and Gram-negative phytopathogens. The results obtained revealed that the Antarctic soils are potential source for isolation of streptomycetes producing antibiotics from different groups.</t>
  </si>
  <si>
    <t>[Encheva-Malinova, Marta; Avramova, Hristina; Pavlova, Yanitsa; Gocheva, Blagovesta; Ivanova, Iskra; Moncheva, Penka] Sofia Univ St Kliment Ohridski, Fac Biol, Sofia, Bulgaria; [Stoyanova, Mariya] Inst Soil Sci Agrotechnol &amp; Plant Protect Nikola, Sofia, Bulgaria</t>
  </si>
  <si>
    <t>University of Sofia; Agricultural Academy - Bulgaria</t>
  </si>
  <si>
    <t>Encheva-Malinova, M (corresponding author), Sofia Univ St Kliment Ohridski, Fac Biol, Sofia, Bulgaria.</t>
  </si>
  <si>
    <t>martaen4eva@gbg.bg</t>
  </si>
  <si>
    <t>Stoyanova, Mariya/ISS-3493-2023; Moncheva, Penka/L-7778-2017; Ivanova, Iskra/AAM-3025-2021</t>
  </si>
  <si>
    <t>Ivanova, Iskra/0000-0003-0927-0026; Moncheva, Penka/0000-0003-4513-6836; Stoyanova, Mariya/0009-0005-3713-6889</t>
  </si>
  <si>
    <t>Scientific Foundation of Sofia University 'St. Kliment Ohridski' [116/2013]</t>
  </si>
  <si>
    <t>Scientific Foundation of Sofia University 'St. Kliment Ohridski'</t>
  </si>
  <si>
    <t>This study was supported by the Scientific Foundation of Sofia University 'St. Kliment Ohridski', Project 116/2013.</t>
  </si>
  <si>
    <t>1310-2818</t>
  </si>
  <si>
    <t>1314-3530</t>
  </si>
  <si>
    <t>BIOTECHNOL BIOTEC EQ</t>
  </si>
  <si>
    <t>Biotechnol. Biotechnol. Equip.</t>
  </si>
  <si>
    <t>JUL 4</t>
  </si>
  <si>
    <t>10.1080/13102818.2014.947066</t>
  </si>
  <si>
    <t>CA5FM</t>
  </si>
  <si>
    <t>WOS:000348934100019</t>
  </si>
  <si>
    <t>Amenábar, CR; Candel, MS; Guerstein, GR</t>
  </si>
  <si>
    <t>Amenabar, Cecilia R.; Soledad Candel, Maria; Raquel Guerstein, G.</t>
  </si>
  <si>
    <t>Small Antarctic Late Cretaceous chorate dinoflagellate cysts: biological and palaeoenvironmental affinities</t>
  </si>
  <si>
    <t>PALYNOLOGY</t>
  </si>
  <si>
    <t>dinoflagellate cysts; modern analogues; Argentina; Antarctica; Late Cretaceous-Holocene; palaeoenvironment</t>
  </si>
  <si>
    <t>JAMES-ROSS-ISLAND; TIERRA-DEL-FUEGO; SEYMOUR-ISLAND; VEGA-ISLAND; CAPE LAMB; QUATERNARY; PENINSULA; TAXONOMY; SEA; MICROPLANKTON</t>
  </si>
  <si>
    <t>Small spiny marine palynomorphs have been the focus of recent palynological studies since their high proportions in Antarctic Late Cretaceous and Cenozoic assemblages were noted. These palynomorphs were assigned to the dinoflagellate cyst Impletosphaeridium clavus and they were believed to have had an affinity with some modern round brown spiny cysts (RBSCs). Our study aims to analyse there together with potential modern analogues by comparing Late Cretaceous and Cenozoic Antarctic specimens with some RBSCs recorded from the Holocene of southern Argentina. We confirm several features in common between these specimens, although differences in processes and the cyst wall are observed. The species could have been produced by dinoflagellates similar to those that generate some RBSCs. Their abundance in the Late Cretaceous may have occurred in response to short term cooling pulses without development of sea-ice cover. Cenozoic records are considered to be reworked, restricting the stratigraphical range of Impletosphaeridium clavus.</t>
  </si>
  <si>
    <t>[Amenabar, Cecilia R.] Inst Antartico Argentino, RA-290 Buenos Aires, DF, Argentina; [Amenabar, Cecilia R.] Univ Buenos Aires, Inst Estudios Andinos Don Pablo Groeber, Dept Ciencias Geol, Buenos Aires, DF, Argentina; [Amenabar, Cecilia R.; Soledad Candel, Maria; Raquel Guerstein, G.] Consejo Nacl Invest Cient &amp; Tecn, Buenos Aires, DF, Argentina; [Soledad Candel, Maria; Raquel Guerstein, G.] Univ Nacl Sur, Inst Geol Sur, Dept Geol, RA-670 Bahia Blanca, Buenos Aires, Argentina</t>
  </si>
  <si>
    <t>Instituto Antartico Argentino; University of Buenos Aires; Consejo Nacional de Investigaciones Cientificas y Tecnicas (CONICET); National University of the South</t>
  </si>
  <si>
    <t>Amenábar, CR (corresponding author), Inst Antartico Argentino, RA-290 Buenos Aires, DF, Argentina.</t>
  </si>
  <si>
    <t>amenabar@gl.fcen.uba.ar</t>
  </si>
  <si>
    <t>Guerstein, G. Raquel/0000-0003-1623-1084</t>
  </si>
  <si>
    <t>Agencia Nacional de Promocion Cientifica y Tecnologica [PICTO-2010-0112, PICT Redes 2002-00067, PICT 89/09]; PICT [89/09]; Consejo Nacional de Investigaciones Cientificas y Tecnicas [PIP 02787/02, PIP 112-201101-00566]; Universidad Nacional del Sur [PGI 24/H125]; Fundacion Antorchas [Proyecto A-13672/1-2]</t>
  </si>
  <si>
    <t>Agencia Nacional de Promocion Cientifica y Tecnologica(ANPCyTSpanish Government); PICT(ANPCyT); Consejo Nacional de Investigaciones Cientificas y Tecnicas(Consejo Nacional de Investigaciones Cientificas y Tecnicas (CONICET)); Universidad Nacional del Sur; Fundacion Antorchas</t>
  </si>
  <si>
    <t>The authors are grateful to the Instituto Antartico Argentino and Fuerza Aerea Argentina for logistic support during the Argentine Summer Antarctic Expedition 2008, to A. Concheyro, J.M Lirio and A. Mackern for their invaluable assistance in the Antarctic field and to G. Bujalesky for support with fieldwork in the Beagle Channel. We also thank S. Grill and G. Chaves (Universidad Nacional del Sur, Bahia Blanca, Argentina) and G. Holfeltz (Universidad de Buenos Aires, Argentina) for the preparation of palynological samples, and to the Centro de Microscopia Avanzada (CMA) for the SEM image. We are grateful to S. Gonzalez Estebenet and D. Olivera for their help in figure preparation. We thank J. Cornago for her assistance in English grammar. We also thank J. Riding and V. Bowman and three anonymous reviewers for their helpful comments and suggestions that enhanced the manuscript. Financial support was provided by the Agencia Nacional de Promocion Cientifica y Tecnologica PICTO-2010-0112 and PICT Redes 2002-00067 and PICT 89/09), and PICT 89/09, by Consejo Nacional de Investigaciones Cientificas y Tecnicas (PIP 02787/02 and PIP 112-201101-00566), by Universidad Nacional del Sur (PGI 24/H125) and Fundacion Antorchas (Proyecto A-13672/1-2). This paper is contribution number R-128 of the Instituto de Estudios Andinos 'Don Pablo Groeber' (IDEAN - CONICET).</t>
  </si>
  <si>
    <t>TAYLOR &amp; FRANCIS INC</t>
  </si>
  <si>
    <t>PHILADELPHIA</t>
  </si>
  <si>
    <t>530 WALNUT STREET, STE 850, PHILADELPHIA, PA 19106 USA</t>
  </si>
  <si>
    <t>0191-6122</t>
  </si>
  <si>
    <t>1558-9188</t>
  </si>
  <si>
    <t>Palynology</t>
  </si>
  <si>
    <t>JUL 3</t>
  </si>
  <si>
    <t>10.1080/01916122.2014.907829</t>
  </si>
  <si>
    <t>AR8HL</t>
  </si>
  <si>
    <t>WOS:000343816200009</t>
  </si>
  <si>
    <t>Tarling, GA; Cottier, FR; Everson, I</t>
  </si>
  <si>
    <t>Tarling, Geraint A.; Cottier, Finlo R.; Everson, Inigo</t>
  </si>
  <si>
    <t>Spatial patterns in the vertical structure of euphausiids in Gullmarsfjord, Sweden: Identifying influences on bilayer formation and distribution</t>
  </si>
  <si>
    <t>MARINE BIOLOGY RESEARCH</t>
  </si>
  <si>
    <t>KRILL MEGANYCTIPHANES-NORVEGICA; DOPPLER CURRENT PROFILERS; BEAM ECHO-SOUNDER; ANTARCTIC KRILL; NORTHERN KRILL; FEEDING-BEHAVIOR; BACKSCATTERING STRENGTH; CALANUS-FINMARCHICUS; MIGRATION BEHAVIOR; SCATTERING LAYERS</t>
  </si>
  <si>
    <t>[Tarling, Geraint A.] British Antarctic Survey, Nat Environm Res Council, Cambridge CB3 0ET, England; [Cottier, Finlo R.] Scottish Assoc Marine Sci, Scottish Marine Inst, Oban, Argyll, Scotland; [Everson, Inigo] Anglia Ruskin Univ, Environm Sci Res Ctr, Cambridge, England</t>
  </si>
  <si>
    <t>UK Research &amp; Innovation (UKRI); Natural Environment Research Council (NERC); NERC British Antarctic Survey; UHI Millennium Institute; Anglia Ruskin University</t>
  </si>
  <si>
    <t>Tarling, GA (corresponding author), British Antarctic Survey, Nat Environm Res Council, Madingley Rd, Cambridge CB3 0ET, England.</t>
  </si>
  <si>
    <t>gant@bas.ac.uk</t>
  </si>
  <si>
    <t>Cottier, Finlo/K-6277-2012</t>
  </si>
  <si>
    <t>Cottier, Finlo/0000-0002-3068-1754</t>
  </si>
  <si>
    <t>European Commission</t>
  </si>
  <si>
    <t>European Commission(European Union (EU)European Commission Joint Research Centre)</t>
  </si>
  <si>
    <t>This project was supported by a grant from the European Commission 6th Framework Programme on 'Research Technological Development and Demonstration: Access to Research Infrastructure programme'. GT carried out this work as part of the ECOSYSTEMS programme at the British Antarctic Survey.</t>
  </si>
  <si>
    <t>TAYLOR &amp; FRANCIS AS</t>
  </si>
  <si>
    <t>OSLO</t>
  </si>
  <si>
    <t>KARL JOHANS GATE 5, NO-0154 OSLO, NORWAY</t>
  </si>
  <si>
    <t>1745-1000</t>
  </si>
  <si>
    <t>1745-1019</t>
  </si>
  <si>
    <t>MAR BIOL RES</t>
  </si>
  <si>
    <t>Mar. Biol. Res.</t>
  </si>
  <si>
    <t>10.1080/17451000.2013.831180</t>
  </si>
  <si>
    <t>AB8SP</t>
  </si>
  <si>
    <t>WOS:000332060600001</t>
  </si>
  <si>
    <t>Foster, SD; Griffin, DA; Dunstan, PK</t>
  </si>
  <si>
    <t>Foster, Scott D.; Griffin, David A.; Dunstan, Piers K.</t>
  </si>
  <si>
    <t>Twenty Years of High-Resolution Sea Surface Temperature Imagery around Australia: Inter-Annual and Annual Variability</t>
  </si>
  <si>
    <t>CLIMATE-CHANGE; LEEUWIN CURRENT; MARINE; TRENDS</t>
  </si>
  <si>
    <t>The physical climate defines a significant portion of the habitats in which biological communities and species reside. It is important to quantify these environmental conditions, and how they have changed, as this will inform future efforts to study many natural systems. In this article, we present the results of a statistical summary of the variability in sea surface temperature (SST) time-series data for the waters surrounding Australia, from 1993 to 2013. We partition variation in the SST series into annual trends, inter-annual trends, and a number of components of random variation. We utilise satellite data and validate the statistical summary from these data to summaries of data from long-term monitoring stations and from the global drifter program. The spatially dense results, available as maps from the Australian Oceanographic Data Network's data portal (http://www.cmar.csiro.au/geonetwork/srv/en/metadata.show?id = 51805), show clear trends that associate with oceanographic features. Noteworthy oceanographic features include: average warming was greatest off southern West Australia and off eastern Tasmania, where the warming was around 0.60C per decade for a twenty year study period, and insubstantial warming in areas dominated by the East Australian Current, but this area did exhibit high levels of inter-annual variability (long-term trend increases and decreases but does not increase on average). The results of the analyses can be directly incorporated into (biogeographic) models that explain variation in biological data where both biological and environmental data are on a fine scale.</t>
  </si>
  <si>
    <t>[Foster, Scott D.; Dunstan, Piers K.] CSIROs Wealth Oceans Flagship, Hobart, Tas, Australia; [Griffin, David A.] CSIROs Marine &amp; Atmospher Res, Hobart, Tas, Australia</t>
  </si>
  <si>
    <t>Commonwealth Scientific &amp; Industrial Research Organisation (CSIRO); Commonwealth Scientific &amp; Industrial Research Organisation (CSIRO)</t>
  </si>
  <si>
    <t>Foster, SD (corresponding author), CSIROs Wealth Oceans Flagship, Hobart, Tas, Australia.</t>
  </si>
  <si>
    <t>scott.foster@csiro.au</t>
  </si>
  <si>
    <t>Dunstan, Piers/B-7309-2016; Foster, Scott/E-9311-2010</t>
  </si>
  <si>
    <t>Dunstan, Piers/0000-0002-2568-5945; Foster, Scott/0000-0002-6719-8002</t>
  </si>
  <si>
    <t>Marine Biodiversity Hub through Australian Government's National Environmental Research Program (NERP)</t>
  </si>
  <si>
    <t>SDF and PKD were supported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 The funders had no role in study design, data collection and analysis, decision to publish, or preparation of the manuscript.</t>
  </si>
  <si>
    <t>JUL 2</t>
  </si>
  <si>
    <t>e100762</t>
  </si>
  <si>
    <t>10.1371/journal.pone.0100762</t>
  </si>
  <si>
    <t>AO5BA</t>
  </si>
  <si>
    <t>Green Accepted, gold, Green Published, Green Submitted</t>
  </si>
  <si>
    <t>WOS:000341354100042</t>
  </si>
  <si>
    <t>Aartsen, MG; Abbasi, R; Ackermann, M; Adams, J; Aguilar, JA; Ahlers, M; Altmann, D; Arguelles, C; Arlen, TC; Auffenberg, J; Bai, X; Baker, M; Barwick, SW; Baum, V; Bay, R; Beatty, JJ; Tjus, JB; Becker, KH; Benabderrahmane, ML; BenZvi, S; Berghaus, P; Berley, D; Bernardini, E; Bernhard, A; Besson, DZ; Binder, G; Bindig, D; Bissok, M; Blaufuss, E; Blumenthal, J; Boersma, DJ; Bohm, C; Bose, D; Böser, S; Botner, O; Brayeur, L; Bretz, HP; Brown, AM; Bruijn, R; Casey, J; Casier, M; Chirkin, D; Christov, A; Christy, B; Clark, K; Classen, L; Clevermann, F; Coenders, S; Cohen, S; Cowen, DF; Silva, AHC; Danninger, M; Daughhetee, J; Davis, JC; Day, M; de André, JPAM; De Clercq, C; De Ridder, S; Desiati, P; de Vries, KD; de With, M; DeYoung, T; Díaz-Vélez, JC; Dunkman, M; Eagan, R; Eberhardt, B; Eichmann, B; Eisch, J; Euler, S; Evenson, PA; Fadiran, O; Fazely, AR; Fedynitch, A; Feintzeig, J; Feusels, T; Filimonov, K; Finley, C; Fischer-Wasels, T; Flis, S; Franckowiak, A; Frantzen, K; Fuchs, T; Gaisser, TK; Gallagher, J; Gerhardt, L; Gladstone, L; Glüsenkamp, T; Goldschmidt, A; Golup, G; Gonzalez, JG; Goodman, JA; Góra, D; Grandmont, DT; Grant, D; Gretskov, P; Groh, JC; Gross, A; Ha, C; Haack, C; Ismail, AH; Hallen, P; Hallgren, A; Halzen, F; Hanson, K; Hebecker, D; Heereman, D; Heinen, D; Helbing, K; Hellauer, R; Hickford, S; Hill, GC; Hoffman, KD; Hoffmann, R; Homeier, A; Hoshina, K; Huang, F; Huelsnitz, W; Hulth, PO; Hultqvist, K; Hussain, S; Ishihara, A; Jacobi, E; Jacobsen, J; Jagielski, K; Japaridze, GS; Jero, K; Jlelati, O; Kaminsky, B; Kappes, A; Karg, T; Karle, A; Kauer, M; Kelley, JL; Kiryluk, J; Kläs, J; Klein, SR; Köhne, JH; Kohnen, G; Kolanoski, H; Köpke, L; Kopper, C; Kopper, S; Koskinen, DJ; Kowalski, M; Krasberg, M; Kriesten, A; Krings, K; Kroll, G; Kunnen, J; Kurahashi, N; Kuwabara, T; Labare, M; Landsman, H; Larson, MJ; Lesiak-Bzdak, M; Leuermann, M; Leute, J; Luenemann, J; Macías, O; Madsen, J; Maggi, G; Maruyama, R; Mase, K; Matis, HS; McNally, F; Meagher, K; Meli, A; Merck, M; Meures, T; Miarecki, S; Middell, E; Milke, N; Miller, J; Mohrmann, L; Montaruli, T; Morse, R; Nahnhauer, R; Naumann, U; Niederhausen, H; Nowicki, SC; Nygren, DR; Obertacke, A; Odrowski, S; Olivas, A; Omairat, A; O'Murchadha, A; Palczewski, T; Paul, L; Pepper, JA; de los Heros, CP; Pfendner, C; Pieloth, D; Pinat, E; Posselt, J; Price, PB; Przybylski, GT; Quinnan, M; Rädel, L; Rameez, M; Rawlins, K; Redl, P; Reimann, R; Resconi, E; Rhode, W; Ribordy, M; Richman, M; Riedel, B; Robertson, S; Rodrigues, JP; Rott, C; Ruhe, T; Ruzybayev, B; Ryckbosch, D; Saba, SM; Sander, HG; Santander, M; Sarkar, S; Schatto, K; Scheriau, F; Schmidt, T; Schmitz, M; Schoenen, S; Schöneberg, S; Schönwald, A; Schukraft, A; Schulte, L; Schulz, O; Seckel, D; Sestayo, Y; Seunarine, S; Shanidze, R; Sheremata, C; Smith, MWE; Soldin, D; Spiczak, GM; Spiering, C; Stamatikos, M; Stanev, T; Stanisha, NA; Stasik, A; Stezelberger, T; Stokstad, RG; Stössl, A; Strahler, EA; Ström, R; Strotjohann, NL; Sullivan, GW; Taavola, H; Taboada, I; Tamburro, A; Tepe, A; Ter-Antonyan, S; Tesic, G; Tilav, S; Toale, PA; Tobin, MN; Toscano, S; Tselengidou, M; Unger, E; Usner, M; Vallecorsa, S; van Eijndhoven, N; van Santen, J; Vehring, M; Voge, M; Vraeghe, M; Walck, C; Wallraff, M; Weaver, C; Wellons, M; Wendt, C; Westerhoff, S; Whelan, BJ; Whitehorn, N; Wiebe, K; Wiebusch, CH; Williams, DR; Wissing, H; Wolf, M; Wood, TR; Woschnagg, K; Xu, DL; Xu, XW; Yanez, JP; Yodh, G; Yoshida, S; Zarzhitsky, P; Ziemann, J; Zierke, S; Zoll, M</t>
  </si>
  <si>
    <t>Aartsen, M. G.; Abbasi, R.; Ackermann, M.; Adams, J.; Aguilar, J. A.; Ahlers, M.; Altmann, D.; Arguelles, C.; Arlen, T. C.; Auffenberg, J.; Bai, X.; Baker, M.; Barwick, S. W.; Baum, V.; Bay, R.; Beatty, J. J.; Tjus, J. Becker; Becker, K. -H.; Benabderrahmane, M. L.; BenZvi, S.; Berghaus, P.; Berley, D.; Bernardini, E.; Bernhard, A.; Besson, D. Z.; Binder, G.; Bindig, D.; Bissok, M.; Blaufuss, E.; Blumenthal, J.; Boersma, D. J.; Bohm, C.; Bose, D.; Boeser, S.; Botner, O.; Brayeur, L.; Bretz, H. -P.; Brown, A. M.; Bruijn, R.; Casey, J.; Casier, M.; Chirkin, D.; Christov, A.; Christy, B.; Clark, K.; Classen, L.; Clevermann, F.; Coenders, S.; Cohen, S.; Cowen, D. F.; Silva, A. H. Cruz; Danninger, M.; Daughhetee, J.; Davis, J. C.; Day, M.; de Andre, J. P. A. M.; De Clercq, C.; De Ridder, S.; Desiati, P.; de Vries, K. D.; de With, M.; DeYoung, T.; Diaz-Velez, J. C.; Dunkman, M.; Eagan, R.; Eberhardt, B.; Eichmann, B.; Eisch, J.; Euler, S.; Evenson, P. A.; Fadiran, O.; Fazely, A. R.; Fedynitch, A.; Feintzeig, J.; Feusels, T.; Filimonov, K.; Finley, C.; Fischer-Wasels, T.; Flis, S.; Franckowiak, A.; Frantzen, K.; Fuchs, T.; Gaisser, T. K.; Gallagher, J.; Gerhardt, L.; Gladstone, L.; Gluesenkamp, T.; Goldschmidt, A.; Golup, G.; Gonzalez, J. G.; Goodman, J. A.; Gora, D.; Grandmont, D. T.; Grant, D.; Gretskov, P.; Groh, J. C.; Gross, A.; Ha, C.; Haack, C.; Ismail, A. Haj; Hallen, P.; Hallgren, A.; Halzen, F.; Hanson, K.; Hebecker, D.; Heereman, D.; Heinen, D.; Helbing, K.; Hellauer, R.; Hickford, S.; Hill, G. C.; Hoffman, K. D.; Hoffmann, R.; Homeier, A.; Hoshina, K.; Huang, F.; Huelsnitz, W.; Hulth, P. O.; Hultqvist, K.; Hussain, S.; Ishihara, A.; Jacobi, E.; Jacobsen, J.; Jagielski, K.; Japaridze, G. S.; Jero, K.; Jlelati, O.; Kaminsky, B.; Kappes, A.; Karg, T.; Karle, A.; Kauer, M.; Kelley, J. L.; Kiryluk, J.; Klaes, J.; Klein, S. R.; Koehne, J. -H.; Kohnen, G.; Kolanoski, H.; Koepke, L.; Kopper, C.; Kopper, S.; Koskinen, D. J.; Kowalski, M.; Krasberg, M.; Kriesten, A.; Krings, K.; Kroll, G.; Kunnen, J.; Kurahashi, N.; Kuwabara, T.; Labare, M.; Landsman, H.; Larson, M. J.; Lesiak-Bzdak, M.; Leuermann, M.; Leute, J.; Luenemann, J.; Macias, O.; Madsen, J.; Maggi, G.; Maruyama, R.; Mase, K.; Matis, H. S.; McNally, F.; Meagher, K.; Meli, A.; Merck, M.; Meures, T.; Miarecki, S.; Middell, E.; Milke, N.; Miller, J.; Mohrmann, L.; Montaruli, T.; Morse, R.; Nahnhauer, R.; Naumann, U.; Niederhausen, H.; Nowicki, S. C.; Nygren, D. R.; Obertacke, A.; Odrowski, S.; Olivas, A.; Omairat, A.; O'Murchadha, A.; Palczewski, T.; Paul, L.; Pepper, J. A.; de los Heros, C. Perez; Pfendner, C.; Pieloth, D.; Pinat, E.; Posselt, J.; Price, P. B.; Przybylski, G. T.; Quinnan, M.; Raedel, L.; Rameez, M.; Rawlins, K.; Redl, P.; Reimann, R.; Resconi, E.; Rhode, W.; Ribordy, M.; Richman, M.; Riedel, B.; Robertson, S.; Rodrigues, J. P.; Rott, C.; Ruhe, T.; Ruzybayev, B.; Ryckbosch, D.; Saba, S. M.; Sander, H. -G.; Santander, M.; Sarkar, S.; Schatto, K.; Scheriau, F.; Schmidt, T.; Schmitz, M.; Schoenen, S.; Schoeneberg, S.; Schoenwald, A.; Schukraft, A.; Schulte, L.; Schulz, O.; Seckel, D.; Sestayo, Y.; Seunarine, S.; Shanidze, R.; Sheremata, C.; Smith, M. W. E.; Soldin, D.; Spiczak, G. M.; Spiering, C.; Stamatikos, M.; Stanev, T.; Stanisha, N. A.; Stasik, A.; Stezelberger, T.; Stokstad, R. G.; Stoessl, A.; Strahler, E. A.; Stroem, R.; Strotjohann, N. L.; Sullivan, G. W.; Taavola, H.; Taboada, I.; Tamburro, A.; Tepe, A.; Ter-Antonyan, S.; Tesic, G.; Tilav, S.; Toale, P. A.; Tobin, M. N.; Toscano, S.; Tselengidou, M.; Unger, E.; Usner, M.; Vallecorsa, S.; van Eijndhoven, N.; van Santen, J.; Vehring, M.; Voge, M.; Vraeghe, M.; Walck, C.; Wallraff, M.; Weaver, Ch.; Wellons, M.; Wendt, C.; Westerhoff, S.; Whelan, B. J.; Whitehorn, N.; Wiebe, K.; Wiebusch, C. H.; Williams, D. R.; Wissing, H.; Wolf, M.; Wood, T. R.; Woschnagg, K.; Xu, D. L.; Xu, X. W.; Yanez, J. P.; Yodh, G.; Yoshida, S.; Zarzhitsky, P.; Ziemann, J.; Zierke, S.; Zoll, M.</t>
  </si>
  <si>
    <t>Search for non-relativistic magnetic monopoles with IceCube</t>
  </si>
  <si>
    <t>EUROPEAN PHYSICAL JOURNAL C</t>
  </si>
  <si>
    <t>UNIFIED GAUGE THEORIES; PROTON-DECAY; FERMION INTERACTIONS; NEUTRINO TELESCOPE; MACRO EXPERIMENT; STOPPING POWER; ENERGY-LOSS; SOUTH-POLE; ICE; PERFORMANCE</t>
  </si>
  <si>
    <t>The IceCube Neutrino Observatory is a large Cherenkov detector instrumenting of Antarctic ice. The detector can be used to search for signatures of particle physics beyond the Standard Model. Here, we describe the search for non-relativistic, magnetic monopoles as remnants of the Grand Unified Theory (GUT) era shortly after the Big Bang. Depending on the underlying gauge group these monopoles may catalyze the decay of nucleons via the Rubakov-Callan effect with a cross section suggested to be in the range of to . In IceCube, the Cherenkov light from nucleon decays along the monopole trajectory would produce a characteristic hit pattern. This paper presents the results of an analysis of first data taken from May 2011 until May 2012 with a dedicated slow-particle trigger for DeepCore, a subdetector of IceCube. A second analysis provides better sensitivity for the brightest non-relativistic monopoles using data taken from May 2009 until May 2010. In both analyses no monopole signal was observed. For catalysis cross sections of the flux of non-relativistic GUT monopoles is constrained up to a level of at a 90 % confidence level, which is three orders of magnitude below the Parker bound. The limits assume a dominant decay of the proton into a positron and a neutral pion. These results improve the current best experimental limits by one to two orders of magnitude, for a wide range of assumed speeds and catalysis cross sections.</t>
  </si>
  <si>
    <t>[Auffenberg, J.; Bissok, M.; Blumenthal, J.; Gretskov, P.; Haack, C.; Hallen, P.; Heinen, D.; Jagielski, K.; Kriesten, A.; Krings, K.; Leuermann, M.; Paul, L.; Raedel, L.; Reimann, R.; Schoenen, S.; Schukraft, A.; Vehring, M.; Wallraff, M.; Wiebusch, C. H.; Zierke, S.] Rhein Westfal TH Aachen, Inst Phys 3, D-52056 Aachen, Germany; [Aartsen, M. G.; Hill, G. C.; Robertson, S.; Whelan, B. J.] Univ Adelaide, Sch Chem &amp; Phys, Adelaide, SA 5005, Australia; [Rawlins, K.] Univ Alaska Anchorage, Dept Phys &amp; Astron, Anchorage, AK 99508 USA; [Japaridze, G. S.] Clark Atlanta Univ, CTSPS, Atlanta, GA 30314 USA; [Casey, J.; Daughhetee, J.; Taboada, I.] Georgia Inst Technol, Sch Civist Astrophys, Atlanta, GA 30332 USA; [Fazely, A. R.; Ter-Antonyan, S.; Xu, X. W.] Southern Univ, Dept Phys, Baton Rouge, LA 70813 USA; [Bay, R.; Binder, G.; Filimonov, K.; Gerhardt, L.; Ha, C.; Klein, S. R.; Miarecki, S.; Price, P. B.; Woschnagg, K.] Univ Calif Berkeley, Dept Phys, Berkeley, CA 94720 USA; [Binder, G.; Gerhardt, L.; Goldschmidt, A.; Ha, C.; Klein, S. R.; Matis, H. S.; Miarecki, S.; Nygren, D. R.; Przybylski, G. T.; Stezelberger, T.; Stokstad, R. G.] Lawrence Berkeley Natl Lab, Berkeley, CA 94720 USA; [de With, M.; Kolanoski, H.] Humboldt Univ, Inst Phys, D-12489 Berlin, Germany; [Tjus, J. Becker; Eichmann, B.; Fedynitch, A.; Saba, S. M.; Schoeneberg, S.; Unger, E.] Ruhr Univ Bochum, Fak Phys &amp; Astron, D-44780 Bochum, Germany; [Boeser, S.; Franckowiak, A.; Hebecker, D.; Homeier, A.; Kowalski, M.; Schulte, L.; Stasik, A.; Strotjohann, N. L.; Usner, M.; Voge, M.] Univ Bonn, Inst Phys, D-53115 Bonn, Germany; [Hanson, K.; Heereman, D.; Meures, T.; O'Murchadha, A.; Pinat, E.] Univ Libre Bruxelles, Sci Fac CP230, B-1050 Brussels, Belgium; [Brayeur, L.; Casier, M.; De Clercq, C.; de Vries, K. D.; Golup, G.; Kunnen, J.; Maggi, G.; Miller, J.; Strahler, E. A.; van Eijndhoven, N.] Vrije Univ Brussel, Dienst ELEM, B-1050 Brussels, Belgium; [Ishihara, A.; Mase, K.; Yoshida, S.] Chiba Univ, Dept Phys, Chiba 2638522, Japan; [Adams, J.; Brown, A. M.; Hickford, S.; Macias, O.] Univ Canterbury, Dept Phys &amp; Astron, Christchurch, New Zealand; [Berley, D.; Blaufuss, E.; Christy, B.; Goodman, J. A.; Hellauer, R.; Hoffman, K. D.; Huelsnitz, W.; Meagher, K.; Olivas, A.; Redl, P.; Richman, M.; Schmidt, T.; Sullivan, G. W.; Wissing, H.] Univ Maryland, Dept Phys, College Pk, MD 20742 USA; [Beatty, J. J.; Davis, J. C.; Pfendner, C.; Stamatikos, M.] Ohio State Univ, Dept Phys, Columbus, OH 43210 USA; [Beatty, J. J.; Davis, J. C.; Pfendner, C.; Stamatikos, M.] Ohio State Univ, Ctr Cosmol &amp; Astroparticle Phys, Columbus, OH 43210 USA; [Beatty, J. J.] Ohio State Univ, Dept Astron, Columbus, OH 43210 USA; [Koskinen, D. J.; Sarkar, S.] Univ Copenhagen, Niels Bohr Inst, DK-2100 Copenhagen, Denmark; [Clevermann, F.; Frantzen, K.; Fuchs, T.; Koehne, J. -H.; Milke, N.; Pieloth, D.; Rhode, W.; Ruhe, T.; Scheriau, F.; Schmitz, M.; Ziemann, J.] TU Dortmund Univ, Dept Phys, D-44221 Dortmund, Germany; [Grandmont, D. T.; Grant, D.; Nowicki, S. C.; Odrowski, S.; Sheremata, C.; Wood, T. R.] Univ Alberta, Dept Phys, Edmonton, AB T6G 2E1, Canada; [Altmann, D.; Classen, L.; Gora, D.; Kappes, A.; Tselengidou, M.] Univ Erlangen Nurnberg, Erlangen Ctr Astroparticle Phys, D-91058 Erlangen, Germany; [Aguilar, J. A.; Christov, A.; Montaruli, T.; Rameez, M.; Vallecorsa, S.] Univ Geneva, Dept Phys Nucl &amp; Corpusculaire, CH-1211 Geneva, Switzerland; [De Ridder, S.; Feusels, T.; Ismail, A. Haj; Jlelati, O.; Labare, M.; Meli, A.; Ryckbosch, D.; Vraeghe, M.] Univ Ghent, Dept Phys &amp; Astron, B-9000 Ghent, Belgium; [Barwick, S. W.; Yodh, G.] Univ Calif Irvine, Dept Phys &amp; Astron, Irvine, CA 92697 USA; [Bruijn, R.; Cohen, S.] Ecole Polytech Fed Lausanne, High Energy Phys Lab, CH-1015 Lausanne, Switzerland; [Besson, D. Z.] Univ Kansas, Dept Phys &amp; Astron, Lawrence, KS 66045 USA; [Gallagher, J.] Univ Wisconsin, Dept Astron, Madison, WI 53706 USA; [Abbasi, R.; Ahlers, M.; Arguelles, C.; Baker, M.; BenZvi, S.; Chirkin, D.; Day, M.; Desiati, P.; Diaz-Velez, J. C.; Eisch, J.; Fadiran, O.; Feintzeig, J.; Gladstone, L.; Halzen, F.; Hoshina, K.; Jacobsen, J.; Jero, K.; Karle, A.; Kauer, M.; Kelley, J. L.; Kopper, C.; Krasberg, M.; Kurahashi, N.; Landsman, H.; Maruyama, R.; McNally, F.; Merck, M.; Morse, R.; Riedel, B.; Rodrigues, J. P.; Santander, M.; Tobin, M. N.; Toscano, S.; van Santen, J.; Weaver, Ch.; Wellons, M.; Wendt, C.; Westerhoff, S.; Whitehorn, N.] Univ Wisconsin, Dept Phys, Madison, WI 53706 USA; [Abbasi, R.; Ahlers, M.; Arguelles, C.; Baker, M.; BenZvi, S.; Chirkin, D.; Day, M.; Desiati, P.; Diaz-Velez, J. C.; Eisch, J.; Fadiran, O.; Feintzeig, J.; Gladstone, L.; Halzen, F.; Hoshina, K.; Jacobsen, J.; Jero, K.; Karle, A.; Kauer, M.; Kelley, J. L.; Kopper, C.; Krasberg, M.; Kurahashi, N.; Landsman, H.; Maruyama, R.; McNally, F.; Merck, M.; Morse, R.; Riedel, B.; Rodrigues, J. P.; Santander, M.; Tobin, M. N.; Toscano, S.; van Santen, J.; Weaver, Ch.; Wellons, M.; Wendt, C.; Westerhoff, S.; Whitehorn, N.] Univ Wisconsin, Wisconsin IceCube Particle Astrophys Ctr, Madison, WI 53706 USA; [Baum, V.; Eberhardt, B.; Koepke, L.; Kroll, G.; Luenemann, J.; Sander, H. -G.; Schatto, K.; Wiebe, K.] Johannes Gutenberg Univ Mainz, Inst Phys, D-55099 Mainz, Germany; [Kohnen, G.] Univ Mons, B-7000 Mons, Belgium; [Bernhard, A.; Coenders, S.; Gross, A.; Leute, J.; Resconi, E.; Schulz, O.; Sestayo, Y.] Tech Univ Munich, D-85748 Garching, Germany; [Bai, X.; Evenson, P. A.; Gaisser, T. K.; Gonzalez, J. G.; Hussain, S.; Kuwabara, T.; Ruzybayev, B.; Seckel, D.; Stanev, T.; Tamburro, A.; Tilav, S.] Univ Delaware, Bartol Res Inst, Newark, DE 19716 USA; [Bai, X.; Evenson, P. A.; Gaisser, T. K.; Gonzalez, J. G.; Hussain, S.; Kuwabara, T.; Ruzybayev, B.; Seckel, D.; Stanev, T.; Tamburro, A.; Tilav, S.] Univ Delaware, Dept Phys &amp; Astron, Newark, DE 19716 USA; [Sarkar, S.] Univ Oxford, Dept Phys, Oxford OX1 3NP, England; [Madsen, J.; Seunarine, S.; Spiczak, G. M.] Univ Wisconsin, Dept Phys, River Falls, WI 54022 USA; [Bohm, C.; Danninger, M.; Finley, C.; Flis, S.; Hulth, P. O.; Hultqvist, K.; Walck, C.; Wolf, M.; Zoll, M.] Stockholm Univ, Oskar Klein Ctr, S-10691 Stockholm, Sweden; [Bohm, C.; Danninger, M.; Finley, C.; Flis, S.; Hulth, P. O.; Hultqvist, K.; Walck, C.; Wolf, M.; Zoll, M.] Stockholm Univ, Dept Phys, S-10691 Stockholm, Sweden; [Kiryluk, J.; Lesiak-Bzdak, M.; Niederhausen, H.] SUNY Stony Brook, Dept Phys &amp; Astron, Stony Brook, NY 11794 USA; [Bose, D.; Rott, C.] Sungkyunkwan Univ, Dept Phys, Suwon 440746, South Korea; [Clark, K.] Univ Toronto, Dept Phys, Toronto, ON M5S 1A7, Canada; [Larson, M. J.; Palczewski, T.; Pepper, J. A.; Toale, P. A.; Williams, D. R.; Xu, D. L.; Zarzhitsky, P.] Univ Alabama, Dept Phys &amp; Astron, Tuscaloosa, AL 35487 USA; [Cowen, D. F.] Penn State Univ, Dept Astron &amp; Astrophys, University Pk, PA 16802 USA; [Arlen, T. C.; Cowen, D. F.; de Andre, J. P. A. M.; DeYoung, T.; Dunkman, M.; Eagan, R.; Groh, J. C.; Huang, F.; Quinnan, M.; Smith, M. W. E.; Stanisha, N. A.; Tesic, G.] Penn State Univ, Dept Phys, University Pk, PA 16802 USA; [Boersma, D. J.; Botner, O.; Euler, S.; Hallgren, A.; de los Heros, C. Perez; Stroem, R.; Taavola, H.] Uppsala Univ, Dept Phys &amp; Astron, S-75120 Uppsala, Sweden; [Becker, K. -H.; Bindig, D.; Fischer-Wasels, T.; Helbing, K.; Hoffmann, R.; Klaes, J.; Kopper, S.; Naumann, U.; Obertacke, A.; Omairat, A.; Posselt, J.; Soldin, D.; Tepe, A.] Univ Wuppertal, Dept Phys, D-42119 Wuppertal, Germany; [Ackermann, M.; Benabderrahmane, M. L.; Berghaus, P.; Bernardini, E.; Bretz, H. -P.; Silva, A. H. Cruz; Gluesenkamp, T.; Jacobi, E.; Kaminsky, B.; Karg, T.; Middell, E.; Mohrmann, L.; Nahnhauer, R.; Schoenwald, A.; Shanidze, R.; Spiering, C.; Stoessl, A.; Yanez, J. P.] DESY, D-15735 Zeuthen, Germany</t>
  </si>
  <si>
    <t>RWTH Aachen University; University of Adelaide; University of Alaska System; University of Alaska Anchorage; Clark Atlanta University;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Ruhr University Bochum; University of Wurzburg; University of Bonn; Universite Libre de Bruxelles; Vrije Universiteit Brussel; Chiba University;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University of Alberta; University of Erlangen Nuremberg; University of Geneva; Ghent University; University of California System; University of California Irvine; Swiss Federal Institutes of Technology Domain; Ecole Polytechnique Federale de Lausanne; University of Kansas; University of Wisconsin System; University of Wisconsin Madison; University of Wisconsin System; University of Wisconsin Madison; University of Wisconsin System; University of Wisconsin Madison; Johannes Gutenberg University of Mainz; University of Mons; Technical University of Munich; University of Delaware; University of Delaware; University of Oxford; University of Wisconsin System; Stockholm University; Oskar Klein Centre; Stockholm University; State University of New York (SUNY) System; State University of New York (SUNY) Stony Brook; Sungkyunkwan University (SKKU); University of Toronto;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t>
  </si>
  <si>
    <t>Aartsen, MG (corresponding author), Univ Adelaide, Sch Chem &amp; Phys, Adelaide, SA 5005, Australia.</t>
  </si>
  <si>
    <t>mohamed.lotfi.benabderrahmane@desy.de; schoenen@physik.rwth-aachen.de</t>
  </si>
  <si>
    <t>Williams, David/HKN-3732-2023; Matis, Howard S/HMV-9747-2023; Auffenberg, Jan/D-3954-2014; Huang, Feifei/AAX-2156-2020; Kauer, Matt/AAY-7581-2020; Whitehorn, Nathan/HDM-8864-2022; Tjus, Julia/G-8145-2012; Strotjohann, Nora Linn/GPX-7122-2022; Christov, Asen/S-4508-2018; DeYoung, Tyce/O-6895-2019; Díaz Vélez, Juan Carlos/T-2788-2018; Heinen, Dirk/ABF-7280-2020; Bernardini, Elisa/AAA-4810-2020; Resconi, Elisa/I-3874-2016; Macias, Oscar/AAA-1123-2022; Wiebusch, Christopher H.V./G-6490-2012; Sarkar, Subir/G-5978-2011; Rott, Carsten/ABB-1304-2021; Benabderrahmane, Mohamed Lotfi/JFB-3165-2023; Fedynitch, Anatoli/AAQ-9927-2021; Matis, Howard/AAO-2082-2021; sanchez, juan/GSD-8167-2022; Miller, Jonathan/HOC-2272-2023; Bose, Debanjan/IQT-3805-2023; Díaz Vélez, Juan Carlos/AAD-5211-2022; Maruyama, Reina H/A-1064-2013; Gonzalez, Javier G/G-2520-2017; Ha, C/GZL-9046-2022; Kopper, Claudio/N-5824-2019; Taavola, Henric/B-4497-2011; Reimann, René/AAS-8239-2020; Beatty, James/D-9310-2011; Hallen, Patrick/ABD-7121-2020; Sarkar, Subir/GPT-4902-2022; Ha, Chang Hyon/AAR-8120-2021; HAJ ISMAIL, ABD AL KARIM/AAD-9991-2019; Kowalski, Marek/G-5546-2012; Aguilar Sanchez, Juan Antonio/H-4467-2015; Koskinen, David/G-3236-2014; Miller, Jonathan/R-8518-2017; Gora, Dariusz/M-8695-2018; Ahlers, Markus/V-8757-2017; Goodman, Jordan/J-4188-2018; Rameez, Mohamed/N-1671-2016</t>
  </si>
  <si>
    <t>Matis, Howard S/0000-0003-0764-4389; Auffenberg, Jan/0000-0002-1185-9094; Huang, Feifei/0000-0002-6014-5928; Kauer, Matt/0000-0003-1830-9076; Whitehorn, Nathan/0000-0002-3157-0407; Tjus, Julia/0000-0002-1748-7367; Christov, Asen/0000-0001-8121-5860; DeYoung, Tyce/0000-0003-4873-3783; Díaz Vélez, Juan Carlos/0000-0002-0087-0693; Heinen, Dirk/0000-0002-4502-7288; Bernardini, Elisa/0000-0003-3108-1141; Resconi, Elisa/0000-0003-0705-2770; Macias, Oscar/0000-0001-8867-2693; Wiebusch, Christopher H.V./0000-0002-6418-3008; Sarkar, Subir/0000-0002-3542-858X; Rott, Carsten/0000-0002-6958-6033; Benabderrahmane, Mohamed Lotfi/0000-0003-4410-5886; Fedynitch, Anatoli/0000-0003-2837-3477; Díaz Vélez, Juan Carlos/0000-0002-0087-0693; Maruyama, Reina H/0000-0003-2794-512X; Gonzalez, Javier G/0000-0001-8746-2846; Taavola, Henric/0000-0002-2604-2810; Reimann, René/0000-0002-1983-8271; Beatty, James/0000-0003-0481-4952; HAJ ISMAIL, ABD AL KARIM/0000-0003-4941-5154; Rhode, Wolfgang/0000-0003-2636-5000; Stasik, Alexander/0000-0003-1646-2472; Yoshida, Shigeru/0000-0003-2480-5105; Mohrmann, Lars/0000-0002-9667-8654; Kolanoski, Hermann/0000-0003-0435-2524; Franckowiak, Anna/0000-0002-5605-2219; Meagher, Kevin/0000-0003-3967-1533; Kowalski, Marek/0000-0001-8594-8666; Haack, Christian/0000-0003-3932-2448; Pollmann, Anna/0000-0002-2492-043X; Aguilar Sanchez, Juan Antonio/0000-0003-2252-9514; Danninger, Matthias/0000-0002-7807-7484; Helbing, Klaus/0000-0003-2072-4172; Koskinen, David/0000-0002-0514-5917; Groh, John/0000-0001-9880-3634; Perez de los Heros, Carlos/0000-0002-2084-5866; Desiati, Paolo/0000-0001-9768-1858; Karg, Timo/0000-0003-3251-2126; Toscano, Simona/0000-0002-1860-2240; Strom, Rickard/0000-0002-4496-1626; Montaruli, Teresa/0000-0001-5014-2152; Santander, Juan Marcos/0000-0001-7297-8217; Kappes, Alexander/0000-0003-1315-3711; Miller, Jonathan/0000-0002-7992-8033; Vallecorsa, Sofia/0000-0002-7003-5765; Brown, Anthony/0000-0003-0259-3148; BenZvi, Segev/0000-0001-5537-4710; Ackermann, Markus/0000-0001-8952-588X; Gora, Dariusz/0000-0002-4853-5974; Ha, Chang Hyon/0000-0002-9598-8589; Daughhetee, Jacob/0000-0001-5220-7159; Ahlers, Markus/0000-0003-0709-5631; Taboada, Ignacio/0000-0003-3509-3457; Ruhe, Tim/0000-0002-4080-9563; Goodman, Jordan/0000-0002-9790-1299; Athayde Marcondes de Andre, Joao Pedro/0000-0002-8905-1351; Hill, Gary/0000-0001-8881-6802; Bose, Debanjan/0000-0003-1071-5854; Schukraft, Anne/0000-0002-9112-5479; Spiczak, Glenn/0000-0002-0030-0519; Strotjohann, Nora Linn/0000-0002-4667-6730; Klein, Spencer/0000-0003-2841-6553; Arguelles-Delgado, Carlos/0000-0003-4186-4182; Ter-Antonyan, Samvel/0000-0002-5788-1369; Rameez, Mohamed/0000-0001-5023-5631; de Vries, Krijn/0000-0002-9842-4068; Seunarine, Suruj/0000-0003-3272-6896</t>
  </si>
  <si>
    <t>U.S. National Science Foundation-Office of Polar Programs; U.S. National Science Foundation-Physics Division; University of Wisconsin Alumni Research Foundation; Grid Laboratory Of Wisconsin (GLOW) grid infrastructure at the University of Wisconsin - Madison; Open Science Grid (OSG) grid infrastructure; U.S. Department of Energy; National Energy Research Scientific Computing Center; Louisiana Optical Network Initiative (LONI) grid computing resources; Natural Sciences and Engineering Research Council of Canada; West-Grid and Compute/Calcul Canada; Swedish Research Council; Swedish Polar Research Secretariat; Swedish National Infrastructure for Computing (SNIC); Knut and Alice Wallenberg Foundation, Sweden; German Ministry for Education and Research (BMBF); Deutsche Forschungsgemeinschaft (DFG); DFG [Sonderforschungsbereich 676]; Helmholtz Alliance for Astroparticle Physics (HAP); Research Department of Plasmas with Complex Interactions (Bochum), Germany; Fund for Scientific Research(FNRS-FWO); FWO Odysseus programme; Flanders Institute; Belgian Federal Science Policy Office (Belspo); University of Oxford, United Kingdom; Marsden Fund, New Zealand; Australian Research Council; Japan Society for Promotion of Science (JSPS); Swiss National Science Foundation (SNSF), Switzerland; National Research Foundation of Korea (NRF); Danish National Research Foundation, Denmark (DNRF); STFC [ST/L000474/1, ST/J000507/1] Funding Source: UKRI; Science and Technology Facilities Council [ST/J000507/1, ST/L000474/1] Funding Source: researchfish; Division Of Physics; Direct For Mathematical &amp; Physical Scien [1403586] Funding Source: National Science Foundation</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</si>
  <si>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 - Madison; Open Science Grid (OSG) grid infrastructure; U.S. Department of Energy(United States Department of Energy (DOE)); National Energy Research Scientific Computing Center; Louisiana Optical Network Initiative (LONI) grid computing resources; Natural Sciences and Engineering Research Council of Canada(Natural Sciences and Engineering Research Council of Canada (NSERC)CGIAR); West-Grid and Compute/Calcul Canada; Swedish Research Council(Swedish Research Council); Swedish Polar Research Secretariat; Swedish National Infrastructure for Computing (SNIC); Knut and Alice Wallenberg Foundation, Sweden(Knut &amp; Alice Wallenberg Foundation); German Ministry for Education and Research (BMBF)(Federal Ministry of Education &amp; Research (BMBF)); Deutsche Forschungsgemeinschaft (DFG)(German Research Foundation (DFG)); DFG(German Research Foundation (DFG)); Helmholtz Alliance for Astroparticle Physics (HAP); Research Department of Plasmas with Complex Interactions (Bochum), Germany; Fund for Scientific Research(FNRS-FWO)(FWOFonds de la Recherche Scientifique - FNRS); FWO Odysseus programme; Flanders Institute; Belgian Federal Science Policy Office (Belspo)(Belgian Federal Science Policy Office); University of Oxford, United Kingdom; Marsden Fund, New Zealand(Royal Society of New ZealandMarsden Fund (NZ)); Australian Research Council(Australian Research Council); Japan Society for Promotion of Science (JSPS)(Ministry of Education, Culture, Sports, Science and Technology, Japan (MEXT)Japan Society for the Promotion of Science); Swiss National Science Foundation (SNSF), Switzerland(Swiss National Science Foundation (SNSF)); National Research Foundation of Korea (NRF)(National Research Foundation of Korea); Danish National Research Foundation, Denmark (DNRF)(National Research Foundation of Korea); STFC(UK Research &amp; Innovation (UKRI)Science &amp; Technology Facilities Council (STFC)); Science and Technology Facilities Council(UK Research &amp; Innovation (UKRI)Science &amp; Technology Facilities Council (STFC)); Division Of Physics; Direct For Mathematical &amp; Physical Scien(National Science Foundation (NSF)NSF - Directorate for Mathematical &amp; Physical Sciences (MPS))</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</si>
  <si>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 - Madison, the Open Science Grid (OSG) grid infrastructure; U.S. Department of Energy, and National Energy Research Scientific Computing Center, the Louisiana Optical Network Initiative (LONI) grid computing resources; Natural Sciences and Engineering Research Council of Canada, West-Grid and Compute/Calcul Canada; Swedish Research Council, Swedish Polar Research Secretariat, Swedish National Infrastructure for Computing (SNIC), and Knut and Alice Wallenberg Foundation, Sweden; German Ministry for Education and Research (BMBF), Deutsche Forschungsgemeinschaft (DFG), L.B. was funded by the DFG Sonderforschungsbereich 676, Helmholtz Alliance for Astroparticle Physics (HAP), Research Department of Plasmas with Complex Interactions (Bochum), Germany; Fund for Scientific Research(FNRS-FWO), FWO Odysseus programme, Flanders Institute to encourage scientific and technological research in industry (IWT), Belgian Federal Science Policy Office (Belspo); University of Oxford, United Kingdom; Marsden Fund, New Zealand; Australian Research Council; Japan Society for Promotion of Science (JSPS); the Swiss National Science Foundation (SNSF), Switzerland; National Research Foundation of Korea (NRF); Danish National Research Foundation, Denmark (DNRF).</t>
  </si>
  <si>
    <t>1434-6044</t>
  </si>
  <si>
    <t>1434-6052</t>
  </si>
  <si>
    <t>EUR PHYS J C</t>
  </si>
  <si>
    <t>Eur. Phys. J. C</t>
  </si>
  <si>
    <t>10.1140/epjc/s10052-014-2938-8</t>
  </si>
  <si>
    <t>Physics, Particles &amp; Fields</t>
  </si>
  <si>
    <t>AL3AH</t>
  </si>
  <si>
    <t>gold, Green Published, Green Submitted</t>
  </si>
  <si>
    <t>WOS:000338996800001</t>
  </si>
  <si>
    <t>Bazile, D; Martínez, EA; Fuentes, F</t>
  </si>
  <si>
    <t>Bazile, Didier; Martinez, Enrique A.; Fuentes, Francisco</t>
  </si>
  <si>
    <t>Diversity of Quinoa in a Biogeographical Island: a Review of Constraints and Potential from Arid to Temperate Regions of Chile</t>
  </si>
  <si>
    <t>NOTULAE BOTANICAE HORTI AGROBOTANICI CLUJ-NAPOCA</t>
  </si>
  <si>
    <t>agrobiodiversity; agroecosystems; Chenopodium quinoa; conservation; cropping systems; lighthouse crop</t>
  </si>
  <si>
    <t>GENETIC DIVERSITY; CHENOPODIUM L.; WILLD.; BIOSYSTEMATICS; AMARANTHACEAE; BIODIVERSITY; TOLERANCE; SALINITY; ECOTYPES; NATIONS</t>
  </si>
  <si>
    <t>Chile, isolated by a hyper-arid desert in the north, the Andes Range to the east and the Pacific and Antarctic waters (west and south), has a highly endemic flora. This hotspot of biodiversity is in danger not only due to increasing desertification, but also because human activities can diminish agrobiodiversity. Quinoa (Chenopodium quinoa Wild.) is an Andean species producing highly nutritious grains, which almost disappeared from Chile during the Spanish colonization. Today less than 300 small-scale and highly isolated farmers still grow it as a rain-fed crop. This review describes the biogeographical-social context of quinoa in Chile, and its high genetic diversity as a product of a long domestication process, resulting in numerous local landraces whose conservation and use for breeding improved varieties is of paramount importance. We suggest the term lighthouse crop to emphasize its contribution to small scale ecological and bio diverse agriculture, particularly in stressful environments, to promote a healthier nutrition and more equitable markets in the world. Furthermore this crop and its exceptional nutritional properties were invoked by the United Nations Food and Agriculture Organization (FAO) to promote its use worldwide, and to declare 2013 the International Year of Quinoa.</t>
  </si>
  <si>
    <t>[Bazile, Didier] CIRAD, UPR GREEN, F-34398 Montpellier, France; [Martinez, Enrique A.] Ctr Estudios Avanzados Zonas Aridas CEAZA, La Serena, Chile; [Martinez, Enrique A.] Univ Catolica Norte, Fac Ciencias Mar, Coquimbo, Chile; [Fuentes, Francisco] Rutgers State Univ, Ernest Mario Sch Pharm, Dept Pharmaceut, Piscataway, NJ 08854 USA</t>
  </si>
  <si>
    <t>CIRAD; Universidad Catolica del Norte; Rutgers University System; Rutgers University New Brunswick</t>
  </si>
  <si>
    <t>Fuentes, F (corresponding author), Rutgers State Univ, Ernest Mario Sch Pharm, Dept Pharmaceut, 160 Frelinghuysen Rd,Room 013, Piscataway, NJ 08854 USA.</t>
  </si>
  <si>
    <t>didier.bazile@cirad.fr; enrique.a.martinez@ceaza.cl; francisco.fuentes.carmana@rutgers.edu</t>
  </si>
  <si>
    <t>BAZILE, Didier/C-6120-2016; Martinez, Enrique A./JYQ-6119-2024; Fuentes, Francisco/C-6820-2013; BAZILE, Didier/L-3859-2019</t>
  </si>
  <si>
    <t>BAZILE, Didier/0000-0001-5617-9319; Martinez, Enrique A./0000-0002-2630-6556; BAZILE, Didier/0000-0001-5617-9319</t>
  </si>
  <si>
    <t>ICGEB-TWAS [CRP.PB/CHI06-01]; IMAS [ANR07 BDIV 016-01]; FONDECYT [1060281, 1100638]; IRSES [PIRSES-GA-2008-230862]; Innova Chile of CORFO [04CR9PAD04]; [BRG08]</t>
  </si>
  <si>
    <t>ICGEB-TWAS; IMAS; FONDECYT(Comision Nacional de Investigacion Cientifica y Tecnologica (CONICYT)CONICYT FONDECYT); IRSES; Innova Chile of CORFO;</t>
  </si>
  <si>
    <t>The authors wish to express their appreciation to farmers for telling us their stories and practices, and also to projects that funded most of the reported research activities: BRG08, ICGEB-TWAS (CRP.PB/CHI06-01), IMAS (ANR07 BDIV 016-01), FONDECYT (1060281 and 1100638), IRSES (PIRSES-GA-2008-230862) and Innova Chile of CORFO (04CR9PAD04).</t>
  </si>
  <si>
    <t>UNIV AGR SCI &amp; VETERINARY MED CLUJ-NAPOCA</t>
  </si>
  <si>
    <t>CLUJ-NAPOCA</t>
  </si>
  <si>
    <t>3-5 MANASTUR ST, CLUJ-NAPOCA, 400372, ROMANIA</t>
  </si>
  <si>
    <t>0255-965X</t>
  </si>
  <si>
    <t>1842-4309</t>
  </si>
  <si>
    <t>NOT BOT HORTI AGROBO</t>
  </si>
  <si>
    <t>Not. Bot. Horti Agrobot. Cluj-Na.</t>
  </si>
  <si>
    <t>JUL-DEC</t>
  </si>
  <si>
    <t>10.15835/nbha4229733</t>
  </si>
  <si>
    <t>Plant Sciences</t>
  </si>
  <si>
    <t>AW5PM</t>
  </si>
  <si>
    <t>WOS:000346326700001</t>
  </si>
  <si>
    <t>Wu, XG; Lam, JCW; Xia, CH; Kang, H; Xie, ZQ; Lam, PKS</t>
  </si>
  <si>
    <t>Wu, Xiaoguo; Lam, James C. W.; Xia, Chonghuan; Kang, Hui; Xie, Zhouqing; Lam, Paul K. S.</t>
  </si>
  <si>
    <t>Atmospheric hexachlorobenzene determined during the third China arctic research expedition: Sources and environmental fate</t>
  </si>
  <si>
    <t>ATMOSPHERIC POLLUTION RESEARCH</t>
  </si>
  <si>
    <t>POPs; spatial variations of HCB; atmospheric concentration; Arctic Ocean; sea-ice melting</t>
  </si>
  <si>
    <t>PERSISTENT ORGANIC POLLUTANTS; NORTH PACIFIC-OCEAN; ORGANOCHLORINE PESTICIDES; AIR; TRANSPORT; ATLANTIC; HEXACHLOROCYCLOHEXANES; DEPOSITION; TRENDS; PCBS</t>
  </si>
  <si>
    <t>In July to September 2008, air samples were collected aboard a research expedition icebreaker, Xuelong (Snow Dragon), under the support of the 2008 Chinese Arctic Research Expedition Program. All the air samples were analyzed for determination of the concentrations of Hexachlorobenzene (HCB). The levels of HCB ranged from 24 to180 pg m(-3), with an average concentration of 88 pg m(-3). Generally, HCB were more uniform than other organchlorine pollutants in the North Pacific Ocean and the Arctic Ocean. Geographically, the average concentrations of HCB from high to low were in the following order: the Central Arctic Ocean (110 +/- 57 pg m(-3)), the Chukchi and Beaufort Seas (93 +/- 29 pg m(-3)), the East Asia (75 +/- 49 pg m(-3)) and the North Pacific Ocean (69 +/- 38 pg m(-3)). In the East Asia Sea and the North Pacific Ocean, both primary and secondary emissions of HCB from the nearby continents and/or oceans might contribute to the atmospheric HCB. In the Arctic, intense sea-ice melting in the summer of 2008 might result in the remobilization of HCB and enhance its atmospheric levels in this region.</t>
  </si>
  <si>
    <t>[Wu, Xiaoguo; Xia, Chonghuan; Xie, Zhouqing; Lam, Paul K. S.] Univ Sci &amp; Technol China City Univ Hong Kong USTC, Adv Lab Environm Res &amp; Technol ALERT, SIP, Suzhou 215123, Jiangsu, Peoples R China; [Wu, Xiaoguo] Anhui Normal Univ, Coll Environm Sci &amp; Engn, Wuhu 241000, Anhui, Peoples R China; [Lam, James C. W.; Lam, Paul K. S.] City Univ Hong Kong, State Key Lab Marine Pollut, Kowloon, Hong Kong, Peoples R China; [Lam, James C. W.; Lam, Paul K. S.] City Univ Hong Kong, Dept Biol &amp; Chem, Kowloon, Hong Kong, Peoples R China; [Kang, Hui; Xie, Zhouqing] Univ Sci &amp; Technol China, Sch Earth &amp; Space Sci, Inst Polar Environm, Hefei 230026, Anhui, Peoples R China</t>
  </si>
  <si>
    <t>Anhui Normal University; City University of Hong Kong; City University of Hong Kong; Chinese Academy of Sciences; University of Science &amp; Technology of China, CAS</t>
  </si>
  <si>
    <t>Xie, ZQ (corresponding author), Univ Sci &amp; Technol China City Univ Hong Kong USTC, Adv Lab Environm Res &amp; Technol ALERT, SIP, Suzhou 215123, Jiangsu, Peoples R China.</t>
  </si>
  <si>
    <t>zqxie@ustc.edu.cn</t>
  </si>
  <si>
    <t>LAM, Paul Kwan Sing/B-9121-2008; xie, zhouqing/P-9661-2019; Lam, James C.W./Q-2644-2019</t>
  </si>
  <si>
    <t>LAM, Paul Kwan Sing/0000-0002-2134-3710; Lam, James C.W./0000-0002-5557-6213</t>
  </si>
  <si>
    <t>National Natural Science Foundation of China [41025020, 41176170, 41203075]; Program of China Polar Environment Investigation and Assessment [CHINARE2011-2015]; Fundamental Research Funds for the Central Universities; University Grants Committee of the Hong Kong Special Administrative Region, China [AoE/P-04/2004]; Hong Kong Research Grants Council [CityU 160610]; China Arctic and Antarctic Administration; third China Arctic Research Expedition</t>
  </si>
  <si>
    <t>National Natural Science Foundation of China(National Natural Science Foundation of China (NSFC)); Program of China Polar Environment Investigation and Assessment; Fundamental Research Funds for the Central Universities(Fundamental Research Funds for the Central Universities); University Grants Committee of the Hong Kong Special Administrative Region, China; Hong Kong Research Grants Council(Hong Kong Research Grants Council); China Arctic and Antarctic Administration; third China Arctic Research Expedition</t>
  </si>
  <si>
    <t>This study was supported by grants from the National Natural Science Foundation of China (Project Nos. 41025020, 41176170, 41203075), the Program of China Polar Environment Investigation and Assessment (Project No. CHINARE2011-2015) and the Fundamental Research Funds for the Central Universities. The work described in this paper was also funded by the Area of Excellence Scheme under the University Grants Committee of the Hong Kong Special Administrative Region, China (Project No. AoE/P-04/2004), and a Hong Kong Research Grants Council (CityU 160610). Field work was supported by China Arctic and Antarctic Administration and the third China Arctic Research Expedition.</t>
  </si>
  <si>
    <t>TURKISH NATL COMMITTEE AIR POLLUTION RES &amp; CONTROL-TUNCAP</t>
  </si>
  <si>
    <t>BUCA</t>
  </si>
  <si>
    <t>DOKUZ EYLUL UNIV, DEPT ENVIRONMENTAL ENGINEERING, TINAZTEPE CAMPUS, BUCA, IZMIR 35160, TURKEY</t>
  </si>
  <si>
    <t>1309-1042</t>
  </si>
  <si>
    <t>ATMOS POLLUT RES</t>
  </si>
  <si>
    <t>Atmos. Pollut. Res.</t>
  </si>
  <si>
    <t>JUL</t>
  </si>
  <si>
    <t>10.5094/APR.2014.056</t>
  </si>
  <si>
    <t>AU0FQ</t>
  </si>
  <si>
    <t>WOS:000345299400016</t>
  </si>
  <si>
    <t>Zhan, JQ; Gao, Y; Li, W; Chen, LQ; Lin, HM; Lin, Q</t>
  </si>
  <si>
    <t>Zhan, Jianqiong; Gao, Yuan; Li, Wei; Chen, Liqi; Lin, Hongmei; Lin, Qi</t>
  </si>
  <si>
    <t>Effects of ship emissions on summertime aerosols at Ny-Alesund in the Arctic</t>
  </si>
  <si>
    <t>Trace elements; nc-Ni/nc-V ratio; ship emissions; Arctic aerosol</t>
  </si>
  <si>
    <t>MARINE BOUNDARY-LAYER; CHEMICAL-COMPOSITION; DIMETHYL SULFIDE; AIR-POLLUTION; ATMOSPHERIC AEROSOL; UNITED-STATES; PARTICLES; SVALBARD; TRENDS; ALASKA</t>
  </si>
  <si>
    <t>Selected trace elements, ionic species and organic/elemental carbon in aerosols were measured in summer at Ny-Alesund in the Arctic, and an interpreted approach combining elemental ratios, back-trajectories and enrichment factors was used to assess the sources of aerosols observed at this location. Aerosol samples influenced by ship emissions were featured by elevated concentrations of non-crustal (nc) vanadium (V), nc-nickel (nc-Ni), non-sea salt (nss) sulfate (SO42-) and ratios of nc-Ni/nc-V (1.7) and nss-SO42-/nc-V (200). When two cruise ships with more than 1 500 passengers visited Ny-Alesund in July 2012, the total suspended particulate (TSP) mass reached 2 290 ng m(-3), almost three times the median TSP concentration (609 ng m(-3)) measured during the study period. The nc-V concentration reached 0.976 ng m(-3), about 38-fold higher compared to the mean value of the sampling period, and this value was even higher than the annual mean value observed at Zeppelin station and the values measured during Haze events at North American Arctic and Norwegian Arctic. The concentrations of nc-Ni and nss-SO42- were 0.572 ng m(-3) and 203 ng m(-3), which were 8-fold and 2-fold higher than the median values of the sampling period. While in the few-ship period, defined as the period with none or only one cruise ship with less than 1 000 passengers being present, aerosols at this location could be affected by a mixed impact of local emissions and long-range transport, reflected by the nc-Mn/nc-V ratios and element enrichment factors often found in the air masses from North America Arctic, Iceland and North Eurasia. Results from this study suggest that cruise ship emissions contributed significantly to atmospheric particulate matter at Ny-Alesund in the summer, effecting air quality in this area.</t>
  </si>
  <si>
    <t>[Zhan, Jianqiong; Gao, Yuan] Rutgers State Univ, Dept Earth &amp; Environm Sci, Newark, NJ 07102 USA; [Li, Wei; Chen, Liqi; Lin, Hongmei; Lin, Qi] State Ocean Adm, Inst Oceanog 3, Key Lab Global Change &amp; Marine Atmospher Chem, Xiamen 361005, Fujian, Peoples R China</t>
  </si>
  <si>
    <t>Rutgers University System; Rutgers University Newark; Rutgers University New Brunswick; Third Institute of Oceanography, Ministry of Natural Resources</t>
  </si>
  <si>
    <t>Gao, Y (corresponding author), Rutgers State Univ, Dept Earth &amp; Environm Sci, Newark, NJ 07102 USA.</t>
  </si>
  <si>
    <t>yuangaoh@andromeda.rutgers.edu</t>
  </si>
  <si>
    <t>National Natural Science Foundation of China [41105094]; Scientific Research Foundation of Third Institute of Oceanography, SOA [2011004]; Rutgers University</t>
  </si>
  <si>
    <t>National Natural Science Foundation of China(National Natural Science Foundation of China (NSFC)); Scientific Research Foundation of Third Institute of Oceanography, SOA; Rutgers University</t>
  </si>
  <si>
    <t>The work was funded by the National Natural Science Foundation of China (41105094) and the Scientific Research Foundation of Third Institute of Oceanography, SOA (2011004). The Chinese Arctic and Antarctic Administration of the State Oceanic Administration of China supported the field accommodation at the YRS. Additional support was provided by the Rutgers University for the continuation and completion of this research. We gratefully acknowledge the NOAA Air Resources Laboratory (ARL) for the provision of HYSPLIT transport and dispersion model, ECMWF and NCAR/NCEP for providing the meteorological data freely. We thank Elisabeth Bjerke Rastad at Kings Bay AS for supplying the harbor log, and Guojie Xu and Rafael Jusino Atresino for help with field sampling preparation. Discussions with Guojie Xu, Rafael Jusino Atresino, Tianyi Xu, and Pami Mukherjee were helpful.</t>
  </si>
  <si>
    <t>10.5094/APR.2014.059</t>
  </si>
  <si>
    <t>WOS:000345299400019</t>
  </si>
  <si>
    <t>Rolland, SE</t>
  </si>
  <si>
    <t>Rolland, Sonia E.</t>
  </si>
  <si>
    <t>WHALING IN THE ANTARCTIC (Australia v. Japan: New Zealand Intervening)</t>
  </si>
  <si>
    <t>AMERICAN JOURNAL OF INTERNATIONAL LAW</t>
  </si>
  <si>
    <t>Northeastern Univ, Sch Law, Boston, MA 02115 USA</t>
  </si>
  <si>
    <t>Northeastern University</t>
  </si>
  <si>
    <t>Rolland, SE (corresponding author), Northeastern Univ, Sch Law, Boston, MA 02115 USA.</t>
  </si>
  <si>
    <t>AMER SOC INT LAW</t>
  </si>
  <si>
    <t>2223 MASSACHUSETTS AVE N W, WASHINGTON, DC 20008-2864 USA</t>
  </si>
  <si>
    <t>0002-9300</t>
  </si>
  <si>
    <t>2161-7953</t>
  </si>
  <si>
    <t>AM J INT LAW</t>
  </si>
  <si>
    <t>Am. J. Int. Law</t>
  </si>
  <si>
    <t>10.5305/amerjintelaw.108.3.0496</t>
  </si>
  <si>
    <t>International Relations; Law</t>
  </si>
  <si>
    <t>International Relations; Government &amp; Law</t>
  </si>
  <si>
    <t>AS7YC</t>
  </si>
  <si>
    <t>WOS:000344466800007</t>
  </si>
  <si>
    <t>Vescovo, IAL; Golemba, MD; Di Lello, FA; Culasso, ACA; Levin, G; Ruberto, L; Mac Cormack, WP; López, JL</t>
  </si>
  <si>
    <t>Landone Vescovo, Ignacio A.; Golemba, Marcelo D.; Di Lello, Federico A.; Culasso, Andres C. A.; Levin, Gustavo; Ruberto, Lucas; Mac Cormack, Walter P.; Lopez, Jose L.</t>
  </si>
  <si>
    <t>Rich bacterial assemblages from Maritime Antarctica (Potter Cove, South Shetlands) reveal several kinds of endemic and undescribed phylotypes</t>
  </si>
  <si>
    <t>REVISTA ARGENTINA DE MICROBIOLOGIA</t>
  </si>
  <si>
    <t>Bacterial assemblages; Phylogenetic affiliation; Antartida</t>
  </si>
  <si>
    <t>BACTERIOPLANKTON COMMUNITY; DIVERSITY; ROSEOBACTER; WATER</t>
  </si>
  <si>
    <t>Bacterial richness in maritime Antarctica has been poorly described to date. Phylogenetic affiliation of seawater free-living microbial assemblages was studied from three locations near the Argentinean Jubany Station during two Antarctic summers. Sixty 16S RNA cloned sequences were phylogenetically affiliated to Alphaproteobacteria (30/60 clones), Gammaproteobacteria(19/60 clones), Betaproteobacteria and Cytophaga-Flavobacteriia-Bacteroides (CFB), which were (2/60) and (3/60) respectively. Furthermore, six out of 60 clones could not be classified. Both, Alphaproteobacteria and Gammaproteobacteria, showed several endemic and previously undescribed sequences. Moreover, the absence of Cyanobacteria sequences in our samples is remarkable. In conclusion, we are reporting a rich sequence assemblage composed of widely divergent isolates among themselves and distant from the most closely related sequences currently deposited in data banks. (C) 2013 Asociacion Argentina de Microbiologia. Published by Elsevier Espana, S.L. All rights reserved.</t>
  </si>
  <si>
    <t>[Landone Vescovo, Ignacio A.; Golemba, Marcelo D.; Di Lello, Federico A.; Culasso, Andres C. A.; Lopez, Jose L.] Univ Buenos Aires, Catedra Virol, FFyB, Buenos Aires, DF, Argentina; [Levin, Gustavo; Ruberto, Lucas; Mac Cormack, Walter P.] Univ Buenos Aires, FFyB, Catedra Microbiol Ind &amp; Biotecnol, Buenos Aires, DF, Argentina; [Ruberto, Lucas; Mac Cormack, Walter P.] Inst Antartico Argentino, Buenos Aires, DF, Argentina</t>
  </si>
  <si>
    <t>University of Buenos Aires; University of Buenos Aires; Instituto Antartico Argentino</t>
  </si>
  <si>
    <t>López, JL (corresponding author), Univ Buenos Aires, Catedra Virol, FFyB, Buenos Aires, DF, Argentina.</t>
  </si>
  <si>
    <t>jlopez@ffyb.uba.ar</t>
  </si>
  <si>
    <t>Di Lello, Federico Alejandro/HTP-2030-2023</t>
  </si>
  <si>
    <t>Di Lello, Federico Alejandro/0000-0001-9771-9705; Culasso, Andres/0000-0003-0815-9262; Ruberto, Lucas Adolfo Mauro/0000-0001-5604-772X; Mac Cormack, Walter/0000-0002-5280-5463</t>
  </si>
  <si>
    <t>Universidad de Buenos Aires (SECyT-UBA) [B417]</t>
  </si>
  <si>
    <t>Universidad de Buenos Aires (SECyT-UBA)</t>
  </si>
  <si>
    <t>This work was supported by a grant from Universidad de Buenos Aires (SECyT-UBA, B417).</t>
  </si>
  <si>
    <t>ASOCIACION ARGENTINA MICROBIOLOGIA</t>
  </si>
  <si>
    <t>BULNES 44 PB B, BUENOS AIRES, 00000, ARGENTINA</t>
  </si>
  <si>
    <t>0325-7541</t>
  </si>
  <si>
    <t>1851-7617</t>
  </si>
  <si>
    <t>REV ARGENT MICROBIOL</t>
  </si>
  <si>
    <t>Rev. Argent. Microbiol.</t>
  </si>
  <si>
    <t>JUL-SEP</t>
  </si>
  <si>
    <t>10.1016/S0325-7541(14)70076-8</t>
  </si>
  <si>
    <t>AR6IG</t>
  </si>
  <si>
    <t>WOS:000343686800009</t>
  </si>
  <si>
    <t>Lee, J; Park, I; Cho, J</t>
  </si>
  <si>
    <t>Lee, Jaekoo; Park, Inkyung; Cho, Jaiesoon</t>
  </si>
  <si>
    <t>Production of extracellular α-galactosidase by Bacillus sp LX-1 in solid state fermentation for application as a potential feed additive</t>
  </si>
  <si>
    <t>REVISTA COLOMBIANA DE CIENCIAS PECUARIAS</t>
  </si>
  <si>
    <t>alpha-galacto-oligosaccharides; enzyme; poultry feeds; soybean meal</t>
  </si>
  <si>
    <t>ASPERGILLUS-ORYZAE; STREPTOMYCES-GRISEOLOALBUS; SOYBEAN-MEAL; CULTIVATING CONDITIONS; AMYLASE; BIOSYNTHESIS; PROTEASE; STRAIN; MUTANT; NIGER</t>
  </si>
  <si>
    <t>Background: alpha-galacto-oligosaccharides, including raffinose and stachyose, are present in soybean meal and used widely as a protein source in poultry diets. These compounds have anti-nutritive effects that ultimately reduce performance and value of birds. Thus, the addition of exogenous alpha-galactosidase to poultry diets-which can initiate the digestion of these non-digestible sugars-can be an effective strategy to solve the nutritional disorders associated with consumption of these oligosacharides. Solid state fermentation (SSF) has drawn attention for the production of microbial enzymes, due to the possibility of using cheap and abundant agro-industrial residues as substrates. Objective: to present information on alpha-galactosidase production under SSF conditions by an Antarctic bacterial isolate, Bacillus LX-1. Methods: initially, wheat bran, soybean meal, corn flour and the combinations of these individual substrates with nutritive supplements containing 1% galactose, 0.5% yeast extract, 1% tryptone, and 0.001% MnSO(4)4H(2)O were evaluated to select an optimal medium in SSF to produce extracellular alpha-galactosidase. Certain fermentation parameters involving incubation time, moisture content, and initial pH were investigated separately. Additional studies were conducted to evaluate the influence on enzyme production of different carbon sources (glucose, sucrose, galactose, lactose, and maltose) and nitrogen sources (peptone, tryptone, sodium nitrate and ammonium sulfate). Results: a medium containing soybean meal resulted in best alpha-galactosidase synthesis and was used for further SSF explorations with Bacillus sp. LX-1. Maximum enzyme production was observed at a growth period of 72 h, 75% moisture content and pH 8.0. Enzyme activity was enhanced in the presence of galactose or lactose as the carbon source, and tryptone or peptone as the nitrogen source. Conclusion: this SSF technique could be potentially used to produce alpha-galactosidase for poultry feed.</t>
  </si>
  <si>
    <t>[Lee, Jaekoo; Park, Inkyung; Cho, Jaiesoon] Konkuk Univ, Coll Anim Biosci &amp; Technol, Dept Anim Sci &amp; Technol, Seoul 143701, South Korea</t>
  </si>
  <si>
    <t>Konkuk University</t>
  </si>
  <si>
    <t>Cho, J (corresponding author), Konkuk Univ, Coll Anim Biosci &amp; Technol, Dept Anim Sci &amp; Technol, 120 Neungdong Ro, Seoul 143701, South Korea.</t>
  </si>
  <si>
    <t>chojs70@konkuk.ac.kr</t>
  </si>
  <si>
    <t>This paper was supported by Konkuk University in 2013.</t>
  </si>
  <si>
    <t>UNIV ANTIOQUIA, FAC CIENCIAS AGRARIAS</t>
  </si>
  <si>
    <t>MEDELLIN</t>
  </si>
  <si>
    <t>CIUDADELA ROBLEDO, CARRERA 75 NO 65-87 OF 6-225, APARTADO AEREO 1226, MEDELLIN, 00000, COLOMBIA</t>
  </si>
  <si>
    <t>0120-0690</t>
  </si>
  <si>
    <t>2256-2958</t>
  </si>
  <si>
    <t>REV COLOMB CIENC PEC</t>
  </si>
  <si>
    <t>Rev. Colomb Cienc. Pecu.</t>
  </si>
  <si>
    <t>Agriculture, Dairy &amp; Animal Science</t>
  </si>
  <si>
    <t>AQ5RX</t>
  </si>
  <si>
    <t>WOS:000342867400005</t>
  </si>
  <si>
    <t>Goldberg, DN; Schoof, C; Sergienko, OV</t>
  </si>
  <si>
    <t>Goldberg, D. N.; Schoof, C.; Sergienko, O. V.</t>
  </si>
  <si>
    <t>Stick-slip motion of an Antarctic Ice Stream: The effects of viscoelasticity</t>
  </si>
  <si>
    <t>JOURNAL OF GEOPHYSICAL RESEARCH-EARTH SURFACE</t>
  </si>
  <si>
    <t>WEST ANTARCTICA; EARTHQUAKES; BEHAVIOR; FLOW; VARIABILITY; MECHANISM; GLACIER; TIDES</t>
  </si>
  <si>
    <t>Stick-slip behavior is a distinguishing characteristic of the flow of Whillans Ice Stream (Siple Coast, Antarctica). Distinct from stick slip on Northern Hemisphere glaciers, which is generally attributed to supraglacial melt, the behavior is thought be controlled by basal processes and by tidally induced stress. However, the connection between stick-slip behavior and flow of the ice stream on long time scales, if any, is not clear. To address this question we develop a new ice flow model capable of reproducing stick-slip cycles similar to ones observed on the Whillans Ice Plain. The model treats ice as a viscoelastic material and emulates the weakening and healing that are suggested to take place at the ice-till interface. The model results suggest the long-term ice stream flow that controls ice discharge to surrounding oceans is somewhat insensitive to certain aspects of stick-slip behavior, such as velocity magnitude during the slip phase and factors that regulate it (e.g., elastic modulus). Furthermore, it is found that factors controlling purely viscous flow, such as temperature, influence stick-slip contribution to long-term flow in much the same way. Additionally, we show that viscous ice deformation, traditionally disregarded in analysis of stick-slip behavior, has a strong effect on the timing of slip events and therefore should not be ignored in efforts to deduce bed properties from stick-slip observations.</t>
  </si>
  <si>
    <t>[Goldberg, D. N.] Univ Edinburgh, Sch Geosci, Edinburgh, Midlothian, Scotland; [Schoof, C.] Univ British Columbia, Dept Earth Ocean &amp; Atmospher Sci, Vancouver, BC V5Z 1M9, Canada; [Sergienko, O. V.] Princeton Univ, Program Atmospher &amp; Ocean Sci, Princeton, NJ 08544 USA</t>
  </si>
  <si>
    <t>University of Edinburgh; University of British Columbia; Princeton University; National Oceanic Atmospheric Admin (NOAA) - USA</t>
  </si>
  <si>
    <t>Goldberg, DN (corresponding author), Univ Edinburgh, Sch Geosci, Edinburgh, Midlothian, Scotland.</t>
  </si>
  <si>
    <t>dan.goldberg@ed.ac.uk</t>
  </si>
  <si>
    <t>Sergienko, Olga/HII-8500-2022</t>
  </si>
  <si>
    <t>Sergienko, Olga/0000-0002-5764-8815</t>
  </si>
  <si>
    <t>NSF-OPP postdoctoral fellowship [ANT-1103375]; Natural Sciences and Engineering Council of Canada Discovery Grant; Canada Research Chair; NOAA [NA13OAR431009]; Division Of Polar Programs; Directorate For Geosciences [1103375] Funding Source: National Science Foundation</t>
  </si>
  <si>
    <t>NSF-OPP postdoctoral fellowship; Natural Sciences and Engineering Council of Canada Discovery Grant(Natural Sciences and Engineering Research Council of Canada (NSERC)); Canada Research Chair(Natural Resources CanadaCanadian Forest ServiceCanada Research Chairs); NOAA(National Oceanic Atmospheric Admin (NOAA) - USA); Division Of Polar Programs; Directorate For Geosciences(National Science Foundation (NSF)NSF - Directorate for Geosciences (GEO))</t>
  </si>
  <si>
    <t>D. Goldberg was supported by an NSF-OPP postdoctoral fellowship (ANT-1103375). C. Schoof was supported by a Natural Sciences and Engineering Council of Canada Discovery Grant and a Canada Research Chair. O. Sergienko was supported by NOAA grant NA13OAR431009. We thank reviewers J. Winberry and R. Bindschadler and one anonymous reviewer, Associate Editor J. Bassis, and Editor B. Hubbard for their constructive comments. We also acknowledge J. Rice, C. Wunsch, and M. Naylor for helpful conversations in the completion of this work.</t>
  </si>
  <si>
    <t>2169-9003</t>
  </si>
  <si>
    <t>2169-9011</t>
  </si>
  <si>
    <t>J GEOPHYS RES-EARTH</t>
  </si>
  <si>
    <t>J. Geophys. Res.-Earth Surf.</t>
  </si>
  <si>
    <t>10.1002/2014JF003132</t>
  </si>
  <si>
    <t>AQ1BE</t>
  </si>
  <si>
    <t>WOS:000342515600007</t>
  </si>
  <si>
    <t>Kehrt, C</t>
  </si>
  <si>
    <t>Kehrt, Christian</t>
  </si>
  <si>
    <t>The Krill on the Track Antarctic Knowledge Regime and global Resource Conflicts in the Year 1970</t>
  </si>
  <si>
    <t>GESCHICHTE UND GESELLSCHAFT</t>
  </si>
  <si>
    <t>German</t>
  </si>
  <si>
    <t>INTERNATIONAL GEOPHYSICAL YEAR; FINALIZATION; HISTORY; SCIENCE</t>
  </si>
  <si>
    <t>In the context of global resource issues that were high on the political agenda in the 1970s Krill brought together stakeholders from science, politics and economics. This little shrimp-like crustacean near the bottom of the food chain did not only promise to provide enough protein for a growing world population. It also paved Germany's way into the Antarctic Treaty System and led to the foundation of the Alfred-Wegener-Institute for Polar and Marine Research in 1981. Marine biologists and fisheries scientists played a crucial role in this story. Their knowledge provides access to this potentially immense resource and opened the door to the Antarctic Treaty System.</t>
  </si>
  <si>
    <t>Univ Hamburg, D-22039 Hamburg, Germany</t>
  </si>
  <si>
    <t>Kehrt, C (corresponding author), Univ Hamburg, Holstenhofweg 85, D-22039 Hamburg, Germany.</t>
  </si>
  <si>
    <t>kehrt@hsu-hh.de</t>
  </si>
  <si>
    <t>VANDENHOECK &amp; RUPRECHT</t>
  </si>
  <si>
    <t>THEATERSTRASSE 13,, D-37073 GOTTINGEN, GERMANY</t>
  </si>
  <si>
    <t>0340-613X</t>
  </si>
  <si>
    <t>GESCH GES</t>
  </si>
  <si>
    <t>Gesch. Ges.</t>
  </si>
  <si>
    <t>10.13109/gege.2014.40.3.403</t>
  </si>
  <si>
    <t>History</t>
  </si>
  <si>
    <t>AP4HY</t>
  </si>
  <si>
    <t>WOS:000342039000005</t>
  </si>
  <si>
    <t>Ren, DD; Leslie, LM</t>
  </si>
  <si>
    <t>Ren, Diandong; Leslie, Lance M.</t>
  </si>
  <si>
    <t>Effects of Waves on Tabular Ice-Shelf Calving</t>
  </si>
  <si>
    <t>EARTH INTERACTIONS</t>
  </si>
  <si>
    <t>Antarctic Ice Sheet; Climate change; Ice-shelf calving; Tabular ice-shelf attrition; Surface mass balance; Ice-sheet-ocean interaction</t>
  </si>
  <si>
    <t>BOREHOLE TEMPERATURES REVEAL; RADAR INTERFEROMETRY; MASS-LOSS; SHEET; ANTARCTICA; FLOW; STABILITY; DYNAMICS; GLACIERS; RHEOLOGY</t>
  </si>
  <si>
    <t>As a conveyor belt transferring inland ice to ocean, ice shelves shed mass through large, systematic tabular calving, which also plays a major role in the fluctuation of the buttressing forces. Tabular iceberg calving involves two stages: first is systematic cracking, which develops after the forward-slanting front reaches a limiting extension length determined by gravity-buoyancy imbalance; second is fatigue separation. The latter has greater variability, producing calving irregularity. Whereas ice flow vertical shear determines the timing of the systematic cracking, wave actions are decisive for ensuing viscoplastic fatigue. Because the frontal section has its own resonance frequency, it reverberates only to waves of similar frequency. With a flow-dependent, nonlocal attrition scheme, the present ice model [Scalable Extensible Geoflow Model for Environmental Research-Ice flow submodel (SEGMENT-Ice)] describes an entire ice-shelf life cycle. It is found that most East Antarctic ice shelves have higher resonance frequencies, and the fatigue of viscoplastic ice is significantly enhanced by shoaling waves from both storm surges and infragravity waves (similar to 5 x 10(-3) Hz). The two largest embayed ice shelves have resonance frequencies within the range of tsunami waves. When approaching critical extension lengths, perturbations from about four consecutive tsunami events can cause complete separation of tabular icebergs from shelves. For shelves with resonance frequencies matching storm surge waves, future reduction of sea ice may impose much larger deflections from shoaling, storm-generated ocean waves. Although the Ross Ice Shelf (RIS) total mass varies little in the twenty-first century, the mass turnover quickens and the ice conveyor belt is similar to 40% more efficient by the late twenty-first century, reaching 70 km(3) yr(-1). The mass distribution shifts oceanward, favoring future tabular calving.</t>
  </si>
  <si>
    <t>[Ren, Diandong] Curtin Univ Technol, Dept Imaging &amp; Appl Phys, Perth, WA 6845, Australia; [Ren, Diandong] Australian Sustainable Dev Inst, Perth, WA, Australia; [Leslie, Lance M.] Univ Oklahoma, Cooperate Inst Mesoscale Meteorol Studies, Norman, OK 73019 USA</t>
  </si>
  <si>
    <t>Curtin University; University of Oklahoma System; University of Oklahoma - Norman</t>
  </si>
  <si>
    <t>Ren, DD (corresponding author), Curtin Univ Technol, Dept Imaging &amp; Appl Phys, GPO Box U1987, Perth, WA 6845, Australia.</t>
  </si>
  <si>
    <t>diandong.ren@curtin.edu.au</t>
  </si>
  <si>
    <t>Ren, Diandong/C-8870-2013</t>
  </si>
  <si>
    <t>Ren, Diandong/0000-0002-5757-7527</t>
  </si>
  <si>
    <t>1087-3562</t>
  </si>
  <si>
    <t>EARTH INTERACT</t>
  </si>
  <si>
    <t>Earth Interact.</t>
  </si>
  <si>
    <t>10.1175/EI-D-14-0005.1</t>
  </si>
  <si>
    <t>AP1GL</t>
  </si>
  <si>
    <t>WOS:000341815800001</t>
  </si>
  <si>
    <t>Douglass, AR; Newman, PA; Solomon, S</t>
  </si>
  <si>
    <t>Douglass, Anne R.; Newman, Paul A.; Solomon, Susan</t>
  </si>
  <si>
    <t>The Antarctic ozone hole: An update</t>
  </si>
  <si>
    <t>PHYSICS TODAY</t>
  </si>
  <si>
    <t>ARCTIC OZONE; CHLORINE; DESTRUCTION; SINK</t>
  </si>
  <si>
    <t>[Douglass, Anne R.] NASAs Aura Mission, Greenbelt, MD 20771 USA; [Douglass, Anne R.] NASA, Goddard Space Flight Ctr, Chem Climate Model Project, Greenbelt, MD 20771 USA; [Newman, Paul A.] NASA Goddard, Greenbelt, MD USA; [Newman, Paul A.] Sci Assessment Panel Montreal Protocol, Montreal, PQ, Canada; [Solomon, Susan] MIT, Cambridge, MA 02139 USA</t>
  </si>
  <si>
    <t>National Aeronautics &amp; Space Administration (NASA); NASA Goddard Space Flight Center; National Aeronautics &amp; Space Administration (NASA); NASA Goddard Space Flight Center; Massachusetts Institute of Technology (MIT)</t>
  </si>
  <si>
    <t>Douglass, AR (corresponding author), NASAs Aura Mission, Greenbelt, MD 20771 USA.</t>
  </si>
  <si>
    <t>anne.r.douglass@nasa.gov; paul.a.newman@nasa.gov; solos@mit.edu</t>
  </si>
  <si>
    <t>Douglass, Anne R/D-4655-2012; Newman, Paul A./D-6208-2012</t>
  </si>
  <si>
    <t>Newman, Paul A./0000-0003-1139-2508</t>
  </si>
  <si>
    <t>AMER INST PHYSICS</t>
  </si>
  <si>
    <t>1305 WALT WHITMAN RD, STE 300, MELVILLE, NY 11747-4501 USA</t>
  </si>
  <si>
    <t>0031-9228</t>
  </si>
  <si>
    <t>1945-0699</t>
  </si>
  <si>
    <t>PHYS TODAY</t>
  </si>
  <si>
    <t>Phys. Today</t>
  </si>
  <si>
    <t>10.1063/PT.3.2449</t>
  </si>
  <si>
    <t>AO6GL</t>
  </si>
  <si>
    <t>WOS:000341448200019</t>
  </si>
  <si>
    <t>Teive, HAG; Germiniani, FMB; Munhoz, RP</t>
  </si>
  <si>
    <t>Ghizoni Teive, Helio Afonso; Branco Germiniani, Francisco Manoel; Munhoz, Renato Puppi</t>
  </si>
  <si>
    <t>Jean-Baptiste Charcot, the French Antarctic expedition and scurvy</t>
  </si>
  <si>
    <t>scurvy; vitamin C; maritime explorer</t>
  </si>
  <si>
    <t>During the second expedition to the South Pole, Commander Jean-Baptiste Charcot and some members of the crew of Pourquoi Pas? developed symptoms suggestive of scurvy The clinical picture was totally reversed after dietary changes.</t>
  </si>
  <si>
    <t>[Ghizoni Teive, Helio Afonso; Branco Germiniani, Francisco Manoel] Univ Fed Parana, Hosp Clin, Dept Med Interna, Serv Neurol, BR-80060000 Curitiba, Parana, Brazil; [Munhoz, Renato Puppi] Univ Toronto, Toronto Western Hosp, Movement Disorders Ctr, Toronto, ON M5T 2S8, Canada</t>
  </si>
  <si>
    <t>Universidade Federal do Parana; University of Toronto; University Health Network Toronto</t>
  </si>
  <si>
    <t>10.1590/0004-282X20140058</t>
  </si>
  <si>
    <t>AN7XX</t>
  </si>
  <si>
    <t>WOS:000340815400015</t>
  </si>
  <si>
    <t>Fogwill, CJ; Turney, CSM; Meissner, KJ; Golledge, NR; Spence, P; Roberts, JL; England, MH; Jones, RT; Carter, L</t>
  </si>
  <si>
    <t>Fogwill, Christopher J.; Turney, Christian S. M.; Meissner, Katrin J.; Golledge, Nicholas R.; Spence, Paul; Roberts, Jason L.; England, Matthew H.; Jones, Richard T.; Carter, Lionel</t>
  </si>
  <si>
    <t>Testing the sensitivity of the East Antarctic Ice Sheet to Southern Ocean dynamics: past changes and future implications (vol 29, pg 91, 2014)</t>
  </si>
  <si>
    <t>JOURNAL OF QUATERNARY SCIENCE</t>
  </si>
  <si>
    <t>England, Matthew/A-7539-2011; Fogwill, Chris/AAW-3502-2021; Spence, Paul/IZE-7366-2023; Fogwill, Christopher/HPF-1150-2023; Roberts, Jason L/B-2235-2012; Turney, Chris/P-8701-2018</t>
  </si>
  <si>
    <t>England, Matthew/0000-0001-9696-2930; Fogwill, Chris/0000-0002-6471-1106; Spence, Paul/0000-0001-5156-2204; Roberts, Jason L/0000-0002-3477-4069; Meissner, Katrin/0000-0002-0716-7415; Golledge, Nicholas/0000-0001-7676-8970; Turney, Chris/0000-0001-6733-0993</t>
  </si>
  <si>
    <t>0267-8179</t>
  </si>
  <si>
    <t>1099-1417</t>
  </si>
  <si>
    <t>J QUATERNARY SCI</t>
  </si>
  <si>
    <t>J. Quat. Sci.</t>
  </si>
  <si>
    <t>10.1002/jqs.2700</t>
  </si>
  <si>
    <t>AN4YW</t>
  </si>
  <si>
    <t>WOS:000340596900013</t>
  </si>
  <si>
    <t>Tarakanov, RY; Gritsenko, AM</t>
  </si>
  <si>
    <t>Tarakanov, R. Yu.; Gritsenko, A. M.</t>
  </si>
  <si>
    <t>The frontal and jet structure south of Africa based on the data of the SR02 section in December of 2009</t>
  </si>
  <si>
    <t>OCEANOLOGY</t>
  </si>
  <si>
    <t>ANTARCTIC CIRCUMPOLAR CURRENT; BENGUELA CURRENT; OCEAN FRONTS; ATLANTIC; PACIFIC; DRIVEN; FLOATS; EXTENT; FLOW; SEA</t>
  </si>
  <si>
    <t>The frontal structure in the region south of Africa is investigated on the basis of CTD and SADCP measurements along the SR02 hydrophysical section carried by the R/V Akademik Ioffe in December of 2009 from the Cape of Good Hope to 57A degrees S at the Prime Meridian. Eleven jets of the Antarctic Circumpolar Current (ACC) were revealed along the section. These were six jets of the Subantarctic Current (SAC), three jets of the South Polar Current (SPC), and two jets of the Southern Antarctic Current (SthAC). The jet combining the Weddell Front and the Southern Boundary of the ACC was also revealed. All the jets of the SPC based on the data of direct measurements were joined into a single superjet. The others were manifested by the local velocity maxima in the surface layer of the ocean. The subtropical water along the section from the Southern Subtropical Front to the Shelf-Slope Front near the African shore was almost completely represented by the Indian Ocean (Agulhas Retroflection) water modified by mixing with the fresher water of the southeastern periphery of the Subtropical Atlantic.</t>
  </si>
  <si>
    <t>[Tarakanov, R. Yu.; Gritsenko, A. M.] Russian Acad Sci, Shirshov Inst Oceanol, Moscow, Russia</t>
  </si>
  <si>
    <t>Russian Academy of Sciences; Shirshov Institute of Oceanology</t>
  </si>
  <si>
    <t>Tarakanov, RY (corresponding author), Russian Acad Sci, Shirshov Inst Oceanol, Moscow, Russia.</t>
  </si>
  <si>
    <t>rtarakanov@gmail.com</t>
  </si>
  <si>
    <t>Tarakanov, Roman/R-3325-2016</t>
  </si>
  <si>
    <t>Tarakanov, Roman/0000-0002-8711-1859</t>
  </si>
  <si>
    <t>Russian Foundation for Basic Research [10-05-00200-a, 12-05-00277-a]; Basic Research of the Presidium of the Academy of Sciences [23]</t>
  </si>
  <si>
    <t>Russian Foundation for Basic Research(Russian Foundation for Basic Research (RFBR)Spanish Government); Basic Research of the Presidium of the Academy of Sciences</t>
  </si>
  <si>
    <t>This study was supported by the Russian Foundation for Basic Research (project nos. 10-05-00200-a and 12-05-00277-a) and Program no. 23 of Basic Research of the Presidium of the Academy of Sciences. The expedition in 2009 was supported by the interagency project Meridian plus.</t>
  </si>
  <si>
    <t>0001-4370</t>
  </si>
  <si>
    <t>1531-8508</t>
  </si>
  <si>
    <t>OCEANOLOGY+</t>
  </si>
  <si>
    <t>Oceanology</t>
  </si>
  <si>
    <t>10.1134/S0001437014030138</t>
  </si>
  <si>
    <t>AN8XL</t>
  </si>
  <si>
    <t>WOS:000340889100001</t>
  </si>
  <si>
    <t>Gladyshev, SV</t>
  </si>
  <si>
    <t>Gladyshev, S. V.</t>
  </si>
  <si>
    <t>Upper Layer Structure and Variability of the Antarctic Circumpolar Current in the Drake Passage</t>
  </si>
  <si>
    <t>DOKLADY EARTH SCIENCES</t>
  </si>
  <si>
    <t>PART</t>
  </si>
  <si>
    <t>The spatiotemporal variability of the Antarctic Circumpolar Current (ACC) structure in the upper 100-800 m layer is analyzed at two sections in the Drake Passage. The existence of the Subantarctic and Polar Current superjets, formed due to the confluence of a few jets together, is confirmed. Peak eddy activity at the periphery of all the ACC jets is revealed, which demonstates intensive meridional eddy exchange of properties across the Passage. The ACC jets are strongly coherent in the vertical direction. The ACC upper layer transport intensifies over bottom relief rises because of jet acceleration during their crossing.</t>
  </si>
  <si>
    <t>Russian Acad Sci, PP Shirshov Oceanol Inst, Moscow 117997, Russia</t>
  </si>
  <si>
    <t>Gladyshev, SV (corresponding author), Russian Acad Sci, PP Shirshov Oceanol Inst, Nakhimovskii Pr 36, Moscow 117997, Russia.</t>
  </si>
  <si>
    <t>sgladyshev@ocean.ru</t>
  </si>
  <si>
    <t>Gladyshev, Sergey/N-6508-2017</t>
  </si>
  <si>
    <t>Federal Program World Ocean (Meridian Plus); Presidium of the Russian Academy of Sciences Grant [23P]; Russian Foundation for Basic Research [10-05-00029]</t>
  </si>
  <si>
    <t>Federal Program World Ocean (Meridian Plus); Presidium of the Russian Academy of Sciences Grant; Russian Foundation for Basic Research(Russian Foundation for Basic Research (RFBR)Spanish Government)</t>
  </si>
  <si>
    <t>This work was supported by the Federal Program World Ocean (Meridian Plus), the Presidium of the Russian Academy of Sciences Grant (Program 23P), and the Russian Foundation for Basic Research (Project no. 10-05-00029).</t>
  </si>
  <si>
    <t>1028-334X</t>
  </si>
  <si>
    <t>1531-8354</t>
  </si>
  <si>
    <t>DOKL EARTH SCI</t>
  </si>
  <si>
    <t>Dokl. Earth Sci.</t>
  </si>
  <si>
    <t>10.1134/S1028334X14070149</t>
  </si>
  <si>
    <t>AN1PJ</t>
  </si>
  <si>
    <t>WOS:000340355500020</t>
  </si>
  <si>
    <t>Haupt, TM; Crafford, JE; Chown, SL</t>
  </si>
  <si>
    <t>Haupt, Tanya M.; Crafford, Jan. E.; Chown, Steven L.</t>
  </si>
  <si>
    <t>Solving the puzzle of Pringleophaga - threatened, keystone detritivores in the sub-Antarctic</t>
  </si>
  <si>
    <t>INSECT CONSERVATION AND DIVERSITY</t>
  </si>
  <si>
    <t>Detritivore; house mouse; life cycle; null point of development; predation; sum of effective temperatures</t>
  </si>
  <si>
    <t>FERAL HOUSE MICE; MARION; ECOLOGY; IMPACT; LIFE; CURCULIONIDAE; INVERTEBRATES; CATERPILLAR; LEPIDOPTERA; ERADICATION</t>
  </si>
  <si>
    <t>1. In the globally significant, lowland terrestrial systems of the sub-Antarctic's South Indian Ocean Province Islands, caterpillars of the flightless moth genus Pringleophaga (Lepidoptera: Tineidae) are typically responsible for much nutrient turnover. 2. On Marion Island, Pringleophaga marioni is a keystone species for this reason. 3. Rising temperatures have led to increasing populations of introduced house mice, which, in turn, feed extensively on Pringleophaga caterpillars. 4. Because of the caterpillars' keystone role, predation by mice is leading to changes in the functioning of the terrestrial system. 5. Given the estimates of an extended life cycle duration for P. marioni (and its congeners), that is, two to more than 5 years, an ongoing puzzle is why the species has not shown greater population declines on Marion Island than have been recorded (in some habitats 40-97% in 20 years), given extremely high estimates of predation (c. 1% of standing biomass per day). 6. One reason may be inaccurate previous estimates of life cycle duration for the species. 7. Here, we provide a new, quantitative estimate, by rearing caterpillars at different temperature regimes (5, 10, 15 and 5-15 degrees C), and combining these results with additional data from a prior study, to demonstrate that the life cycle duration for this species is approximately 1 year - half the previous minimum estimate. 8. The new quantitative data provide grounds for improved models for estimating population persistence of this species, and information for models assessing the costs and benefits of conservation interventions such as the eradication of invasive house mice.</t>
  </si>
  <si>
    <t>[Haupt, Tanya M.] Univ Stellenbosch, Ctr Invas Biol, Dept Bot &amp; Zool, ZA-7602 Matieland, South Africa; [Crafford, Jan. E.] Univ Venda, Sch Math &amp; Nat Sci, Thohoyandou, South Africa; [Chown, Steven L.] Monash Univ, Sch Biol Sci, Clayton, Vic 3800, Australia</t>
  </si>
  <si>
    <t>Stellenbosch University; University of Venda; Monash University</t>
  </si>
  <si>
    <t>Haupt, TM (corresponding author), Univ Stellenbosch, Ctr Invas Biol, Dept Bot &amp; Zool, Private Bag X1, ZA-7602 Matieland, South Africa.</t>
  </si>
  <si>
    <t>thaupt@sun.ac.za</t>
  </si>
  <si>
    <t>Chown, Steven/0000-0001-6069-5105</t>
  </si>
  <si>
    <t>South African National Research Foundation [SNA2007042400003]; NRF; University of Pretoria</t>
  </si>
  <si>
    <t>South African National Research Foundation(National Research Foundation - South Africa); NRF; University of Pretoria</t>
  </si>
  <si>
    <t>This study was funded by South African National Research Foundation grant SNA2007042400003 and by an NRF special merit bursary to TMH. The South African National Antarctic Programme provided logistic support in the field. Field research by JEC was supported by the University of Pretoria. We thank three anonymous reviewers for helpful comments on a previous version.</t>
  </si>
  <si>
    <t>1752-458X</t>
  </si>
  <si>
    <t>1752-4598</t>
  </si>
  <si>
    <t>INSECT CONSERV DIVER</t>
  </si>
  <si>
    <t>Insect. Conserv. Divers.</t>
  </si>
  <si>
    <t>10.1111/icad.12054</t>
  </si>
  <si>
    <t>Biodiversity Conservation; Entomology</t>
  </si>
  <si>
    <t>Biodiversity &amp; Conservation; Entomology</t>
  </si>
  <si>
    <t>AN4YO</t>
  </si>
  <si>
    <t>WOS:000340596100002</t>
  </si>
  <si>
    <t>Arzeno, IB; Beardsley, RC; Limeburner, R; Owens, B; Padman, L; Springer, SR; Stewart, CL; Williams, MJM</t>
  </si>
  <si>
    <t>Arzeno, Isabella B.; Beardsley, Robert C.; Limeburner, Richard; Owens, Breck; Padman, Laurie; Springer, Scott R.; Stewart, Craig L.; Williams, Michael J. M.</t>
  </si>
  <si>
    <t>Ocean variability contributing to basal melt rate near the ice front of Ross Ice Shelf, Antarctica</t>
  </si>
  <si>
    <t>PHASE-SENSITIVE RADAR; MASS-BALANCE; WEDDELL SEA; SHEET; BENEATH; MODEL; CIRCULATION; SURFACE; TIDE; TEMPERATURE</t>
  </si>
  <si>
    <t>Basal melting of ice shelves is an important, but poorly understood, cause of Antarctic ice sheet mass loss and freshwater production. We use data from two moorings deployed through Ross Ice Shelf, similar to 6 and similar to 16 km south of the ice front east of Ross Island, and numerical models to show how the basal melting rate near the ice front depends on sub-ice-shelf ocean variability. The moorings measured water velocity, conductivity, and temperature for similar to 2 months starting in late November 2010. About half of the current velocity variance was due to tides, predominantly diurnal components, with the remainder due to subtidal oscillations with periods of a few days. Subtidal variability was dominated by barotropic currents that were large until mid-December and significantly reduced afterward. Subtidal currents were correlated between moorings but uncorrelated with local winds, suggesting the presence of waves or eddies that may be associated with the abrupt change in water column thickness and strong hydrographic gradients at the ice front. Estimated melt rate was similar to 1.2 +/- 0.5 m a(-1) at each site during the deployment period, consistent with measured trends in ice surface elevation from GPS time series. The models predicted similar annual-averaged melt rates with a strong annual cycle related to seasonal provision of warm water to the ice base. These results show that accurately modeling the high spatial and temporal ocean variability close to the ice-shelf front is critical to predicting time-dependent and mean values of meltwater production and ice-shelf thinning.</t>
  </si>
  <si>
    <t>[Arzeno, Isabella B.] Stanford Univ, Dept Civil &amp; Environm Engn, Stanford, CA 94305 USA; [Beardsley, Robert C.; Limeburner, Richard; Owens, Breck] Woods Hole Oceanog Inst, Woods Hole, MA 02543 USA; [Padman, Laurie] Earth &amp; Space Res, Corvallis, OR USA; [Springer, Scott R.] Earth &amp; Space Res, Seattle, WA USA; [Stewart, Craig L.; Williams, Michael J. M.] Natl Inst Water &amp; Atmospher Res, Wellington, New Zealand</t>
  </si>
  <si>
    <t>Stanford University; Woods Hole Oceanographic Institution; National Institute of Water &amp; Atmospheric Research (NIWA) - New Zealand</t>
  </si>
  <si>
    <t>Beardsley, RC (corresponding author), Woods Hole Oceanog Inst, Woods Hole, MA 02543 USA.</t>
  </si>
  <si>
    <t>rbeardsley@whoi.edu</t>
  </si>
  <si>
    <t>Stewart, Craig/HTL-6429-2023; Padman, Laurence/AAH-3808-2021; Springer, Scott/AAH-3218-2019</t>
  </si>
  <si>
    <t>Springer, Scott/0000-0002-6669-4557; Padman, Laurence/0000-0003-2010-642X; Stewart, Craig/0000-0002-3906-1594; Arzeno-Soltero, Isabella B./0000-0002-2518-7233</t>
  </si>
  <si>
    <t>National Science Foundation Office of Polar Programs [NSF ANT-0839108]; University of Nebraska, Lincoln (UNL); NSF Research Experiences for Undergraduates program [OCE0649139]; NASA [NNX10AG19G]; New Zealand National Institute of Water and Atmosphere (NIWA) core funding under the National Climate Centre; Ministry of Business, Innovation, and Employment [CO5X1001]; National Science Foundation [OCE-1233598]; [UNL 25-0550-0004-004]</t>
  </si>
  <si>
    <t>National Science Foundation Office of Polar Programs(National Science Foundation (NSF)NSF - Directorate for Geosciences (GEO)); University of Nebraska, Lincoln (UNL); NSF Research Experiences for Undergraduates program(National Science Foundation (NSF)); NASA(National Aeronautics &amp; Space Administration (NASA)); New Zealand National Institute of Water and Atmosphere (NIWA) core funding under the National Climate Centre; Ministry of Business, Innovation, and Employment(New Zealand Ministry of Business, Innovation and Employment (MBIE)); National Science Foundation(National Science Foundation (NSF));</t>
  </si>
  <si>
    <t>The Woods Hole Oceanographic Institution (WHOI) participation in the ANDRILL Coulman High Program was supported by the National Science Foundation Office of Polar Programs (NSF ANT-0839108) through a subcontract from the University of Nebraska, Lincoln (UNL). This subcontract (UNL 25-0550-0004-004) provided support for R. Limeburner, R. Beardsley, and B. Owens in the planning, field work, and subsequent scientific analysis. I. Arzeno was supported as a 2011 WHOI Summer Student Fellow through the NSF Research Experiences for Undergraduates program (OCE0649139). L. Padman and S. Springer were supported by NASA grant NNX10AG19G to Earth &amp; Space Research (ESR). M. Williams and C. Stewart were supported by the New Zealand National Institute of Water and Atmosphere (NIWA) core funding under the National Climate Centre, and the Ministry of Business, Innovation, and Employment (Contract CO5X1001). We also wish to acknowledge the following: S. Maas (Victoria University of Wellington) and W. Ostrom (WHOI), for making the field operation successful and safe; S. Fischbein (ANDRILL; UNL) and M. King (U. Tasmania) for providing GPS ice-shelf altitude data collected at M-1 and M-2; C. Laird (Center for Remote Sensing of Ice Sheets, U. Kansas) for providing radar-sensed Ross Ice Shelf thickness near Coulman High; S. Howard (ESR) for help with the ROMS modeling component, with input from the model developer M. Dinniman (Old Dominion University). We greatly appreciate the superb support provided by the ANDRILL Program, the entire Coulman High ice camp community, the NSF Raytheon Polar Services at McMurdo Station, and the Antarctica NZ Scott Base staff. Three anonymous reviewers provided valuable advice that helped us improve this paper. Publication of this paper was funded by the National Science Foundation (OCE-1233598). This is ESR Publication number 151.</t>
  </si>
  <si>
    <t>10.1002/2014JC009792</t>
  </si>
  <si>
    <t>AN2LA</t>
  </si>
  <si>
    <t>WOS:000340415500011</t>
  </si>
  <si>
    <t>Wang, JB; Mazloff, MR; Gille, ST</t>
  </si>
  <si>
    <t>Wang, Jinbo; Mazloff, Matthew R.; Gille, Sarah T.</t>
  </si>
  <si>
    <t>Pathways of the Agulhas waters poleward of 29°S</t>
  </si>
  <si>
    <t>SOUTHERN-OCEAN; CIRCULATION; LEAKAGE; UNDERCURRENT; FRONTS; SYSTEM; FLUX</t>
  </si>
  <si>
    <t>Passive tracers are advected in a Southern Ocean State Estimate (SOSE) to map the pathways of Agulhas waters, with a focus on determining where the Agulhas waters intrude into the Antarctic Circumpolar Current (ACC). Results show that Agulhas waters spread into all three ocean basins within 3 years of release. After leaving the African continent, the mean Agulhas water pathway tilts northwest toward the South Atlantic and southeast toward the ACC. The majority (from 60% to 100% depending on specific water mass) of the Agulhas waters stay in the South Indian Ocean north of the Sub-Antarctic Front. From 10 to 28% enters the South Atlantic Ocean through the boundary current along the southern tip of South Africa and via Agulhas rings in the retroflection region. Up to 12% of intermediate depth Agulhas waters enter the ACC. Most of the tracer transport into the ACC occurs just downstream of the Kerguelen Plateau, which clearly demonstrates the importance of topography in elevating cross-frontal exchange. Agulhas waters also contribute to Sub-Antarctic Mode Water formation in the Southeast Indian Ocean by lateral advection. The surface Agulhas waters are preconditioned by strong surface buoyancy loss before turning into mode water, while the intermediate Agulhas waters are advected to the mode water formation region along isopycnals before being drawn into the mixed layer.</t>
  </si>
  <si>
    <t>[Wang, Jinbo; Mazloff, Matthew R.; Gille, Sarah T.] UCSD, Scripps Inst Oceanog, La Jolla, CA 92093 USA</t>
  </si>
  <si>
    <t>Wang, JB (corresponding author), UCSD, Scripps Inst Oceanog, La Jolla, CA 92093 USA.</t>
  </si>
  <si>
    <t>jinbow@alum.mit.edu</t>
  </si>
  <si>
    <t>Mazloff, Matthew/AAG-6463-2019; Gille, Sarah T./B-3171-2012; Wang, Jinbo/H-1174-2015</t>
  </si>
  <si>
    <t>Mazloff, Matthew/0000-0002-1650-5850; Wang, Jinbo/0000-0001-5034-5566; Gille, Sarah/0000-0001-9144-4368</t>
  </si>
  <si>
    <t>National Science Foundation (NSF) [OCE-1234473, OPP-0961218, MCA06N007]; Directorate For Geosciences; Division Of Ocean Sciences [1234473] Funding Source: National Science Foundation</t>
  </si>
  <si>
    <t>National Science Foundation (NSF)(National Science Foundation (NSF)); Directorate For Geosciences; Division Of Ocean Sciences(National Science Foundation (NSF)NSF - Directorate for Geosciences (GEO))</t>
  </si>
  <si>
    <t>We acknowledge the National Science Foundation (NSF) for support of this research through grants OCE-1234473 and OPP-0961218. SOSE was produced using the Extreme Science and Engineering Discovery Environment (XSEDE), which is supported by National Science Foundation grant MCA06N007. We thank Lynne Talley and Ivana Cerovecki for helpful conversations. Comments from two reviewers and Veronica Tamsitt helped improve the manuscript. The data used in this study are available at sose.ucsd.edu.</t>
  </si>
  <si>
    <t>10.1002/2014JC010049</t>
  </si>
  <si>
    <t>WOS:000340415500012</t>
  </si>
  <si>
    <t>Chapman, CC</t>
  </si>
  <si>
    <t>Chapman, Christopher C.</t>
  </si>
  <si>
    <t>Southern Ocean jets and how to find them: Improving and comparing common jet detection methods</t>
  </si>
  <si>
    <t>ANTARCTIC CIRCUMPOLAR CURRENT; HIGHER-ORDER-STATISTICS; EDDY DIFFUSIVITY; STEP-DETECTION; MULTIPLE JETS; POLAR FRONT; DYNAMICS; VARIABILITY; SUPPRESSION; TRANSPORT</t>
  </si>
  <si>
    <t>This study undertakes a detailed comparison of different methods used for detecting and tracking oceanic jets in the Southern Ocean. The methods under consideration are the gradient thresholding method, the probability density function (PDF) method, and the contour method. Some weaknesses of the gradient thresholding method are discussed and an enhancement (the WHOSE method), based on techniques from signal processing, is proposed. The WHOSE method is then compared to the other three methods. Quantitative comparison is undertaken using synthetic sea-surface height fields. The WHOSE method and the contour method are found to perform well even in the presence of a strong eddy field. In contrast, the standard gradient thresholding and PDF methods only perform well in high signal-to-noise ratio situations. The WHOSE, PDF, and the contour methods are then applied to data from the eddy-resolving Ocean General Circulation Model for the Earth Simulator. While the three methods are in broad agreement on the location of the main ACC jets, the nature of the jet fields they produce differ. In particular, the WHOSE method reveals a fine-scale jet field with complex braiding behavior. It is argued that this fine-scale jet field may affect the calculation of eddy diffusivities. Finally, recommendations based on this study are made. The WHOSE and gradient thresholding methods are more suitable for the study of jets as localized strong currents, useful for studies of tracer fluxes. The contour and PDF methods are recommended for studies linking jets to hydrographic fronts.</t>
  </si>
  <si>
    <t>[Chapman, Christopher C.] Australian Natl Univ, Res Sch Earth Sci, Canberra, ACT, Australia; [Chapman, Christopher C.] Australian Natl Univ, ARC Ctr Excellence Climate Syst Sci, Canberra, ACT, Australia; [Chapman, Christopher C.] CSIRO Wealth Oceans Flagship, Hobart, Tas, Australia</t>
  </si>
  <si>
    <t>Australian National University; ARC Centre of Excellence for Climate System Science; Australian National University; Commonwealth Scientific &amp; Industrial Research Organisation (CSIRO)</t>
  </si>
  <si>
    <t>Chapman, CC (corresponding author), Australian Natl Univ, Res Sch Earth Sci, Canberra, ACT, Australia.</t>
  </si>
  <si>
    <t>chris.chapman.28@gmail.com</t>
  </si>
  <si>
    <t>Chapman, Christopher/AAV-2844-2021</t>
  </si>
  <si>
    <t>Chapman, Christopher/0000-0002-0877-4778</t>
  </si>
  <si>
    <t>JAMSTEC; CSIRO Wealth from Oceans flagship scholarship</t>
  </si>
  <si>
    <t>The OFES simulation was conducted on the Earth Simulator under the support of JAMSTEC. OFES data are available at http://www.jamstec.go.jp/esc/research/AtmOcn/product/ofes.html. The ETOPO data set is provided by the NOAA National Geophysical Data Center. ETOPO data are available at www.ngdc.noaa.gov/mgg/global/global.html. The author wishes to acknowledge helpful conversations with A. Mc. Hogg and S. R. Rintoul and comments on the draft manuscript by A. Klocker. The author was supported by a CSIRO Wealth from Oceans flagship scholarship.</t>
  </si>
  <si>
    <t>10.1002/2014JC009810</t>
  </si>
  <si>
    <t>WOS:000340415500018</t>
  </si>
  <si>
    <t>Valkonen, T; Vihma, T; Johansson, MM; Launiainen, J</t>
  </si>
  <si>
    <t>Valkonen, T.; Vihma, T.; Johansson, M. M.; Launiainen, J.</t>
  </si>
  <si>
    <t>Atmosphere-sea ice interaction in early summer in the Antarctic: evaluation and challenges of a regional atmospheric model</t>
  </si>
  <si>
    <t>model evaluation; ISPOL; Weddell Sea; atmospheric boundary layer; diurnal cycle; clouds; radiation; turbulent fluxes</t>
  </si>
  <si>
    <t>WESTERN WEDDELL SEA; MESOSCALE-PREDICTION-SYSTEM; BULK MICROPHYSICS SCHEME; FORECASTING WRF MODEL; STABLE BOUNDARY-LAYER; PART I; EXPLICIT FORECASTS; VERTICAL DIFFUSION; WEATHER RESEARCH; STATION-WEDDELL</t>
  </si>
  <si>
    <t>Antarctic sea ice areas have only been the main focus for a few studies combining observations and three-dimensional atmospheric model experiments. This study presents simulations over the Weddell Sea in early summer, applying the polar-optimized version of the Weather Research and Forecasting model (Polar WRF). The results are compared against observations from the drifting experiment Ice Station Polarstern, which took place on 28 November 2004-2 January 2005. The Polar WRF model showed good skill in simulating synoptic-scale variations. The diurnal cycles of surface variables were reproduced, but the amplitude was overestimated for most of the variables and the simulations were characterized by a cold temperature bias at night. The major challenges related to the modelling of the atmosphere over Antarctic sea ice were found to be associated with clouds, atmospheric boundary-layer processes and processes in the sea ice and snow layer. Temporal variations in the errors in cloud cover generated large errors in long-wave radiation fluxes. In the boundary layer, the overestimated downward sensible heat flux was partly compensated for by the underestimated downward long-wave radiation at the surface. The underestimated down-ward long-wave flux started to dominate as the stability increased and generated the cold temperature bias at the surface. Problems with the surface energy balance, as found in this study, could be reduced by applying more advanced schemes for snow and ice thermodynamics.</t>
  </si>
  <si>
    <t>[Valkonen, T.] Univ Helsinki, Dept Phys, FIN-00014 Helsinki, Finland; [Valkonen, T.; Vihma, T.; Johansson, M. M.; Launiainen, J.] Finnish Meteorol Inst, FIN-00101 Helsinki, Finland; [Valkonen, T.] Norwegian Meteorol Inst, NO-0313 Oslo, Norway</t>
  </si>
  <si>
    <t>University of Helsinki; Finnish Meteorological Institute; Norwegian Meteorological Institute</t>
  </si>
  <si>
    <t>Valkonen, T (corresponding author), Norwegian Meteorol Inst, POB 43 Blindern, NO-0313 Oslo, Norway.</t>
  </si>
  <si>
    <t>teresa.valkonen@met.no</t>
  </si>
  <si>
    <t>Vihma, Timo/ABC-9771-2020</t>
  </si>
  <si>
    <t>Johansson, Milla/0000-0002-9566-5149</t>
  </si>
  <si>
    <t>Academy of Finland via the AMICO project [128799, 128533, 263918]; Academy of Finland (AKA) [263918, 128533, 128799] Funding Source: Academy of Finland (AKA)</t>
  </si>
  <si>
    <t>Academy of Finland via the AMICO project; Academy of Finland (AKA)(Research Council of Finland)</t>
  </si>
  <si>
    <t>Alfred Wegener Institute for Polar and Marine Research is acknowledged for providing the radiosonde sounding and ceilometer data and Drs David Bromwich and Keith Hines from Ohio State University for the Polar WRF model code. CSC -IT Center for Science Ltd was used for computing. The research was funded by the Academy of Finland via the AMICO project (contracts 128799, 128533 and 263918). We are grateful to Dr Tiina Nygard and the anonymous reviewers for all the comments and suggestions that helped us to improve the manuscript.</t>
  </si>
  <si>
    <t>10.1002/qj.2237</t>
  </si>
  <si>
    <t>AN1SN</t>
  </si>
  <si>
    <t>WOS:000340364000010</t>
  </si>
  <si>
    <t>Yuan, W; Geller, MA; Love, PT</t>
  </si>
  <si>
    <t>Yuan, Wei; Geller, Marvin A.; Love, Peter T.</t>
  </si>
  <si>
    <t>ENSO influence on QBO modulations of the tropical tropopause</t>
  </si>
  <si>
    <t>ENSO modulation; QBO; tropical tropopause</t>
  </si>
  <si>
    <t>QUASI-BIENNIAL OSCILLATION; REANALYSES</t>
  </si>
  <si>
    <t>We examine the El Nino-Southern Oscillation (ENSO) influence on the quasi-biennial oscillation (QBO) modulation of the cold-point tropopause (CPT) temperatures. An analysis of approximately five decades (in most cases 1950s to near-present) of radiosonde data from 10 near-equatorial stations, distributed along the Equator, shows that the ENSO influence on the QBO is quite zonally symmetric. At all stations analyzed, the QBO has larger amplitude and longer period during La Nina conditions than during El Nino over this total period. We also show that as a consequence of the ENSO influences on QBO periods and amplitudes, the differences between the warmer CPT temperatures during QBO westerly shear conditions and colder temperatures during QBO easterly shear conditions are larger during La Nina than during El Nino for all stations for the entire period considered here. This strengthens earlier findings that the greatest dehydration of air entering the stratosphere from the troposphere occurs during the winter under La Nina and easterly QBO conditions. In addition, stratosphere/troposphere wind and temperature profiles are derived to establish the degree of QBO downward penetration necessary to influence zonal winds and temperatures in the upper troposphere.</t>
  </si>
  <si>
    <t>[Yuan, Wei; Geller, Marvin A.] SUNY Stony Brook, Sch Marine &amp; Atmospher Sci, Stony Brook, NY 11794 USA; [Love, Peter T.] Australian Antarctic Div, Kingston, Tas, Australia</t>
  </si>
  <si>
    <t>State University of New York (SUNY) System; State University of New York (SUNY) Stony Brook; Australian Antarctic Division</t>
  </si>
  <si>
    <t>Yuan, W (corresponding author), SUNY Stony Brook, Sch Marine &amp; Atmospher Sci, Stony Brook, NY 11794 USA.</t>
  </si>
  <si>
    <t>wei.yuan@stonybrook.edu</t>
  </si>
  <si>
    <t>Love, Peter/O-6421-2017</t>
  </si>
  <si>
    <t>Love, Peter/0000-0001-7840-0467</t>
  </si>
  <si>
    <t>NSF ATM Division [ATM-48905]</t>
  </si>
  <si>
    <t>NSF ATM Division</t>
  </si>
  <si>
    <t>The NSF ATM Division has supported this research by grant ATM-48905. We also wish to acknowledge some early work on this problem by Dr Stefan Liess.</t>
  </si>
  <si>
    <t>10.1002/qj.2247</t>
  </si>
  <si>
    <t>WOS:000340364000020</t>
  </si>
  <si>
    <t>Bergadà, P; Alsina-Pagès, RM; Pijoan, JL; Salvador, M; Regué, JR; Badia, D; Graells, S</t>
  </si>
  <si>
    <t>Bergada, P.; Alsina-Pages, R. M.; Pijoan, J. L.; Salvador, M.; Regue, J. R.; Badia, D.; Graells, S.</t>
  </si>
  <si>
    <t>Digital transmission techniques for a long haul HF link: DSSS versus OFDM</t>
  </si>
  <si>
    <t>RADIO SCIENCE</t>
  </si>
  <si>
    <t>PROPAGATION; FREQUENCY</t>
  </si>
  <si>
    <t>This paper presents two digital transmission techniques for long haul ionospheric links. Since 2003 we have studied the HF link between the Antarctic Spanish Base, Juan Carlos I, and Spain; and we have described the link in terms of availability, signal-to-noise ratio, and delay and Doppler power profile. Based on these previous studies we have developed a test bed to investigate two digital transmission techniques, i.e., Direct-Sequence Spread Spectrum (DSSS) and Orthogonal Frequency Division Multiplexing (OFDM), which can provide a low power, low-rate ionospheric data link from Antarctica. Symbol length, bandwidth, and constellation are some of the features that are analyzed in this work. Data gathered from the link throughout the 2010/2011 and 2011/2012 Antarctic surveys show that the spread spectrum techniques can be used to transmit data at low rate when the channel forecast is poor, but when the channel forecast is good multicarrier techniques can be used to transmit sporadic bursts of data at higher rate.</t>
  </si>
  <si>
    <t>[Bergada, P.; Alsina-Pages, R. M.; Pijoan, J. L.; Salvador, M.; Regue, J. R.; Badia, D.; Graells, S.] Univ Ramon Llull, GRECO La Salle, Barcelona, Spain</t>
  </si>
  <si>
    <t>Universitat Ramon Llull</t>
  </si>
  <si>
    <t>Alsina-Pagès, RM (corresponding author), Univ Ramon Llull, GRECO La Salle, Barcelona, Spain.</t>
  </si>
  <si>
    <t>ralsina@salleurl.edu</t>
  </si>
  <si>
    <t>Alsina-Pagès, Rosa Ma/M-6099-2017; Badia, David/ABF-4258-2021; Pijoan, Joan Lluis/S-3319-2018</t>
  </si>
  <si>
    <t>Alsina-Pagès, Rosa Ma/0000-0003-2261-5471; Badia, David/0000-0002-4792-8688; Pijoan, Joan Lluis/0000-0002-1796-8216</t>
  </si>
  <si>
    <t>Spanish Government [CGL2006-12437-C02-01, CTM2008-03536-E, CTM2009-13843-C02-02, CTM2010-21312-C03-03]</t>
  </si>
  <si>
    <t>Spanish Government(Spanish Government)</t>
  </si>
  <si>
    <t>This work has been funded by the Spanish Government under the projects CGL2006-12437-C02-01, CTM2008-03536-E, CTM2009-13843-C02-02, and CTM2010-21312-C03-03.</t>
  </si>
  <si>
    <t>0048-6604</t>
  </si>
  <si>
    <t>1944-799X</t>
  </si>
  <si>
    <t>RADIO SCI</t>
  </si>
  <si>
    <t>Radio Sci.</t>
  </si>
  <si>
    <t>10.1002/2013RS005203</t>
  </si>
  <si>
    <t>Astronomy &amp; Astrophysics; Geochemistry &amp; Geophysics; Meteorology &amp; Atmospheric Sciences; Remote Sensing; Telecommunications</t>
  </si>
  <si>
    <t>AN2OV</t>
  </si>
  <si>
    <t>WOS:000340426100006</t>
  </si>
  <si>
    <t>Jones, HJ; Swadling, KM; Butler, ECV; Barry, LA; Macleod, CK</t>
  </si>
  <si>
    <t>Jones, H. J.; Swadling, K. M.; Butler, E. C. V.; Barry, L. A.; Macleod, C. K.</t>
  </si>
  <si>
    <t>Application of stable isotope mixing models for defining trophic biomagnification pathways of mercury and selenium</t>
  </si>
  <si>
    <t>LIMNOLOGY AND OCEANOGRAPHY</t>
  </si>
  <si>
    <t>FOOD WEBS; CONTAMINATED ESTUARY; MARINE ECOSYSTEMS; FISH; BIOACCUMULATION; METHYLMERCURY; POSITION; METALS; BIOAVAILABILITY; ASSIMILATION</t>
  </si>
  <si>
    <t>Trophic models based on nitrogen stable isotope ratios (delta N-15) have been shown to predict changes in mercury (Hg) concentrations in fish; however, they are usually applied at the ecosystem scale and are rarely directed at known trophic pathways. We discuss a novel approach in which we combined gut contents analysis and stable isotope analyses (delta N-15 and delta C-13) into a Bayesian isotopic mixing model to provide a quantitative estimate of Hg and selenium (Se) biomagnification in an estuarine food web. Estimates of the relationship between total mercury (THg) and methylmercury (MeHg) were significantly improved in mixing model-adjusted food webs over models that included all known prey sources. Spatial differences in dietary composition and MeHg bioavailability offer strong evidence that local food webs can have a significant effect on the biomagnification of Hg within benthic fish species. While no evidence of Se biomagnification was found, lower Se : Hg ratios at higher trophic levels could be attributed to increasing trophic Hg concentration. Furthermore, stable isotope analysis suggested Hg and Se biotransfer from benthic sources to fish. Overall, the findings highlight that isotope mixing models can be a significant aid in assessments of contaminant biomagnification, particularly when it is important to define food pathways to top predators.</t>
  </si>
  <si>
    <t>[Jones, H. J.; Swadling, K. M.; Macleod, C. K.] Univ Tasmania, Inst Marine &amp; Antarctic Studies, Hobart, Tas, Australia; [Butler, E. C. V.] Australian Inst Marine Sci, Casuarina, NT, Australia; [Barry, L. A.] Australian Nucl Sci &amp; Technol Org, Lucas Heights, NSW, Australia</t>
  </si>
  <si>
    <t>University of Tasmania; Australian Institute of Marine Science; Australian Nuclear Science &amp; Technology Organisation</t>
  </si>
  <si>
    <t>Jones, HJ (corresponding author), Univ Tasmania, Inst Marine &amp; Antarctic Studies, Hobart, Tas, Australia.</t>
  </si>
  <si>
    <t>hjones1@utas.edu.au</t>
  </si>
  <si>
    <t>; Macleod, Catriona/J-7176-2014</t>
  </si>
  <si>
    <t>Butler, Edward/0000-0002-6660-3985; Macleod, Catriona/0000-0002-0539-6361; Jones, Hugh/0000-0002-5851-2661; Swadling, Kerrie/0000-0002-7620-841X</t>
  </si>
  <si>
    <t>Australian Nuclear Science and Technology Organisation under Australian Institute of Nuclear Science and Engineering [ALNGRA10090, ALNGRA11069]; Seafood Cooperative Research Centre</t>
  </si>
  <si>
    <t>Australian Nuclear Science and Technology Organisation under Australian Institute of Nuclear Science and Engineering; Seafood Cooperative Research Centre</t>
  </si>
  <si>
    <t>We acknowledge Nyrstar, Hobart, for continued support of this project, in particular Todd Milne and James Burke. We also thank Jason Whitehead and Christine Coughanowr at the Derwent Estuary Program for in-kind support and Warren Corns and Bin Chen of Peter Stockwell Analytical (PSA, UK) for providing access to specialist analytical instruments and expertise for determining the trace element loadings presented in this article. We thank Sean Tracey for proofreading this manuscript and Thomas Rodemann of the Central Science Laboratory, University of Tasmania, for the elemental analysis. We also thank the reviewers of this manuscript whose input greatly improved this article. This work was supported by the Australian Nuclear Science and Technology Organisation under Australian Institute of Nuclear Science and Engineering grants (ALNGRA10090 and ALNGRA11069) and a Seafood Cooperative Research Centre Research grant for the trace element analysis and additional experimental costs.</t>
  </si>
  <si>
    <t>0024-3590</t>
  </si>
  <si>
    <t>1939-5590</t>
  </si>
  <si>
    <t>LIMNOL OCEANOGR</t>
  </si>
  <si>
    <t>Limnol. Oceanogr.</t>
  </si>
  <si>
    <t>10.4319/lo.2014.59.4.1181</t>
  </si>
  <si>
    <t>Limnology; Oceanography</t>
  </si>
  <si>
    <t>AM6AI</t>
  </si>
  <si>
    <t>WOS:000339942400007</t>
  </si>
  <si>
    <t>Hiller, N; O'Gorman, JP; Otero, RA</t>
  </si>
  <si>
    <t>Hiller, Norton; O'Gorman, Jose P.; Otero, Rodrigo A.</t>
  </si>
  <si>
    <t>A new elasmosaurid plesiosaur from the lower Maastrichtian of North Canterbury, New Zealand</t>
  </si>
  <si>
    <t>CRETACEOUS RESEARCH</t>
  </si>
  <si>
    <t>Elasmosauridae; Conway Formation; Upper Cretaceous; New Zealand; Weddellian Province</t>
  </si>
  <si>
    <t>CRETACEOUS PLESIOSAUR; SOUTH ISLAND; GASTROLITHS; ARGENTINA; PATAGONIA; REPTILES; REMAINS; SHAPE</t>
  </si>
  <si>
    <t>A postcranial specimen from the lower Maastrichtian levels of the Conway Formation, Middle Waipara River, North Canterbury, New Zealand shows clear elasmosaurid affinities, based on the articular faces, with a ventral notch, of the centra of cervical vertebrae. The ilia have some distinctive features such as a gracile shaft divided into two parts by a posterior knee, with the distal portion being longer than the proximal one, and the flattened distal end being slightly expanded and bearing an ovoid depression. These features differentiate this specimen from other elasmosaurids from the Weddellian Biogeographic Province, in which the ilia are known, but these are considered insufficient grounds on which to erect a new taxon. However, this specimen demonstrates a potentially greater elasmosaurid diversity in the lower Maastrichtian of the southern Hemisphere than previously appreciated. The gastrolith cluster associated with the bones has sedimentological features similar to those previously recorded in gastroliths of other elasmosaurids. (C) 2014 Elsevier Ltd. All rights reserved.</t>
  </si>
  <si>
    <t>[Hiller, Norton] Univ Canterbury, Dept Geol Sci, Christchurch 8140, New Zealand; [Hiller, Norton] Canterbury Museum, Christchurch 8013, New Zealand; [O'Gorman, Jose P.] Univ Natl La Plata, Museo La Plata, Div Paleontol Vertebrados, La Plata, Argentina; [O'Gorman, Jose P.] Consejo Nacl Invest Cient &amp; Tecn, Consejo Nacl Invest Cient &amp; Tecn, RA-1033 Buenos Aires, DF, Argentina; [Otero, Rodrigo A.] Univ Chile, Fac Ciencias, Dept Biol, Red Paleontol U Chile,Lab Ontogenia &amp; Filogenia, Santiago 3425, Chile</t>
  </si>
  <si>
    <t>University of Canterbury; National University of La Plata; Museo La Plata; Consejo Nacional de Investigaciones Cientificas y Tecnicas (CONICET); Universidad de Chile</t>
  </si>
  <si>
    <t>Hiller, N (corresponding author), Univ Canterbury, Dept Geol Sci, PB 4800, Christchurch 8140, New Zealand.</t>
  </si>
  <si>
    <t>norton.hiller@canterbury.ac.nz; joseogorman@fcnym.unlp.edu.ar; paracrioceras@gmail.com</t>
  </si>
  <si>
    <t>O’Gorman, José/AAK-6096-2021</t>
  </si>
  <si>
    <t>Otero, Rodrigo/0000-0002-3046-2973</t>
  </si>
  <si>
    <t>Antarctic Ring Project (Anillos de Ciencia Antartica ACT-105, Conicyt-Chile); Red Paleontologica U-Chile of the Universidad de Chile [Domeyko II UR-C12/1]</t>
  </si>
  <si>
    <t>Antarctic Ring Project (Anillos de Ciencia Antartica ACT-105, Conicyt-Chile)(Comision Nacional de Investigacion Cientifica y Tecnologica (CONICYT)CONICYT PIA/ANILLOS); Red Paleontologica U-Chile of the Universidad de Chile</t>
  </si>
  <si>
    <t>The authors are very grateful to the Director and Natural History curators at Canterbury Museum, Christchurch, New Zealand for allowing us access to the collections in their care. RAO was supported by the Antarctic Ring Project (Anillos de Ciencia Antartica ACT-105, Conicyt-Chile) and by the Domeyko II UR-C12/1 grant - Red Paleontologica U-Chile of the Universidad de Chile.</t>
  </si>
  <si>
    <t>0195-6671</t>
  </si>
  <si>
    <t>1095-998X</t>
  </si>
  <si>
    <t>CRETACEOUS RES</t>
  </si>
  <si>
    <t>Cretac. Res.</t>
  </si>
  <si>
    <t>10.1016/j.cretres.2014.03.026</t>
  </si>
  <si>
    <t>Geology; Paleontology</t>
  </si>
  <si>
    <t>AM0KN</t>
  </si>
  <si>
    <t>WOS:000339534600003</t>
  </si>
  <si>
    <t>O'Gorman, JP; Olivero, EB; Santillana, S; Everhart, MJ; Reguero, M</t>
  </si>
  <si>
    <t>Patricio O'Gorman, Jose; Bernardo Olivero, Eduardo; Santillana, Sergio; Everhart, Michael J.; Reguero, Marcelo</t>
  </si>
  <si>
    <t>Gastroliths associated with an Aristonectes specimen (Plesiosauria, Elasmosauridae), Lopez de Bertodano Formation (upper Maastrichtian) Seymour Island (Is. Marambio), Antarctic Peninsula</t>
  </si>
  <si>
    <t>Gastrolith; Aristonectes; Upper Cretaceous; Maastrichtian; Lopez de Bertodano Formation; Antarctic Peninsula</t>
  </si>
  <si>
    <t>STOMACH STONES; POLYCOTYLID PLESIOSAUR; VEGA ISLAND; NEW-ZEALAND; SAUROPTERYGIA; REPTILIA; ARGENTINA; PATAGONIA; BUOYANCY; ALBERTA</t>
  </si>
  <si>
    <t>The occurrence of a large gastrolith set associated with a specimen referred to Aristonectes sp. is reported here for the first time. The specimen MLP 89-III-3-1 comes from Seymour Island (Is. Marambio), Antarctic Peninsula, Lopez de Bertodano Formation (upper Maastrichtian). The gastrolith cluster is composed of 793 elements (534 in their presumed original state and about 259 that are broken). The gastroliths are described using sedimentological indices. The mean major axis of the gastroliths is 21 mm, the mean Maximum Projection Sphericity is 0.71 and the standard deviation is 0.11. According to Krumbein's classification, 43.3% are spheroidal (equant), 14.9% are cylindrical (prolate), 34.7% are discoidal and 7.1% are bladed (laminar). Following Powers' roundness categories, 10.1% are very rounded, 29.2% are rounded and 60.7% are subrounded. The mean Maximum Projection Sphericity value indicates a fluvial origin for the gastroliths. Petrographically, the gastroliths comprise rhyolitic volcanites (56.2%), quartz vein material (27.8%), subarkose arenites (14.5%) and laminated, radiolarian-rich mudstones and tuffs (1.5%). The potential geological sources are several formations from the Antarctic Peninsula, such as the Upper Jurassic Antarctic Peninsula Volcanic Group (rhyolitic volcanites), the Permian-Triassic Trinity Peninsula Group (subarkose arenites), and the Kimmeridgian-Berriasian Ameghino Formation (radiolarian-rich mudstones and tuffs). All these formations crop out within about 100 km of the locality where the specimen was collected. We also discuss how gastroliths were ingested, concluding that the ingestion was not done individually. Finally, this record of gastroliths provides evidence against the hypothesis of their use for buoyancy control. (C) 2014 Elsevier Ltd. All rights reserved.</t>
  </si>
  <si>
    <t>[Patricio O'Gorman, Jose; Reguero, Marcelo] Univ Nacl La Plata, Museo La Plata, Div Paleontol Vertebrados, La Plata, Buenos Aires, Argentina; [Patricio O'Gorman, Jose; Reguero, Marcelo] Consejo Nacl Invest Cient &amp; Tecn, Consejo Nacl Invest Cient &amp; Tecn, RA-1033 Buenos Aires, DF, Argentina; [Bernardo Olivero, Eduardo] CADIC CONICET, RA-9410 Ushuaia, Argentina; [Santillana, Sergio] Inst Antartico Argentino, RA-1248 Cerrito, Argentina; [Everhart, Michael J.] Ft Hays State Univ, Sternberg Museum Nat Hist, Hays, KS 67601 USA</t>
  </si>
  <si>
    <t>National University of La Plata; Museo La Plata; Consejo Nacional de Investigaciones Cientificas y Tecnicas (CONICET); Consejo Nacional de Investigaciones Cientificas y Tecnicas (CONICET); Instituto Antartico Argentino</t>
  </si>
  <si>
    <t>O'Gorman, JP (corresponding author), Univ Nacl La Plata, Museo La Plata, Div Paleontol Vertebrados, Paseo Bosque S-N,B1900FWA, La Plata, Buenos Aires, Argentina.</t>
  </si>
  <si>
    <t>joseogorman@fcnym.unlp.edu.ar; emolivero@ciudad.com.ar; ssantillana@dna.gov.ar; meverhar@fhsu.edu; regui@fcnym.unlp.edu.ar</t>
  </si>
  <si>
    <t>Reguero, Marcelo A./JHS-4893-2023; O’Gorman, José/AAK-6096-2021</t>
  </si>
  <si>
    <t>Agencia Nacional de Promocion Cientifica y Tecnologica (ANPCyT) [PICT 2008-0261, PICT 0365]; FONCYT-DNA [PICTO 0114]; [PICT 2012-0748]; [UNLP N607]; [UNLP N677]; [PIP 433]</t>
  </si>
  <si>
    <t>Agencia Nacional de Promocion Cientifica y Tecnologica (ANPCyT)(ANPCyTSpanish Government); FONCYT-DNA; ; ; ;</t>
  </si>
  <si>
    <t>The authors thank Z. Gasparini (Universidad Nacional de La Plata) and L. Salgado (Universidad Nacional de Rio Negro) for the critical comments that have improved this manuscript, J.J. Moly, William Zinsmeister (Purdue University) for reporting the find of MLP 89-III-3-1. We also thank the Instituto Antartico Argentino (IAA) for the support in the Antarctic fieldtrip; L. Acosta Burllaile for his collaboration in fossil preparation, and N. Cerda and R. Schmeisser for the bibliography. This work was supported by PICT 2008-0261 (Agencia Nacional de Promocion Cientifica y Tecnologica (ANPCyT)), PICT 0365 (ANPCyT), PICTO 0114 FONCYT-DNA, PICT 2012-0748, UNLP N607, UNLP N677 and PIP 433.</t>
  </si>
  <si>
    <t>10.1016/j.cretres.2014.03.011</t>
  </si>
  <si>
    <t>WOS:000339534600017</t>
  </si>
  <si>
    <t>Otero, RA; Soto-Acuña, S; Vargas, AO; Rubilar-Rogers, D</t>
  </si>
  <si>
    <t>Otero, Rodrigo A.; Soto-Acuna, Sergio; Vargas, Alexander O.; Rubilar-Rogers, David</t>
  </si>
  <si>
    <t>A new postcranial skeleton of an elasmosaurid plesiosaur from the Upper Cretaceous of central Chile and reassessment of Cimoliasaurus andium Deecke</t>
  </si>
  <si>
    <t>Elasmosaurid; Uppermost Cretaceous; Quiriquina Formation; Southeastern Pacific</t>
  </si>
  <si>
    <t>ARISTONECTES CABRERA; REPTILIA; SAUROPTERYGIA</t>
  </si>
  <si>
    <t>We describe a new specimen of an elasmosaurid plesiosaur from the upper Maastrichtian of central Chile. The specimen includes a relatively complete dorso-caudal series, a few cervical vertebrae, and a fragmentary pelvic girdle. The specimen is identified as a sub-adult non-artistonectine elasmosaurid (Sauropterygia, Plesiosauria) based on graphic bivariate analysis of the cervical vertebral proportions. The caudal vertebrae have distinctive features such as neural arches that are recurved cranially, with pedicels overlapping the dorso-posterior surface of the immediately anterior centrum, and terminal centra with two pairs of deep dorsal articulations for the neural arches. These unusual features are present in several late Maastrichtian adult specimens from the Quiriquina Formation of central Chile, and have been included within the hypodigm of the historic taxon Cimoliasaurus andium Deecke (nomen dubium). The specimen studied here likely represents the same taxon or a closely related form, showing slight differences in both size and ontogenetic stage. The preserved elements of this new skeleton afford comparison with several other late Maastrichtian specimens from Chile that were previously, albeit tentatively, referred to C. andium. The similarity of these specimens suggests that the late Maastrichtian elasmosaurid diversity of central Chile (excluding aristonectines) may be represented by taxa with low morphological disparity, or by a single taxon. (C) 2014 Elsevier Ltd. All rights reserved.</t>
  </si>
  <si>
    <t>[Otero, Rodrigo A.; Soto-Acuna, Sergio; Vargas, Alexander O.] Univ Chile, Fac Ciencias, Dept Biol, Red Paleontol U Chile,Lab Ontogenia &amp; Filogenia, Santiago 3425, Chile; [Soto-Acuna, Sergio; Rubilar-Rogers, David] Museo Nacl Hist Nat, Area Paleontol, Santiago, Chile</t>
  </si>
  <si>
    <t>Universidad de Chile</t>
  </si>
  <si>
    <t>Otero, RA (corresponding author), Univ Chile, Fac Ciencias, Dept Biol, Red Paleontol U Chile,Lab Ontogenia &amp; Filogenia, Santiago 3425, Chile.</t>
  </si>
  <si>
    <t>Vargas, Alexander O/L-3788-2017</t>
  </si>
  <si>
    <t>Vargas, Alexander O/0000-0002-2009-7116; Soto Acuna, Sergio/0000-0002-9311-9355; Otero, Rodrigo/0000-0002-3046-2973</t>
  </si>
  <si>
    <t>Universidad de Chile [UR-C12/1]</t>
  </si>
  <si>
    <t>This contribution was supported by the Domeyko II UR-C12/1 grant Red Paleontologica U-Chile of the Universidad de Chile. Additional support was provided by the Antarctic Ring Project (Anillos de Ciencia Antartica ACT-105, Conicyt-Chile). Sven Nielsen (Universidad Austral de Chile) is acknowledged by providing pictures of the type material of 'C. andium' hosted in Kiel, Germany. Thanks to Karina E. Buldrini and Jhonatan Alarcon (Museo Nacional de Historia Natural, Santiago, and Red Paleontologica U-Chile) for the remarkable work on the preparation of the specimen. Dr. Paul Scofield and Dr. Norton Hiller (Canterbury Museum, Christchurch, New Zealand) are especially acknowledged for the access to the specimen CM Zfr 115 and for valuable discussions about Weddellian plesiosaurs. James F. Parham (California State University, Fullerton) and Jacobus P. Le Roux (Universidad de Chile) helped to correct the English and provided valuable comments that improved the manuscript. Dr. Benjamin Kear (Uppsala University, Sweden) and Dr. Frank R. O'Keefe (Marshall University, US) are especially acknowledged for the critical review of the manuscript and valuable comments that helped to improve it.</t>
  </si>
  <si>
    <t>10.1016/j.cretres.2014.05.008</t>
  </si>
  <si>
    <t>WOS:000339534600024</t>
  </si>
  <si>
    <t>Kalberg, T; Gohl, K</t>
  </si>
  <si>
    <t>Kalberg, Thomas; Gohl, Karsten</t>
  </si>
  <si>
    <t>The crustal structure and tectonic development of the continental margin of the Amundsen Sea Embayment, West Antarctica: implications from geophysical data</t>
  </si>
  <si>
    <t>Submarine tectonics and volcanism; Tectonics and landscape evolution; Dynamics of lithosphere and mantle; Dynamics: gravity and tectonics; Antarctica</t>
  </si>
  <si>
    <t>PINE ISLAND GLACIER; MARIE-BYRD-LAND; SEISMIC VELOCITY; PACIFIC MARGIN; GRAVITY; EVOLUTION; EAST; LITHOSPHERE; CONSTRAINTS; TRANSITION</t>
  </si>
  <si>
    <t>The Amundsen Sea Embayment of West Antarctica represents a key component in the tectonic history of Antarctic-New Zealand continental breakup. The region played a major role in the plate-kinematic development of the southern Pacific from the inferred collision of the Hikurangi Plateau with the Gondwana subduction margin at approximately 110-100 Ma to the evolution of the West Antarctic Rift System. However, little is known about the crustal architecture and the tectonic processes creating the embayment. During two 'RV Polarstern' expeditions in 2006 and 2010 a large geophysical data set was collected consisting of seismic-refraction and reflection data, ship-borne gravity and helicopter-borne magnetic measurements. Two P-wave velocity-depth models based on forward traveltime modelling of nine ocean bottom hydrophone recordings provide an insight into the lithospheric structure beneath the Amundsen Sea Embayment. Seismic-reflection data image the sedimentary architecture and the top-of-basement. The seismic data provide constraints for 2-D gravity modelling, which supports and complements P-wave modelling. Our final model shows 10-14-km-thick stretched continental crust at the continental rise that thickens to as much as 28 km beneath the inner shelf. The homogenous crustal architecture of the continental rise, including horst and graben structures are interpreted as indicating that wide-mode rifting affected the entire region. We observe a high-velocity layer of variable thickness beneath the margin and related it, contrary to other 'normal volcanic type margins', to a proposed magma flow along the base of the crust from beneath eastern Marie Byrd Land-West Antarctica to the Marie Byrd Seamount province. Furthermore, we discuss the possibility of upper mantle serpentinization by seawater penetration at the Marie Byrd Seamount province. Hints of seaward-dipping reflectors indicate some degree of volcanism in the area after break-up. A set of gravity anomaly data indicate several phases of fully developed and failed rift systems, including a possible branch of the West Antarctic Rift System in the Amundsen Sea Embayment.</t>
  </si>
  <si>
    <t>[Kalberg, Thomas; Gohl, Karsten] Alfred Wegener Inst, Helmholtz Ctr Polar &amp; Marine Res, D-27568 Bremerhaven, Germany</t>
  </si>
  <si>
    <t>Kalberg, T (corresponding author), Alfred Wegener Inst, Helmholtz Ctr Polar &amp; Marine Res, Alten Hafen 26, D-27568 Bremerhaven, Germany.</t>
  </si>
  <si>
    <t>thomas.kalberg@awi.de</t>
  </si>
  <si>
    <t>Gohl, Karsten/0000-0002-9558-2116</t>
  </si>
  <si>
    <t>Deutsche Forschungsgemeinschaft (DFG) [GO 724/13-1]; Work Package of AWI research program PACES [3.2]</t>
  </si>
  <si>
    <t>Deutsche Forschungsgemeinschaft (DFG)(German Research Foundation (DFG)); Work Package of AWI research program PACES</t>
  </si>
  <si>
    <t>We are grateful to the master, crews and scientific teams of the RV Polarstern expeditions ANT-XXIII/4 (2006) und ANT-XXVI/3 (2010) for their support in collecting new geophysical data from the ASE. This project was funded by the Deutsche Forschungsgemeinschaft (DFG) under project number GO 724/13-1 and is affiliated with Work Package 3.2 of the AWI research program PACES.</t>
  </si>
  <si>
    <t>10.1093/gji/ggu118</t>
  </si>
  <si>
    <t>AM2YI</t>
  </si>
  <si>
    <t>WOS:000339717200024</t>
  </si>
  <si>
    <t>Accardo, NJ; Wiens, DA; Hernandez, S; Aster, RC; Nyblade, A; Huerta, A; Anandakrishnan, S; Wilson, T; Heeszel, DS; Dalziel, IWD</t>
  </si>
  <si>
    <t>Accardo, Natalie J.; Wiens, Douglas A.; Hernandez, Stephen; Aster, Richard C.; Nyblade, Andrew; Huerta, Audrey; Anandakrishnan, Sridhar; Wilson, Terry; Heeszel, David S.; Dalziel, Ian W. D.</t>
  </si>
  <si>
    <t>Upper mantle seismic anisotropy beneath the West Antarctic Rift System and surrounding region from shear wave splitting analysis</t>
  </si>
  <si>
    <t>Seismic anisotropy; Dynamics of lithosphere and mantle; Antarctica</t>
  </si>
  <si>
    <t>MARIE-BYRD-LAND; CENTRAL TRANSANTARCTIC MOUNTAINS; SOUTHERN VICTORIA-LAND; ROSS SEA; ELLSWORTH MOUNTAINS; CONTINENTAL RIFT; FLOW BENEATH; AZIMUTHAL ANISOTROPY; TECTONIC EVOLUTION; MINERAL TEXTURE</t>
  </si>
  <si>
    <t>We constrain azimuthal anisotropy in the West Antarctic upper mantle using shear wave splitting parameters obtained from teleseismic SKS, SKKS and PKS phases recorded at 37 broad-band seismometres deployed by the POLENET/ANET project. We use an eigenvalue technique to linearize the rotated and shifted shear wave horizontal particle motions and determine the fast direction and delay time for each arrival. High-quality measurements are stacked to determine the best fitting splitting parameters for each station. Overall, fast anisotropic directions are oriented at large angles to the direction of Antarctic absolute plate motion in both hotspot and no-net-rotation frameworks, showing that the anisotropy does not result from shear due to plate motion over the mantle. Further, the West Antarctic directions are substantially different from those of East Antarctica, indicating that anisotropy across the continent reflects multiple mantle regimes. We suggest that the observed anisotropy along the central Transantarctic Mountains (TAM) and adjacent West Antarctic Rift System (WARS), one of the largest zones of extended continental crust on Earth, results from asthenospheric mantle strain associated with the final pulse of western WARS extension in the late Miocene. Strong and consistent anisotropy throughout the WARS indicate fast axes subparallel to the inferred extension direction, a result unlike reports from the East African rift system and rifts within the Basin and Range, which show much greater variation. We contend that ductile shearing rather than magmatic intrusion may have been the controlling mechanism for accumulation and retention of such coherent, widespread anisotropic fabric. Splitting beneath the Marie Byrd Land Dome (MBL) is weaker than that observed elsewhere within the WARS, but shows a consistent fast direction, possibly representative of anisotropy that has been 'frozen-in' to remnant thicker lithosphere. Fast directions observed inland from the Amundsen Sea appear to be radial to the dome and may indicate radial horizontal mantle flow associated with an MBL plume head and low upper mantle velocities in this region, or alternatively to lithospheric features associated with the complex Cenozoic tectonics at the far-eastern end of the WARS.</t>
  </si>
  <si>
    <t>[Accardo, Natalie J.; Wiens, Douglas A.] Washington Univ, Dept Earth &amp; Planetary Sci, St Louis, MO 63130 USA; [Hernandez, Stephen] Univ Calif Santa Cruz, Dept Earth &amp; Planetary Sci, Santa Cruz, CA 95064 USA; [Aster, Richard C.] Colorado State Univ, Geosci Dept, Ft Collins, CO 80523 USA; [Nyblade, Andrew; Anandakrishnan, Sridhar] Penn State Univ, Dept Geosci, University Pk, PA 16801 USA; [Huerta, Audrey] Cent Washington Univ, Dept Geol Sci, Ellensburg, WA 98926 USA; [Wilson, Terry] Ohio State Univ, Dept Geol Sci, Columbus, OH 43210 USA; [Heeszel, David S.] Univ Calif San Diego, Scripps Inst Oceanog, La Jolla, CA 92093 USA; [Dalziel, Ian W. D.] Univ Texas Austin, Jackson Sch Geosci, Inst Geophys, Austin, TX 78712 USA</t>
  </si>
  <si>
    <t>Washington University (WUSTL); University of California System; University of California Santa Cruz; Colorado State University; Pennsylvania Commonwealth System of Higher Education (PCSHE); Pennsylvania State University; Pennsylvania State University - University Park; Central Washington University; University System of Ohio; Ohio State University; University of California System; University of California San Diego; Scripps Institution of Oceanography; University of Texas System; University of Texas Austin</t>
  </si>
  <si>
    <t>Accardo, NJ (corresponding author), Columbia Univ, Dept Earth &amp; Environm Sci, New York, NY 10027 USA.</t>
  </si>
  <si>
    <t>accardo@ldeo.columbia.edu</t>
  </si>
  <si>
    <t>Aster, Richard/E-5067-2013; Anandakrishnan, Sridhar/JCN-5026-2023; Huerta, Audrey D/A-8680-2009; Dalziel, Ian W. D./G-5926-2010; Wiens, Douglas/J-9259-2016</t>
  </si>
  <si>
    <t>Aster, Richard/0000-0002-0821-4906; Wiens, Douglas/0000-0002-5169-4386; Huerta, Audrey/0000-0002-0252-8496; hernandez, stephen/0000-0002-8990-4027</t>
  </si>
  <si>
    <t>National Science Foundation [EAR-1063471, ANT-0632209, ANT-0632185, ANT-0632330]; NSF Polar Programs; DOE National Nuclear Secuxstrity Administration; Directorate For Geosciences; Office of Polar Programs (OPP) [1246712] Funding Source: National Science Foundation; Directorate For Geosciences; Office of Polar Programs (OPP) [1249631, 1246776, 1246666] Funding Source: National Science Foundation</t>
  </si>
  <si>
    <t>National Science Foundation(National Science Foundation (NSF)); NSF Polar Programs(National Science Foundation (NSF)); DOE National Nuclear Secuxstrity Administration; Directorate For Geosciences; Office of Polar Programs (OPP)(National Science Foundation (NSF)NSF - Directorate for Geosciences (GEO)); Directorate For Geosciences; Office of Polar Programs (OPP)(National Science Foundation (NSF)NSF - Directorate for Geosciences (GEO))</t>
  </si>
  <si>
    <t>We thank Patrick Shore from Washington University, Tim Parker, Brian Bonnett, Guy Tytgat, Paul Carpenter from the IRIS PASSCAL Instrument Center and many other individuals for field and technical assistance in acquiring POLENET data. We thank Nick Teanby for use of his shear wave splitting analysis code. We thank Tom Jordan for productive discussion concerning the Pagano Shear Zone. Finally, we thank two anonymous reviewers for constructive comments that improved this manuscript. Seismic instrumentation provided and supported by the Incorporated Research Institutions for Seismology (IRIS) through the PASSCAL Instrument Center at New Mexico Tech. Seismic data are available through the IRIS Data Management Center. The facilities of the IRIS Consortium are supported by the National Science Foundation under Cooperative Agreement EAR-1063471, by NSF Polar Programs and the DOE National Nuclear Secuxstrity Administration. This research was funded by the National Science Foundation under grants ANT-0632209, ANT-0632185 and ANT-0632330.</t>
  </si>
  <si>
    <t>10.1093/gji/ggu117</t>
  </si>
  <si>
    <t>WOS:000339717200029</t>
  </si>
  <si>
    <t>Argus, DF; Peltier, WR; Drummond, R; Moore, AW</t>
  </si>
  <si>
    <t>Argus, Donald F.; Peltier, W. R.; Drummond, R.; Moore, Angelyn W.</t>
  </si>
  <si>
    <t>The Antarctica component of postglacial rebound model ICE-6G_C (VM5a) based on GPS positioning, exposure age dating of ice thicknesses, and relative sea level histories</t>
  </si>
  <si>
    <t>Satellite geodesy; Global change from geodesy; Glaciology; Dynamics of lithosphere and mantle; Antarctica</t>
  </si>
  <si>
    <t>GLACIAL ISOSTATIC-ADJUSTMENT; INTERGLACIAL CYCLE; MANTLE VISCOSITY; CRUSTAL MOTIONS; VICTORIA LAND; SHEET GROWTH; GRACE; RETREAT; IMPACT; SHELF</t>
  </si>
  <si>
    <t>A new model of the deglaciation history of Antarctica over the past 25 kyr has been developed, which we refer to herein as ICE-6G_C (VM5a). This revision of its predecessor ICE-5G (VM2) has been constrained to fit all available geological and geodetic observations, consisting of: (1) the present day uplift rates at 42 sites estimated from GPS measurements, (2) ice thickness change at 62 locations estimated from exposure-age dating, (3) Holocene relative sea level histories from 12 locations estimated on the basis of radiocarbon dating and (4) age of the onset of marine sedimentation at nine locations along the Antarctic shelf also estimated on the basis of C-14 dating. Our new model fits the totality of these data well. An additional nine GPS-determined site velocities are also estimated for locations known to be influenced by modern ice loss from the Pine Island Bay and Northern Antarctic Peninsula regions. At the 42 locations not influenced by modern ice loss, the quality of the fit of postglacial rebound model ICE-6G_C (VM5A) is characterized by a weighted root mean square residual of 0.9 mm yr(-1). The Southern Antarctic Peninsula is inferred to be rising at 2 mm yr(-1), requiring there to be less Holocene ice loss there than in the prior model ICE-5G (VM2). The East Antarctica coast is rising at approximately 1 mm yr(-1), requiring ice loss from this region to have been small since Last Glacial Maximum. The Ellsworth Mountains, at the base of the Antarctic Peninsula, are inferred to be rising at 5-8 mm yr(-1), indicating large ice loss from this area during deglaciation that is poorly sampled by geological data. Horizontal deformation of the Antarctic Plate is minor with two exceptions. First, O'Higgins, at the tip of the Antarctic Peninsula, is moving southeast at a significant 2 mm yr(-1) relative to the Antarctic Plate. Secondly, the margins of the Ronne and Ross Ice Shelves are moving horizontally away from the shelf centres at an approximate rate of 0.8 mm yr(-1), in viscous response to the early Holocene unloading of ice from the current locations of the ice shelf centers. ICE-6G_C (VM5A) fits the horizontal observations well (wrms residual speed of 0.7 mm yr(-1)), there being no need to invoke any influence of lateral variation inmantle viscosity. ICE-6G_C (VM5A) differs in several respects from the recently published W12A model of Whitehouse et al. First, the upper-mantle viscosity in VM5a is 5 x 10(20) Pa s, half that in W12A. The VM5a profile, which is identical to that inferred on the basis of the Fennoscandian relaxation spectrum, North American relative sea level histories and Earth rotation constraints, when coupled with the revised ICE-6G_C deglaciation history, fits all of the available constraints. Secondly, the net contribution of Antarctica ice loss to global sea level rise is 13.6 m, 2/3 greater than the 8 m in W12A. Thirdly, ice loss occurs quickly from 12 to 5 ka, and the contribution to global sea level rise during Meltwater Pulse 1B (11.5 ka) is large (5 m), consistent with sedimentation constraints from cores from the Antarctica ice shelf. Fourthly, in ICE-6G_C there is no ice gain in the East Antarctica interior, as there is in W12A. Finally, the new model of Antarctic deglaciation reconciles the global constraint upon the global mass loss during deglaciation provided by the Barbados record of relative sea level history when coupled with the Northern Hemisphere counterpart of this new model.</t>
  </si>
  <si>
    <t>[Argus, Donald F.; Moore, Angelyn W.] CALTECH, Jet Prop Lab, Pasadena, CA 91109 USA; [Peltier, W. R.; Drummond, R.] Univ Toronto, Dept Phys, Toronto, ON M5S 1A7, Canada</t>
  </si>
  <si>
    <t>California Institute of Technology; National Aeronautics &amp; Space Administration (NASA); NASA Jet Propulsion Laboratory (JPL); University of Toronto</t>
  </si>
  <si>
    <t>Argus, DF (corresponding author), CALTECH, Jet Prop Lab, 4800 Oak Grove Dr, Pasadena, CA 91109 USA.</t>
  </si>
  <si>
    <t>Donald.F.Argus@jpl.nasa.gov</t>
  </si>
  <si>
    <t>Argus, Donald F/F-7704-2011; Peltier, William R./A-1102-2008</t>
  </si>
  <si>
    <t>NASA; NSERC [A9627]; NOAA [NA110AR4310101]</t>
  </si>
  <si>
    <t>NASA(National Aeronautics &amp; Space Administration (NASA)); NSERC(Natural Sciences and Engineering Research Council of Canada (NSERC)); NOAA(National Oceanic Atmospheric Admin (NOAA) - USA)</t>
  </si>
  <si>
    <t>We are grateful to Michael Heflin, Susan Owen, Shailen Desai and all members of JPL's GPS positioning team. We are grateful to Michael Craymer for sharing results from the Canadian Base Network. We thank Michael Bevis, Alessandro Capra, Luca Vittuari, Eugene Domack, Christoph Knoefel, Matt King, John Dawson, Michael Moore, Ryan Ruddick, Lars Sjoberg and Terry Wilson for sharing GPS Rinex files. We are grateful to reviewer Matt King for extensive insight and suggestions on the submitted manuscript. We are thankful also to two anonymous reviewers who helped improve the study. We acknowledge contribution from the International GPS Service, UNAVCO and SOPAC. Research by Argus and Moore was performed at Jet Propulsion Laboratory, California Institute of Technology, under contract with NASA. Research by Peltier and Drummond at the University of Toronto is supported by NSERC Discovery Grant A9627 to WRP and by NOAA grant NA110AR4310101. The construction of models of glacial isostatic rebound at the University of Toronto has employed the SciNet facility for high performance computation, which is a component of the Compute Canada HPC platform.</t>
  </si>
  <si>
    <t>10.1093/gji/ggu140</t>
  </si>
  <si>
    <t>WOS:000339717200038</t>
  </si>
  <si>
    <t>Caddell, R</t>
  </si>
  <si>
    <t>Caddell, Richard</t>
  </si>
  <si>
    <t>Science Friction: Antarctic Research Whaling and the International Court of Justice</t>
  </si>
  <si>
    <t>JOURNAL OF ENVIRONMENTAL LAW</t>
  </si>
  <si>
    <t>Whaling remains one of the most controversial and divisive aspects of the modern regulation of marine resources. In 1982, the International Whaling Commission, the global management body responsible for the regulation of whale stocks, instituted a moratorium on commercial hunting, which has been in force for almost 20 years. Nevertheless, a number of legal avenues exist within the current international regulatory framework to facilitate a degree of continued hunting. The most contentious of these is the scientific research exemption advanced under Article VIII of the International Convention for the Regulation of Whaling 1946, which provides for the national authorization of permits for lethal research. Japan has undertaken a significant programme of scientific whaling in Antarctica since 1987, despite widespread international criticism and an escalating campaign of nautical obstruction by militant activists, duly generating a long-standing legal dispute with Australia. On 31 March 2014, judgment was rendered by the International Court of Justice, in favour of Australia, ordering Japan to cease and desist its Antarctic whaling programme and refuting Japanese assertions that these activities had been legitimately conducted 'for the purposes of scientific research' as permitted under the 1946 Convention.</t>
  </si>
  <si>
    <t>Swansea Univ, Inst Int Shipping &amp; Trade Law, Swansea, W Glam, Wales</t>
  </si>
  <si>
    <t>Swansea University</t>
  </si>
  <si>
    <t>Caddell, R (corresponding author), Swansea Univ, Inst Int Shipping &amp; Trade Law, Swansea, W Glam, Wales.</t>
  </si>
  <si>
    <t>j.r.caddell@swansea.ac.uk</t>
  </si>
  <si>
    <t>Caddell, Richard/0000-0002-9293-2467</t>
  </si>
  <si>
    <t>0952-8873</t>
  </si>
  <si>
    <t>1464-374X</t>
  </si>
  <si>
    <t>J ENVIRON LAW</t>
  </si>
  <si>
    <t>J. Environ. Law</t>
  </si>
  <si>
    <t>10.1093/jel/equ018</t>
  </si>
  <si>
    <t>Environmental Sciences; Environmental Studies; Law; Multidisciplinary Sciences</t>
  </si>
  <si>
    <t>Environmental Sciences &amp; Ecology; Government &amp; Law; Science &amp; Technology - Other Topics</t>
  </si>
  <si>
    <t>AM2FY</t>
  </si>
  <si>
    <t>WOS:000339666500008</t>
  </si>
  <si>
    <t>Radford, D; Walker, SE; Bowser, SS</t>
  </si>
  <si>
    <t>Radford, Dylan; Walker, Sally E.; Bowser, Samuel S.</t>
  </si>
  <si>
    <t>ALPHA AND BETA DIVERSITY OF FORAMINIFERA THAT ENCRUST THE ANTARCTIC SCALLOP ADAMUSSIUM COLBECKI: ECOLOGICAL CONNECTIVITY AMONG SHELLS AND BETWEEN SITES</t>
  </si>
  <si>
    <t>JOURNAL OF FORAMINIFERAL RESEARCH</t>
  </si>
  <si>
    <t>SPECIES-DIVERSITY; BENTHIC FORAMINIFERA; MCMURDO SOUND; DEEP-SEA; EXPLORERS COVE; ICE SHELF; ASTRAMMINA-RARA; SHALLOW-WATER; WEDDELL SEA; ROSS SEA</t>
  </si>
  <si>
    <t>Benthic foraminifera are ubiquitous marine organisms in Antarctica, but little is known about their ecology despite their importance as climate-change proxies. A fundamental question remains unanswered: is foraminiferal diversity highly localized and similar to reports for Antarctic benthic invertebrates? If so, high endemism would result driven by dispersal limitation with little connectivity among sites. To answer this question, the composition, abundance, spatial distribution and alpha (alpha) and beta (beta) diversity of foraminiferal species that encrust living shells of the Antarctic scallop Adamussium colbecki were compared within and between two sites located 30-km apart in McMurdo Sound, Ross Sea, Antarctica: Bay of Sails (BOS), an open coastal region with annual sea-ice cover, and Explorers Cove (EC), a protected embayment with multi-annual sea-ice cover. Foraminiferal community structure differed between the sites, generated by variations in species abundance, turnover of rare species, and heterogeneity in species composition between top and bottom valves. Foraminifera were significantly more common on the scallop's auricles, perhaps driven by nutrients generated by the scallop. Calcareous taxa were significantly more abundant at EC despite lower seawater pH, while agglutinated taxa were significantly more abundant at BOS. Alpha diversity (species richness, Shannon H, e(H)) was higher at BOS than at EC and is similar to deep-sea diversity reported for Caribbean encrusting foraminifera. Based on Shannon H, foraminifera at EC may represent a stressed community dominated by Cibicides antarcticus, while those at BOS may represent a transitional community. Within-site it-diversity was high, spurred by the turnover of rare species between top and bottom valves, which acted as separate microhabitats. Higher beta-diversity at BOS suggests that foraminiferal dispersal and recruitment were more localized than at EC. Additive partitioning revealed that encrusting diversity was mostly held at the local level, and that BOS and EC have high connectivity, similar to deep-sea communities. The Antarctic endemicity of these protists is questionable, and is in stark contrast to Antarctic invertebrates with high within- and between-site diversity. Therefore, Antarctic encrusting foraminifera appear to be influenced primarily by niche-based processes, rather than dispersal limitation. Indeed, habitat islands, such as carbonate shells, are essential for generating Antarctic diversity, and are integral for the conservation of Antarctica's unique polar ecosystem.</t>
  </si>
  <si>
    <t>[Radford, Dylan; Walker, Sally E.] Univ Georgia, Dept Geol, Athens, GA 30602 USA; [Bowser, Samuel S.] New York Dept Hlth, Wadsworth Ctr, Albany, NY 12201 USA</t>
  </si>
  <si>
    <t>University System of Georgia; University of Georgia; Wadsworth Center</t>
  </si>
  <si>
    <t>Walker, SE (corresponding author), Univ Georgia, Dept Geol, Athens, GA 30602 USA.</t>
  </si>
  <si>
    <t>swalker@gly.uga.edu</t>
  </si>
  <si>
    <t>NSF [ANT 0739512, ANT 0739583, ANT 0944646]; Directorate For Geosciences; Office of Polar Programs (OPP) [0944646] Funding Source: National Science Foundation</t>
  </si>
  <si>
    <t>NSF(National Science Foundation (NSF)); Directorate For Geosciences; Office of Polar Programs (OPP)(National Science Foundation (NSF)NSF - Directorate for Geosciences (GEO))</t>
  </si>
  <si>
    <t>We thank the staff at McMurdo Station and the crew of Petroleum Helicopters, Inc., for logistical support. The field assistance and dive expertise of Steve Clabuesch, Cecil Shin, Shawn Harper, and Henry Kaiser made this study possible. This manuscript was greatly improved by reviewers Brent Wilson, Marty Buzas, and the editors, Paul Brenckle, Rebekah Baker, and Elisabeth Alve. Marty Buzas also suggested improvements for evenness metrics, data tables, and ANOVAs, and Regina Smith provided much needed support. NSF grants ANT 0739512, ANT 0739583 and ANT 0944646 are gratefully acknowledged.</t>
  </si>
  <si>
    <t>CUSHMAN FOUNDATION FORAMINIFERAL RESEARCH</t>
  </si>
  <si>
    <t>PO BOX 7065, LAWRENCE, KS 66044-7065 USA</t>
  </si>
  <si>
    <t>0096-1191</t>
  </si>
  <si>
    <t>J FORAMIN RES</t>
  </si>
  <si>
    <t>J. Foraminifer. Res.</t>
  </si>
  <si>
    <t>10.2113/gsjfr.44.3.255</t>
  </si>
  <si>
    <t>AM5WW</t>
  </si>
  <si>
    <t>WOS:000339932700003</t>
  </si>
  <si>
    <t>García-Muñoz, C; García, CM; Lubián, LM; López-Urrutia, A; Hernández-León, S; Ameneiro, J</t>
  </si>
  <si>
    <t>Garcia-Munoz, Cristina; Garcia, Carlos M.; Lubian, Luis M.; Lopez-Urrutia, Angel; Hernandez-Leon, Santiago; Ameneiro, Julia</t>
  </si>
  <si>
    <t>Metabolic state along a summer north-south transect near the Antarctic Peninsula: a size spectra approach</t>
  </si>
  <si>
    <t>metabolic state; normalized biomass size spectra; south Shetland Islands</t>
  </si>
  <si>
    <t>FLOW-CYTOMETRIC ENUMERATION; WESTERN BRANSFIELD STRAIT; GROSS PRIMARY PRODUCTION; KRILL EUPHAUSIA-SUPERBA; AUSTRAL SUMMER; OLIGOTROPHIC OCEAN; SCOTIA SEA; COMMUNITY RESPIRATION; ZOOPLANKTON BIOMASS; PLANKTON COMMUNITY</t>
  </si>
  <si>
    <t>To establish a metabolic state along a north-south transect in Antarctic waters, we approached community respiration (CR) from a combined perspective based on the metabolic theory of ecology (MTE) and the size-scaling of the whole planktonic community. A detailed analysis of a summer integrated multi-trophic normalized biomass size spectra (NBSS), from heterotrophic bacteria to zooplankton, was carried out. To acquire individual size data, different techniques were combined: flow cytometry for smaller fractions (&lt; 20 A mu m of equivalent spherical diameter), FlowCAM for larger nano- and microplankton and scanning and image analysis for the zooplankton fractions. The distribution of the NBSS was linear at all stations (R-2 values: 0.87-0.93) but dome-shape features appeared related to phytoplankton cell distribution which are responsible for a large fraction of microbial respiration. Generally, the region showed an autotrophic budget south of the archipelago due to gross primary production (GPP) values up to 2804 mg C m(-2) day(-1), where salps could significantly contribute to the carbon export flux. Contrastingly, higher CR rates (&gt; 1000 mg C m(-2) day(-1)) were found at the northern stations due to a higher phytoplankton respiration activity associated with increasing sea water temperatures and a higher presence of heterotrophic organisms (microheterotrophs, chaetognaths and copepods) resulting in a net heterotrophic metabolic state (GPP/CR &lt; 1).</t>
  </si>
  <si>
    <t>[Garcia-Munoz, Cristina; Lubian, Luis M.] Inst Ciencias Marinas Andalucia ICMAN CSIC, Dept Ecol &amp; Gest Costera, Cadiz, Spain; [Garcia, Carlos M.] Univ Cadiz, Dept Biol, Fac Ciencias Mar &amp; Ambientales, Cadiz, Spain; [Lopez-Urrutia, Angel] Inst Espanol Oceanog, Ctr Oceanog Gijon, Gijon, Asturias, Spain; [Hernandez-Leon, Santiago] Univ Las Palmas Gran Canaria, Inst Oceanog &amp; Cambio Global, Las Palmas Gran Canaria, Islas Canarias, Spain; [Ameneiro, Julia] Univ Vigo, Fac Ciencias Mar, Dept Ecol &amp; Biol Anim, Vigo 36310, Spain</t>
  </si>
  <si>
    <t>Consejo Superior de Investigaciones Cientificas (CSIC); CSIC - Instituto de Ciencias Marinas de Andalucia (ICMAN); Universidad de Cadiz; Spanish Institute of Oceanography; Universidad de Las Palmas de Gran Canaria; Universidade de Vigo</t>
  </si>
  <si>
    <t>García-Muñoz, C (corresponding author), Inst Ciencias Marinas Andalucia ICMAN CSIC, Dept Ecol &amp; Gest Costera, Cadiz, Spain.</t>
  </si>
  <si>
    <t>cristina.garcia@icman.csic.es</t>
  </si>
  <si>
    <t>Lopez-Urrutia, Angel/L-2636-2014; LUBIAN, LUIS M/L-7241-2014; Lopez-Urrutia, Angel/R-9475-2019; Hernández-León, Santiago/M-2563-2014; Garcia, Carlos M/M-2025-2018</t>
  </si>
  <si>
    <t>Lopez-Urrutia, Angel/0000-0002-6135-2937; Garcia, Carlos M/0000-0002-8920-9024; Hernandez-Leon, Santiago/0000-0002-3085-4969</t>
  </si>
  <si>
    <t>Spanish Ministry of Science and Education [COUPLING CTM2008-06343-C02-02/ANT]; Spanish Council for Research (CSIC), JAE-Predoc</t>
  </si>
  <si>
    <t>Spanish Ministry of Science and Education(Spanish Government); Spanish Council for Research (CSIC), JAE-Predoc</t>
  </si>
  <si>
    <t>This work was supported by project COUPLING CTM2008-06343-C02-02/ANT from the Spanish Ministry of Science and Education. C.G-M.'s work was supported by a pre-doctoral fellowship from the Spanish Council for Research (CSIC), JAE-Predoc 2009.</t>
  </si>
  <si>
    <t>JUL-AUG</t>
  </si>
  <si>
    <t>10.1093/plankt/fbu042</t>
  </si>
  <si>
    <t>AM6DE</t>
  </si>
  <si>
    <t>WOS:000339951300015</t>
  </si>
  <si>
    <t>Kusum, KK; Vineetha, G; Raveendran, TV; Nair, VR; Muraleedharan, KR; Achuthankutty, CT; Joseph, T</t>
  </si>
  <si>
    <t>Kusum, K. K.; Vineetha, G.; Raveendran, T. V.; Nair, V. R.; Muraleedharan, K. R.; Achuthankutty, C. T.; Joseph, T.</t>
  </si>
  <si>
    <t>Chaetognath community and their responses to varying environmental factors in the northern Indian Ocean</t>
  </si>
  <si>
    <t>chaetognath ecology; distribution; physico-chemical variables; northern Indian Ocean</t>
  </si>
  <si>
    <t>ARABIAN-SEA; OXYGEN; ZOOPLANKTON; COPEPODS; ECOLOGY; WATER</t>
  </si>
  <si>
    <t>The ecology of the chaetognath community and its relation to varying environmental factors were studied in the eastern half of the northern Indian Ocean. Analysis of data from two major oceanographic programmes performed over four decades apart suggests a pronounced shift in the community composition and a poleward migration of chaetognaths. This migration has led to an aggregation in the north, as the Eurasian land mass prevents further movement beyond 30A degrees N.</t>
  </si>
  <si>
    <t>[Kusum, K. K.; Vineetha, G.; Raveendran, T. V.; Nair, V. R.; Muraleedharan, K. R.; Achuthankutty, C. T.; Joseph, T.] CSIR Natl Inst Oceanog, Kochi 18, Kerala, India; [Achuthankutty, C. T.] Natl Ctr Antarctic &amp; Ocean Res, Vasco Da Gama 403804, Goa, India</t>
  </si>
  <si>
    <t>Council of Scientific &amp; Industrial Research (CSIR) - India; CSIR - National Institute of Oceanography (NIO); Ministry of Earth Sciences (MoES) - India; National Centre for Polar and Ocean Research (NCPOR)</t>
  </si>
  <si>
    <t>Kusum, KK (corresponding author), CSIR Natl Inst Oceanog, Kochi 18, Kerala, India.</t>
  </si>
  <si>
    <t>kusum.kk1@gmail.com</t>
  </si>
  <si>
    <t>G, Vineetha/HMV-9426-2023</t>
  </si>
  <si>
    <t>G, Vineetha/0000-0001-8524-6285; Karati, Kusum Komal/0000-0001-9627-7466</t>
  </si>
  <si>
    <t>Ministry of Earth Sciences, Govt. of India</t>
  </si>
  <si>
    <t>This work was supported by Ministry of Earth Sciences (formerly Department of Ocean Development), Govt. of India.</t>
  </si>
  <si>
    <t>10.1093/plankt/fbu024</t>
  </si>
  <si>
    <t>WOS:000339951300021</t>
  </si>
  <si>
    <t>von Salm, JL; Wilson, NG; Vesely, BA; Kyle, DE; Cuce, J; Baker, BJ</t>
  </si>
  <si>
    <t>von Salm, J. L.; Wilson, N. G.; Vesely, B. A.; Kyle, D. E.; Cuce, J.; Baker, B. J.</t>
  </si>
  <si>
    <t>Shagenes A &amp; B, tricyclic seqquiterpenes produced by an undescribed Antarctic octocoral</t>
  </si>
  <si>
    <t>PLANTA MEDICA</t>
  </si>
  <si>
    <t>55th Annual Meeting of the American-Society-of-Pharmacognosy (ASP)</t>
  </si>
  <si>
    <t>AUG 02-06, 2014</t>
  </si>
  <si>
    <t>Oxford, MS</t>
  </si>
  <si>
    <t>[von Salm, J. L.; Cuce, J.; Baker, B. J.] Univ S Florida, Dept Chem, Tampa, FL 33620 USA; [von Salm, J. L.; Cuce, J.; Baker, B. J.] Univ S Florida, Ctr Drug Discovery &amp; Innovat, Tampa, FL 33620 USA; [Wilson, N. G.] Western Australian Museum, Perth, WA 6000, Australia; [Vesely, B. A.; Kyle, D. E.] Univ S Florida, Dept Global Hlth, Tampa, FL 33620 USA</t>
  </si>
  <si>
    <t>State University System of Florida; University of South Florida; State University System of Florida; University of South Florida; Western Australian Museum; State University System of Florida; University of South Florida</t>
  </si>
  <si>
    <t>Baker, Bill/N-4312-2019</t>
  </si>
  <si>
    <t>GEORG THIEME VERLAG KG</t>
  </si>
  <si>
    <t>STUTTGART</t>
  </si>
  <si>
    <t>RUDIGERSTR 14, D-70469 STUTTGART, GERMANY</t>
  </si>
  <si>
    <t>0032-0943</t>
  </si>
  <si>
    <t>1439-0221</t>
  </si>
  <si>
    <t>PLANTA MED</t>
  </si>
  <si>
    <t>Planta Med.</t>
  </si>
  <si>
    <t>PB10</t>
  </si>
  <si>
    <t>Plant Sciences; Chemistry, Medicinal; Integrative &amp; Complementary Medicine; Pharmacology &amp; Pharmacy</t>
  </si>
  <si>
    <t>Plant Sciences; Pharmacology &amp; Pharmacy; Integrative &amp; Complementary Medicine</t>
  </si>
  <si>
    <t>AM3VP</t>
  </si>
  <si>
    <t>WOS:000339781200088</t>
  </si>
  <si>
    <t>Oppel, S; Hilton, G; Ratcliffe, N; Fenton, C; Daley, J; Gray, G; Vickery, J; Gibbons, D</t>
  </si>
  <si>
    <t>Oppel, Steffen; Hilton, Geoff; Ratcliffe, Norman; Fenton, Calvin; Daley, James; Gray, Gerard; Vickery, Juliet; Gibbons, David</t>
  </si>
  <si>
    <t>Assessing population viability while accounting for demographic and environmental uncertainty</t>
  </si>
  <si>
    <t>ashfall events; Bayesian analysis; environmental stochasticity; Icterus oberi; integrated population model; island endemics; juvenile survival; Lesser Antilles; Montserrat Oriole; population viability analysis; tropical forest; volcanic activity</t>
  </si>
  <si>
    <t>THREATENED MONTSERRAT ORIOLE; SOUFRIERE-HILLS-VOLCANO; SURVIVAL RATES; CLIMATE-CHANGE; GROWTH RATE; BREEDING ECOLOGY; MARK-RECAPTURE; WEST-INDIES; BIRD; DYNAMICS</t>
  </si>
  <si>
    <t>Predicting the future trend and viability of populations is an essential task in ecology. Because many populations respond to changing environments, uncertainty surrounding environmental responses must be incorporated into population assessments. However, understanding the effects of environmental variation on population dynamics requires information on several important demographic parameters that are often difficult to estimate. Integrated population models facilitate the integration of time series data on population size and all existing demographic information from a species, allowing the estimation of demographic parameters for which limited or no empirical data exist. Although these models are ideal for assessments of population viability, they have so far not included environmental uncertainty. We incorporated environmental variation in an integrated population model to account for both demographic and environmental uncertainty in an assessment of population viability. In addition, we used this model to estimate true juvenile survival, an important demographic parameter for population dynamics that is difficult to estimate empirically. We applied this model to assess the past and future population trend of a rare island endemic songbird, the Montserrat Oriole Icterus oberi, which is threatened by volcanic activity. Montserrat Orioles experienced lower survival in years with volcanic ashfall, causing periodic population declines that were compensated by higher seasonal fecundity in years with high pre-breeding season rainfall. Due to the inclusion of both demographic and environmental uncertainty in the model, the estimated population growth rate in the immediate future was highly imprecise (95% credible interval 0.844-1.105), and the probability of extinction after three generations (in the year 2028) was low (2.1%). This projection demonstrates that accounting for both demographic and environmental sources of uncertainty provides a more realistic assessment of the viability of populations under unknown future environmental conditions.</t>
  </si>
  <si>
    <t>[Oppel, Steffen; Hilton, Geoff; Vickery, Juliet; Gibbons, David] Royal Soc Protect Birds, RSPB Ctr Conservat Sci, Sandy 5919 20L, Beds, England; [Ratcliffe, Norman] British Antarctic Survey, Nat Environm Res Council, Cambridge CB3 0ET, England</t>
  </si>
  <si>
    <t>Royal Society for Protection of Birds; UK Research &amp; Innovation (UKRI); Natural Environment Research Council (NERC); NERC British Antarctic Survey</t>
  </si>
  <si>
    <t>Oppel, S (corresponding author), Royal Soc Protect Birds, RSPB Ctr Conservat Sci, Sandy 5919 20L, Beds, England.</t>
  </si>
  <si>
    <t>steffen.oppel@rspb.org.uk</t>
  </si>
  <si>
    <t>Oppel, Steffen/H-2771-2019; Hilton, Geoff/H-3086-2017</t>
  </si>
  <si>
    <t>Oppel, Steffen/0000-0002-8220-3789; Hilton, Geoff/0000-0001-9062-3030</t>
  </si>
  <si>
    <t>Montserrat Department of Environment; NERC [bas0100025] Funding Source: UKRI; Natural Environment Research Council [bas0100025] Funding Source: researchfish</t>
  </si>
  <si>
    <t>Montserrat Department of Environment; NERC(UK Research &amp; Innovation (UKRI)Natural Environment Research Council (NERC)); Natural Environment Research Council(UK Research &amp; Innovation (UKRI)Natural Environment Research Council (NERC))</t>
  </si>
  <si>
    <t>We appreciate the support of the Montserrat Department of Environment and J. Millett in all aspects of the fieldwork on Montserrat. P. W. Atkinson, C. G. R. Bowden, M. Hulme, J. Madden, E. K. Mackley, J. Greenaway, J. Glenford, L. Martin, and J. Boatswain assisted with nest monitoring, capture, and observations of birds. We thank the Montserrat Water Authority for operating and sharing data of rainfall gauges. J. Barclay and A. Matthews provided valuable insights on rainfall measurements and rainfall patterns on Montserrat and their input is greatly appreciated. D. Jeggo, Durrell Wildlife Trust, and the Jersey Zoo provided the complete studbook of the captive Montserrat Oriole population. W. Aspinall, G. Thompson, C. Horwell and P. Cole shared their expertise on geophysics and volcanoes and provided us with much insight on volcanic events on Montserrat. S. Freeman, P. Besbeas, M. Schaub, M. Kery, and F. Abadi shared their expertise and provided helpful advice on the construction and modification of the integrated population model. We thank A. Butler for help with WinBUGS, and P. Donald, R. Moreno, P. F. Quintana-Ascencio, and two anonymous reviewers for constructive feedback on an earlier version of the manuscript.</t>
  </si>
  <si>
    <t>ECOLOGICAL SOC AMER</t>
  </si>
  <si>
    <t>1990 M STREET NW, STE 700, WASHINGTON, DC 20036 USA</t>
  </si>
  <si>
    <t>10.1890/13-0733.1</t>
  </si>
  <si>
    <t>AL9OL</t>
  </si>
  <si>
    <t>WOS:000339470500011</t>
  </si>
  <si>
    <t>Sun, LC; Chen, YL; Zhong, C; Okazaki, E; Cao, MJ; Weng, WY; Osako, K</t>
  </si>
  <si>
    <t>Sun, Le-Chang; Chen, Yong-Lin; Zhong, Chan; Okazaki, Emiko; Cao, Min-Jie; Weng, Wu Yin; Osako, Kazufumi</t>
  </si>
  <si>
    <t>Autolysis of krill protein from North Pacific krill Euphausia pacifica during protein recovery via isoelectric solubilization/precipitation</t>
  </si>
  <si>
    <t>FISHERIES SCIENCE</t>
  </si>
  <si>
    <t>Autolysis; Krill protein; Isoelectric solubilization/precipitation; Zymography; Myofibrillar protein</t>
  </si>
  <si>
    <t>ANTARCTIC KRILL; MUSCLE PROTEINS; FUNCTIONAL ADDITIVES; PEPTIDE-HYDROLASES; SUPERBA; PURIFICATION; CARP; HEPATOPANCREAS; CLEAVAGE; GELATION</t>
  </si>
  <si>
    <t>Autolysis of North Pacific krill protein in acidic and alkaline solubilization during protein recovery via isoelectric solubilization/precipitation was investigated. Pronounced auto-degradation of myosin heavy chain and actin from krill protein was observed at alkaline pH values (pH 9.0-12.0), with maximum autolytic activity at about pH 12.0. Meanwhile, proteolytic activity in krill protein at pH 12.0 was observed at low temperatures, suggesting a possible cause for the autolysis of krill protein during the protein recovery process. Three major proteinases were detected by zymographic analysis of myofibrillar protein, with approximate molecular weights of 26 kDa (KP-1), 18 kDa (KP-2) and 17 kDa (KP-3). KP-3 was active over a pH range from pH 5.0-12.0, suggesting that it may be responsible for the autolysis of krill protein during alkaline-induced protein recovery. Further study on substrate specificity and inhibitory specificity of KP-3 showed that KP-3 is serine type proteinase.</t>
  </si>
  <si>
    <t>[Sun, Le-Chang; Chen, Yong-Lin; Cao, Min-Jie; Weng, Wu Yin] Jimei Univ, Coll Biol Engn, Xiamen 361021, Peoples R China; [Zhong, Chan; Okazaki, Emiko; Osako, Kazufumi] Tokyo Univ Marine Sci &amp; Technol, Dept Food Sci &amp; Technol, Minato Ku, Tokyo 1088477, Japan</t>
  </si>
  <si>
    <t>Jimei University; Tokyo University of Marine Science &amp; Technology</t>
  </si>
  <si>
    <t>Osako, K (corresponding author), Tokyo Univ Marine Sci &amp; Technol, Dept Food Sci &amp; Technol, Minato Ku, Konan 4-5-7, Tokyo 1088477, Japan.</t>
  </si>
  <si>
    <t>osako@kaiyodai.ac.jp</t>
  </si>
  <si>
    <t>Sun, Le-Chang/AAO-8488-2021; OSAKO, Kazufumi/O-1978-2014</t>
  </si>
  <si>
    <t>CHIYODA FIRST BLDG EAST, 3-8-1 NISHI-KANDA, CHIYODA-KU, TOKYO, 101-0065, JAPAN</t>
  </si>
  <si>
    <t>0919-9268</t>
  </si>
  <si>
    <t>1444-2906</t>
  </si>
  <si>
    <t>FISHERIES SCI</t>
  </si>
  <si>
    <t>Fish. Sci.</t>
  </si>
  <si>
    <t>10.1007/s12562-014-0751-9</t>
  </si>
  <si>
    <t>AL7SD</t>
  </si>
  <si>
    <t>WOS:000339334200020</t>
  </si>
  <si>
    <t>Najnin, T; Siddiqui, KS; Curmi, PM; Cavicchioli, R</t>
  </si>
  <si>
    <t>Najnin, Tahria; Siddiqui, Khawar S.; Curmi, Paul M.; Cavicchioli, Ricardo</t>
  </si>
  <si>
    <t>Characterization of a Temperature Responsive Two-component Regulatory System in the Antarctic Methanogen, Methanococcoides burtonii</t>
  </si>
  <si>
    <t>PROTEIN SCIENCE</t>
  </si>
  <si>
    <t>28th Annual Symposium of the Protein-Society</t>
  </si>
  <si>
    <t>JUL 27-30, 2014</t>
  </si>
  <si>
    <t>San Diego, CA</t>
  </si>
  <si>
    <t>[Najnin, Tahria; Siddiqui, Khawar S.; Cavicchioli, Ricardo] Univ New S Wales, Sch Biotechnol &amp; Biomol Sci, Kensington, NSW 2033, Australia; [Curmi, Paul M.] Univ New S Wales, Sch Phys, Kensington, NSW 2033, Australia</t>
  </si>
  <si>
    <t>University of New South Wales Sydney; University of New South Wales Sydney</t>
  </si>
  <si>
    <t>Cavicchioli, Ricardo/D-4341-2013; Curmi, Paul/G-7185-2011</t>
  </si>
  <si>
    <t>Curmi, Paul/0000-0001-5762-7638</t>
  </si>
  <si>
    <t>0961-8368</t>
  </si>
  <si>
    <t>1469-896X</t>
  </si>
  <si>
    <t>PROTEIN SCI</t>
  </si>
  <si>
    <t>Protein Sci.</t>
  </si>
  <si>
    <t>11-123</t>
  </si>
  <si>
    <t>AM0OU</t>
  </si>
  <si>
    <t>WOS:000339545700113</t>
  </si>
  <si>
    <t>Chen, QQ; Zhu, RB; Wang, Q; Xu, H</t>
  </si>
  <si>
    <t>Chen, Qingqing; Zhu, Renbin; Wang, Qing; Xu, Hua</t>
  </si>
  <si>
    <t>Methane and nitrous oxide fluxes from four tundra ecotopes in Ny-Alesund of the High Arctic</t>
  </si>
  <si>
    <t>JOURNAL OF ENVIRONMENTAL SCIENCES</t>
  </si>
  <si>
    <t>Tundra soil; Methane; Nitrous oxide; Arctic; Greenhouse gases</t>
  </si>
  <si>
    <t>WATER-TABLE; ANTARCTIC TUNDRA; LAKE-SEDIMENTS; N2O EMISSIONS; SOIL; NORTHERN; EXCHANGE; NITRIFICATION; CH4; ECOSYSTEMS</t>
  </si>
  <si>
    <t>During the summers of 2008 and 2009, net methane (CH4) and nitrous oxide (N2O) fluxes were investigated from 4 tundra ecotopes: normal lowland tundra (LT), bird sanctuary tundra (BT), the tundra in an abandoned coal mine (CT) and the tundra in scientific bases (ST) in Ny-Alesund of the High Arctic. Tundra soils in CT (184.5 +/- 40.0 mu g CH4/(m(2).hr)) and ST (367.6 +/- 92.3 mu g CH4/(m(2).hr)) showed high CH4 emissions due to the effects of human activities, whereas high CH4 uptake or low emission occurred in the soils of LT and BT. The lowland tundra soils (mean, -4.4-4.3 mu g N2O/(m(2).hr)) were weak N2O sources and even sinks. Bird activity increased N2O emissions from BT with the mean flux of 7.9 mu g N2O/(m(2).hr). The mean N2O fluxes from CT (45.4 +/- 10.2 mu g N2O/(m(2).hr)) and ST (78.8 +/- 18.5 mu g N2O/(m(2).hr)) were one order of magnitude higher than those from LT and BT, indicating that human activities significantly increased N2O emissions from tundra soils. Soil total carbon and water regime were important factors affecting CH4 fluxes from tundra soils. The N2O fluxes showed a significant positive correlation with ammonia nitrogen (NH4+-N) contents (r = 0.66, p &lt; 0.001) at all the observation sites, indicating that ammonia nitrogen (NH4+-N) content acted as a strong predictor for N2O emissions from tundra soils. The CH4 and N2O fluxes did not correspond to the temperature variations of soil at 0-15 cm depths. Overall our results implied that human activities might have greater effects on soil CH4 and N2O emissions than current climate warming in Ny-Alesund, High Arctic. (C) 2014 The Research Center for Eco-Environmental Sciences, Chinese Academy of Sciences. Published by Elsevier B.V.</t>
  </si>
  <si>
    <t>[Chen, Qingqing; Zhu, Renbin; Wang, Qing] Univ Sci &amp; Technol China, Sch Earth &amp; Space Sci, Inst Polar Environm, Hefei 230026, Peoples R China; [Xu, Hua]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</si>
  <si>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</si>
  <si>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Sch Earth &amp; Space Sci, Inst Polar Environm, Hefei 230026, Peoples R China.</t>
  </si>
  <si>
    <t>rhurb@ustc.edu.cn</t>
  </si>
  <si>
    <t>CHEN, QING/IXN-5937-2023; chen, qy/JXM-3217-2024</t>
  </si>
  <si>
    <t>CHEN, QING/0000-0001-5250-1710;</t>
  </si>
  <si>
    <t>National Natural Science Foundation of China [41176171, 41076124]; Specialized Research Fund for the Doctoral Program of Higher Education [20123402110026]</t>
  </si>
  <si>
    <t>National Natural Science Foundation of China(National Natural Science Foundation of China (NSFC)); Specialized Research Fund for the Doctoral Program of Higher Education(Specialized Research Fund for the Doctoral Program of Higher Education (SRFDP))</t>
  </si>
  <si>
    <t>We are deeply thankful to Dr. Nan Jia for her support and help during the field research. We also thank the members of the 4th and 5th Chinese Arctic Research Expedition for their assistance. This work was supported by the National Natural Science Foundation of China (Nos. 41176171, 41076124), and Specialized Research Fund for the Doctoral Program of Higher Education (No. 20123402110026).</t>
  </si>
  <si>
    <t>1001-0742</t>
  </si>
  <si>
    <t>1878-7320</t>
  </si>
  <si>
    <t>J ENVIRON SCI</t>
  </si>
  <si>
    <t>J. Environ. Sci.</t>
  </si>
  <si>
    <t>10.1016/j.jes.2014.05.005</t>
  </si>
  <si>
    <t>AL3NX</t>
  </si>
  <si>
    <t>WOS:000339036500005</t>
  </si>
  <si>
    <t>McDougall, TJ; Barker, PM; Feistel, R; Galton-Fenzi, BK</t>
  </si>
  <si>
    <t>McDougall, Trevor J.; Barker, Paul M.; Feistel, Rainer; Galton-Fenzi, Ben K.</t>
  </si>
  <si>
    <t>Melting of Ice and Sea Ice into Seawater and Frazil Ice Formation</t>
  </si>
  <si>
    <t>THERMODYNAMIC POTENTIALS; EQUATION; WATER; SALINITY; SHELF</t>
  </si>
  <si>
    <t>The thermodynamic consequences of the melting of ice and sea ice into seawater are considered. The International Thermodynamic Equation Of Seawater-2010 (TEOS-10) is used to derive the changes in the Conservative Temperature and Absolute Salinity of seawater that occurs as a consequence of the melting of ice and sea ice into seawater. Also, a study of the thermodynamic relationships involved in the formation of frazil ice enables the calculation of the magnitudes of the Conservative Temperature and Absolute Salinity changes with pressure when frazil ice is present in a seawater parcel, assuming that the frazil ice crystals are sufficiently small that their relative vertical velocity can be ignored. The main results of this paper are the equations that describe the changes to these quantities when ice and seawater interact, and these equations can be evaluated using computer software that the authors have developed and is publicly available in the Gibbs SeaWater (GSW) Oceanographic Toolbox of TEOS-10.</t>
  </si>
  <si>
    <t>[McDougall, Trevor J.; Barker, Paul M.] Univ New S Wales, Sch Math &amp; Stat, Sydney, NSW 2052, Australia; [Feistel, Rainer] Leibniz Inst Ostseeforsch, Warnemunde, Germany; [Galton-Fenzi, Ben K.] Australian Antarctic Div, Kingston, Tas, Australia; [Galton-Fenzi, Ben K.] Univ Tasmania, Antarctic Climate &amp; Ecosyst Cooperat Res Ctr, Hobart, Tas, Australia</t>
  </si>
  <si>
    <t>University of New South Wales Sydney; Leibniz Institut fur Ostseeforschung Warnemunde; Australian Antarctic Division; University of Tasmania; Antarctic Climate &amp; Ecosystems Cooperative Research Centre (ACE CRC)</t>
  </si>
  <si>
    <t>McDougall, TJ (corresponding author), Univ New S Wales, Sch Math &amp; Stat, Sydney, NSW 2052, Australia.</t>
  </si>
  <si>
    <t>Trevor.McDougall@unsw.edu.au</t>
  </si>
  <si>
    <t>McDougall, Trevor J/A-6770-2013</t>
  </si>
  <si>
    <t>Galton-Fenzi, Benjamin Keith/0000-0003-1404-4103</t>
  </si>
  <si>
    <t>10.1175/JPO-D-13-0253.1</t>
  </si>
  <si>
    <t>AL5OT</t>
  </si>
  <si>
    <t>WOS:000339183800005</t>
  </si>
  <si>
    <t>Chidichimo, MP; Donohue, KA; Watts, DR; Tracey, KL</t>
  </si>
  <si>
    <t>Paz Chidichimo, Maria; Donohue, Kathleen A.; Watts, D. Randolph; Tracey, Karen L.</t>
  </si>
  <si>
    <t>Baroclinic Transport Time Series of the Antarctic Circumpolar Current Measured in Drake Passage</t>
  </si>
  <si>
    <t>GRAVEST EMPIRICAL MODE; INVERTED ECHO SOUNDERS; GEOSTROPHIC CURRENTS; CLIMATE-CHANGE; VARIABILITY; OCEAN; SOUTH; SECTIONS; ATLANTIC; ARRAY</t>
  </si>
  <si>
    <t>The first multiyear continuous time series of Antarctic Circumpolar Current (ACC) baroclinic transport through Drake Passage measured by moored observations is presented. From 2007 to 2011, 19 current-and pressure-recording inverted echo sounders and 3 current-meter moorings were deployed in Drake Passage to monitor the transport during the cDrake experiment. Full-depth ACC baroclinic transport relative to the bottom has a mean strength of 127.7 +/- 1.0 Sverdrups (Sv; 1 Sv equivalent to 10(6) m(3) s(-1)) with a standard deviation of 8.1 Sv. Mean annual baroclinic transport is remarkably steady. About 65% of the baroclinic transport variance is associated with time periods shorter than 60 days with peaks at 20 and 55 days. Nearly 28% of apparent energy in the spectrum computed from transport subsampled at the 10-day repeat cycle of the Jason altimeter results from aliasing of high-frequency signals. Approximately 80% of the total baroclinic transport is carried by the Subantarctic Front and the Polar Front. Partitioning the baroclinic transport among neutral density gamma(n) layers gives 39.2 Sv for Subantarctic Surface Water and Antarctic Intermediate Water (gamma(n), 27.5 kg m(-3)), 57.5 Sv for Upper Circumpolar Deep Water (27.5 &lt; gamma(n) &lt; 28.0 kg m(-3)), 27.7 Sv for Lower Circumpolar Deep Water (28.0 &lt; gamma(n) &lt; 28.2 kg m(-3)), and 3.3 Sv for Antarctic Bottom Water (gamma(n) &gt; 28.2 kg m(-3)). The transport standard deviation in these layers decreases with depth (4.0, 3.1, 2.1, and 1.1 Sv, respectively). The transport associated with each of these water masses is statistically steady. The ACC baroclinic transport exhibits considerable variability and is a major contributor to total ACC transport variability.</t>
  </si>
  <si>
    <t>[Paz Chidichimo, Maria; Donohue, Kathleen A.; Watts, D. Randolph; Tracey, Karen L.] Univ Rhode Isl, Grad Sch Oceanog, Narragansett, RI 02882 USA</t>
  </si>
  <si>
    <t>Chidichimo, MP (corresponding author), Consejo Nacl Invest Cient &amp; Tecn, Dept Oceanog, Serv Hidrog Naval, Av Montes Oca 2124,C1270ABV, RA-1033 Buenos Aires, DF, Argentina.</t>
  </si>
  <si>
    <t>mpchidichimo@hidro.gov.ar</t>
  </si>
  <si>
    <t>Donohue, Kathleen/0000-0001-7693-3868; Watts, D Randolph/0000-0002-6738-5916; Chidichimo, Maria Paz/0000-0002-4745-9017</t>
  </si>
  <si>
    <t>National Science Foundation Office of Polar Programs under NSF [ANT-0636493, ANT-0635437/ANT-1141802]; U.K. Natural Environment Research Council; Directorate For Geosciences; Office of Polar Programs (OPP) [1141802] Funding Source: National Science Foundation; Office of Polar Programs (OPP); Directorate For Geosciences [1141922] Funding Source: National Science Foundation</t>
  </si>
  <si>
    <t>National Science Foundation Office of Polar Programs under NSF(National Science Foundation (NSF)); U.K.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</si>
  <si>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The National Science Foundation Office of Polar Programs supported this work under NSF Grants ANT-0636493 (SIO cDrake) and ANT-0635437/ANT-1141802 (URI cDrake). We are very grateful to Teri Chereskin for coleading the cDrake project and for many helpful discussions. We thank the two anonymous reviewers for their thoughtful comments and suggestions, which improved this manuscript. We gratefully acknowledge the captains and crew of the RVIB Nathaniel B. Palmer and the staff of Raytheon Polar Services for their support during the seagoing activities. We thank Erran Sousa, Gerard Chaplin, and Dan Holloway for their valuable help in the CPIES instrumentation development and preparation. The U.K. Natural Environment Research Council funded the SR1b section occupations used in this work through several core strategic research programs at the National Oceanography Centre Southampton and the British Antarctic Survey.</t>
  </si>
  <si>
    <t>10.1175/JPO-D-13-071.1</t>
  </si>
  <si>
    <t>WOS:000339183800009</t>
  </si>
  <si>
    <t>Lavery, TJ; Roudnew, B; Seymour, J; Mitchell, JG; Smetacek, V; Nicol, S</t>
  </si>
  <si>
    <t>Lavery, Trish J.; Roudnew, Ben; Seymour, Justin; Mitchell, James G.; Smetacek, Victor; Nicol, Steve</t>
  </si>
  <si>
    <t>Whales sustain fisheries: Blue whales stimulate primary production in the Southern Ocean</t>
  </si>
  <si>
    <t>MARINE MAMMAL SCIENCE</t>
  </si>
  <si>
    <t>ocean fertilization; blue whales; baleen whales; whaling; fisheries; iron; carbon; ecological history; marine populations; productivity; Balaenoptera musculus; allochthonous nutrients; autochthonous nutrients; nutrient cycling</t>
  </si>
  <si>
    <t>IRON FERTILIZATION; FORAGING ECOLOGY; BALEEN WHALES; CARBON EXPORT; PREY; REQUIREMENTS; INCREASE; DECLINE; DEEP</t>
  </si>
  <si>
    <t>It has previously been asserted that baleen whales compete with fisheries by consuming potentially harvestable marine resources. The regularly applied surplusyield model suggests that whale prey becomes available to fisheries if whales are removed, and has been presented as a justification for whaling. However, recent findings indicate that whales enhance ecosystem productivity by defecating iron that stimulates primary productivity in iron-limited waters. While juvenile whales and whales that are pregnant or lactating retain iron for growth and milk production, nonbreeding adult whales defecate most of the iron they consume. Here, we modify the surplus-yield model to incorporate iron defecation. After modeling a simplistic trajectory of blue whale recovery to historical abundances, the traditional surplusyield model predicts that 10(11) kg of carbon yr(-1) would become unavailable to fisheries. However, this ignores the nutrient recycling role of whales. Our model suggests the population of blue whales would defecate 3 x 10(6) kg of iron yr(-1), which would stimulate primary production equivalent to that required to support prey consumption by the blue whale population. Thus, modifying the surplus-yield model to include iron defecation indicates that blue whales do not render marine resources unavailable to fisheries. By defecating iron-rich feces, blue whales promote Southern Ocean productivity, rather than reducing fishery yields.</t>
  </si>
  <si>
    <t>[Lavery, Trish J.; Roudnew, Ben; Seymour, Justin; Mitchell, James G.] Flinders Univ S Australia, Sch Biol Sci, Adelaide, SA 5001, Australia; [Seymour, Justin] Univ Technol, Plant Funct Biol &amp; Climate Change Cluster C3, Broadway, NSW 2007, Australia; [Smetacek, Victor] Alfred Wegener Inst Polar &amp; Marine Res, D-27570 Bremerhaven, Germany; [Nicol, Steve] Australian Antarctic Div, Dept Sustainabil Environm Water Populat &amp; Communi, Kingston, Tas 7050, Australia</t>
  </si>
  <si>
    <t>Flinders University South Australia; University of Technology Sydney; Helmholtz Association; Alfred Wegener Institute, Helmholtz Centre for Polar &amp; Marine Research; Australian Antarctic Division</t>
  </si>
  <si>
    <t>Lavery, TJ (corresponding author), Flinders Univ S Australia, Sch Biol Sci, GPO Box 2100, Adelaide, SA 5001, Australia.</t>
  </si>
  <si>
    <t>trishlavery@hotmail.com</t>
  </si>
  <si>
    <t>Mitchell, Jim/0000-0002-8445-0935; Seymour, Justin/0000-0002-3745-6541</t>
  </si>
  <si>
    <t>0824-0469</t>
  </si>
  <si>
    <t>1748-7692</t>
  </si>
  <si>
    <t>MAR MAMMAL SCI</t>
  </si>
  <si>
    <t>Mar. Mamm. Sci.</t>
  </si>
  <si>
    <t>10.1111/mms.12108</t>
  </si>
  <si>
    <t>AL4KM</t>
  </si>
  <si>
    <t>WOS:000339101800003</t>
  </si>
  <si>
    <t>Acuña-Rodríguez, IS; Gianoli, E; Carrasco-Urra, F; Stotz, GC; Salgado-Luarte, C; Rios, RS; Molina-Montenegro, MA</t>
  </si>
  <si>
    <t>Acuna-Rodriguez, Ian S.; Gianoli, Ernesto; Carrasco-Urra, Fernando; Stotz, Gisela C.; Salgado-Luarte, Cristian; Rios, Rodrigo S.; Molina-Montenegro, Marco A.</t>
  </si>
  <si>
    <t>Antarctic Ecology One Century after the Conquest of the South Pole: How Much Have We Advanced?</t>
  </si>
  <si>
    <t>BIOSCIENCE</t>
  </si>
  <si>
    <t>Antarctic ecology; scientific publications; Antarctic research; international territorial administration; Web of Science</t>
  </si>
  <si>
    <t>CLIMATE-CHANGE; BIODIVERSITY; ECOSYSTEMS; IMPACTS; FOOD</t>
  </si>
  <si>
    <t>The knowledge derived from Antarctic ecology may be fundamental for facing the complex environmental future of the world. As an early-warning system, a deep understanding of Antarctic ecosystems is therefore needed, but Antarctic ecology as a field is still very young and currently under consolidation. Around the world, 55 nations are involved in this task through their research programs, and, considering the importance of this joint effort, we evaluate some basic trends of their publications through a wide bibliographical review of Antarctic ecology. All ecology-related Antarctic papers published for 106 years (1904-2010) were reviewed. A lack of population and ecosystem research was observed, even in Animalia, the most studied kingdom. The publications originated mainly in developed countries; however, emerging countries have increased their participation in recent years. The current trends of Antarctic ecology as afield show a constant but low representation in both Antarctic science and ecology.</t>
  </si>
  <si>
    <t>[Acuna-Rodriguez, Ian S.] Univ La Serena, Coquimbo, Chile; [Acuna-Rodriguez, Ian S.] Ctr Adv Res Arid Zones CEAZA, Coquimbo, Chile; [Carrasco-Urra, Fernando] Univ Concepcion, Concepcion, Chile; [Gianoli, Ernesto; Salgado-Luarte, Cristian; Rios, Rodrigo S.] Univ La Serena, Dept Biol, Coquimbo, Chile; [Stotz, Gisela C.] Univ Alberta, Edmonton, AB, Canada; [Molina-Montenegro, Marco A.] CEAZA, La Serena, Chile; [Molina-Montenegro, Marco A.] Univ Catolica Norte, Fac Sci, Coquimbo, Chile</t>
  </si>
  <si>
    <t>Universidad de La Serena; Universidad de Concepcion; Universidad de La Serena; University of Alberta; Universidad Catolica del Norte</t>
  </si>
  <si>
    <t>Acuña-Rodríguez, IS (corresponding author), Univ La Serena, Coquimbo, Chile.</t>
  </si>
  <si>
    <t>marco.molina@ceaza.cl</t>
  </si>
  <si>
    <t>Stotz, Gisela C/E-2197-2017; Rios, Rodrigo S/C-5098-2015; Rios, Rodrigo/HLH-8390-2023; Gianoli, Ernesto/A-7984-2015</t>
  </si>
  <si>
    <t>Rios, Rodrigo S/0000-0003-3068-0118; Molina-Montenegro, Marco/0000-0001-6801-8942; Gianoli, Ernesto/0000-0003-4246-8640; Stotz, Gisela C./0000-0001-8687-7361</t>
  </si>
  <si>
    <t>0006-3568</t>
  </si>
  <si>
    <t>1525-3244</t>
  </si>
  <si>
    <t>Bioscience</t>
  </si>
  <si>
    <t>10.1093/biosci/biu074</t>
  </si>
  <si>
    <t>AL1VU</t>
  </si>
  <si>
    <t>WOS:000338915200007</t>
  </si>
  <si>
    <t>Tang, DLK; Seward, D; Wilson, CJN; Sewell, RJ; Carter, A; Paul, BT</t>
  </si>
  <si>
    <t>Tang, Denise L. K.; Seward, Diane; Wilson, Colin J. N.; Sewell, Roderick J.; Carter, Andrew; Paul, Bence T.</t>
  </si>
  <si>
    <t>Thermotectonic history of SE China since the Late Mesozoic: insights from detailed thermochronological studies of Hong Kong</t>
  </si>
  <si>
    <t>JOURNAL OF THE GEOLOGICAL SOCIETY</t>
  </si>
  <si>
    <t>SOUTH-CHINA; U-PB; NORTHERN MARGIN; SIERRA-NEVADA; ANTARCTIC PENINSULA; TECTONIC EVOLUTION; IGNEOUS ROCKS; HEAT-FLOW; SPATIAL-DISTRIBUTION; COASTAL CORDILLERA</t>
  </si>
  <si>
    <t>The late Mesozoic Yanshanian volcanic arc affected an extensive region of SE China, but the conclusion of magmatism and later evolution are not fully understood. Widespread Yanshanian ignimbrites and their contemporaneous granites exposed in Hong Kong represent a microcosm of this magmatic arc. To constrain the post-magmatic thermal history of the region, we present zircon and apatite fission-track analyses from these rocks. Double dating using laser ablation inductively coupled plasma mass spectrometry U-Pb and fission-track techniques on detrital zircons from post-volcanic Cretaceous sediments is used to further constrain the tectonothermal evolution. The resulting dataset and thermal modelling suggest that the igneous rocks and Cretaceous sediments together experienced post-emplacement or post-depositional heating to &gt;250 degrees C, subsequently cooling through 120-60 degrees C after c. 80 Ma. The heating reflects the combined effects of an enhanced geothermal gradient and burial. We interpret the enhanced gradient to represent continuing Yanshanian magmatic activity until c. 100-80 Ma, much later than previously considered. Our data also indicate a long-term, slow cooling (c. 1 degrees C myr(-1)) since the early Cenozoic, linked to c. 2-3 km of erosion-driven exhumation. The thermotectonic history of Hong Kong reflects the mid-Cretaceous transition of SE China from an active to a passive margin bordered by marginal basins that formed in the early Cenozoic.</t>
  </si>
  <si>
    <t>[Tang, Denise L. K.; Seward, Diane; Wilson, Colin J. N.] Victoria Univ Wellington, Sch Geog Environm &amp; Earth Sci, Wellington 6140, New Zealand; [Tang, Denise L. K.; Sewell, Roderick J.] HKSAR Govt, Civil Engn &amp; Dev Dept, Hong Kong Geol Survey, Kowloon, Hong Kong, Peoples R China; [Carter, Andrew] UCL, Dept Earth &amp; Planetary Sci, London WC1E 6BT, England; [Carter, Andrew] Univ London Birkbeck Coll, London WC1E 6BT, England; [Paul, Bence T.] Univ Melbourne, Dept Earth Sci, Parkville, Vic 3010, Australia</t>
  </si>
  <si>
    <t>Victoria University Wellington; University of London; University College London; University of London; Birkbeck University London; University of Melbourne</t>
  </si>
  <si>
    <t>Tang, DLK (corresponding author), Victoria Univ Wellington, Sch Geog Environm &amp; Earth Sci, POB 600, Wellington 6140, New Zealand.</t>
  </si>
  <si>
    <t>denise.tang@vuw.ac.nz</t>
  </si>
  <si>
    <t>Paul, Bence T/H-5337-2011; Carter, Andrew/C-1371-2008; Wilson, Colin/E-9457-2011</t>
  </si>
  <si>
    <t>Carter, Andrew/0000-0002-0090-5868; Wilson, Colin/0000-0001-7565-0743</t>
  </si>
  <si>
    <t>Victoria University</t>
  </si>
  <si>
    <t>We thank Victoria University for financial support for U-Pb age analyses from the University Research Fund and award of a Doctoral Scholarship to D. L. K. T. B. Kohn is acknowledged for providing zircon He ages of two sedimentary samples. We thank Y. Tian, A. Densmore and M. Cho for their constructive reviews and comments. D. L. K. T. and R.J.S. publish with the permission of the Head of the Geotechnical Engineering Office and the Director of Civil Engineering and Development, HK SAR Government.</t>
  </si>
  <si>
    <t>0016-7649</t>
  </si>
  <si>
    <t>2041-479X</t>
  </si>
  <si>
    <t>J GEOL SOC LONDON</t>
  </si>
  <si>
    <t>J. Geol. Soc.</t>
  </si>
  <si>
    <t>10.1144/jgs2014-009</t>
  </si>
  <si>
    <t>AL0BU</t>
  </si>
  <si>
    <t>WOS:000338793100012</t>
  </si>
  <si>
    <t>Meise, K; Piedrahita, P; Krüger, O; Trillmich, F</t>
  </si>
  <si>
    <t>Meise, Kristine; Piedrahita, Paolo; Krueger, Oliver; Trillmich, Fritz</t>
  </si>
  <si>
    <t>Being on time: size-dependent attendance patterns affect male reproductive success</t>
  </si>
  <si>
    <t>asynchronous female oestrus; Galapagos sea lion; male reproductive strategy; polygynous mating system; size-dependent attendance patterns</t>
  </si>
  <si>
    <t>GALAPAGOS SEA LIONS; ZALOPHUS-CALIFORNIANUS-WOLLEBAEKI; ANTARCTIC FUR SEALS; ARCTOCEPHALUS-GAZELLA; PATERNITY ASSIGNMENT; MICROSATELLITE LOCI; MARINE IGUANAS; MATING SYSTEMS; ELEPHANT SEALS; SITE FIDELITY</t>
  </si>
  <si>
    <t>When reproduction occurs seasonally, males are expected to concentrate their reproductive effort when the abundance of females in oestrus is highest. In colonial species, large body size and prior residency correlate with the ability to establish dominance and ultimately to achieve matings. However, in addition to dominance, attendance in proximity to females may also enhance male mating success. If females come into oestrus highly asynchronously, males are unable to attend females for the entire breeding season. We expect the attendance of the most competitive males to increase with the availability of receptive females while less competitive males may primarily attend colonies when more competitive males are rare. In Galapagos sea lions, Zalophus wollebaeki, large males defend semiaquatic territories, but are unable to hold these over the entire reproductive season. They are sighted most often during the peak reproductive season. In this study, we found that nonterritorial males frequented the colony less during this time. However, the percentage of days intermediate-sized and resident males were sighted increased towards the peak of the reproductive season. Reproductive success was positively correlated with male attendance and therefore highest among territorial males. However, the correlation between attendance and reproductive success also existed for nonterritorial males. This suggests that male Galapagos sea lions adjust their attendance to the competitive situation in the colony. By increasing attendance during the peak of female oestrus, territorial males increase their chance of reproducing successfully. By adopting size-dependent strategies, nonterritorial males are able to achieve fitness while still growing. (C) 2014 The Association for the Study of Animal Behaviour. Published by Elsevier Ltd. All rights reserved.</t>
  </si>
  <si>
    <t>[Meise, Kristine; Piedrahita, Paolo; Krueger, Oliver; Trillmich, Fritz] Univ Bielefeld, Dept Anim Behav, D-33615 Bielefeld, Germany</t>
  </si>
  <si>
    <t>University of Bielefeld</t>
  </si>
  <si>
    <t>Meise, K (corresponding author), Univ Bielefeld, Dept Anim Behav, Morgenbreede 45, D-33615 Bielefeld, Germany.</t>
  </si>
  <si>
    <t>kristine.meise@uni-bielefeld.de</t>
  </si>
  <si>
    <t>Piedrahita, Paolo/M-9401-2019; Piedrahita, Paolo/K-2529-2019</t>
  </si>
  <si>
    <t>Piedrahita, Paolo/0000-0002-4403-6326;</t>
  </si>
  <si>
    <t>German Research Foundation [TR 105/18-2]; German Academic Exchange Service; Ethological Society</t>
  </si>
  <si>
    <t>German Research Foundation(German Research Foundation (DFG)); German Academic Exchange Service(Deutscher Akademischer Austausch Dienst (DAAD)); Ethological Society</t>
  </si>
  <si>
    <t>The study was funded by the German Research Foundation (TR 105/18-2), the German Academic Exchange Service and the Ethological Society. The Galapagos National Park Service provided permission to work on Galapagos. We thank the Charles Darwin Station for cooperation and logistical support. We are grateful to Paddy Brock and Jana Jeglinski for sharing their DNA samples from Santa Fe and Floreana with us. Elke Hippauf and Prisca Viehofer helped with genetic analysis. Ulrich Porschmann gave valuable input during the initial development of this study. Finally, we thank all field assistants who helped to collect data.</t>
  </si>
  <si>
    <t>10.1016/j.anbehav.2014.04.019</t>
  </si>
  <si>
    <t>AK8XU</t>
  </si>
  <si>
    <t>WOS:000338712900010</t>
  </si>
  <si>
    <t>Sval'nov, VN; Dmitrenko, OB; Kazarina, GK; Berezhnaya, ED</t>
  </si>
  <si>
    <t>Sval'nov, V. N.; Dmitrenko, O. B.; Kazarina, G. Kh.; Berezhnaya, E. D.</t>
  </si>
  <si>
    <t>Sedimentation in the Angola and Cape basins during the quaternary</t>
  </si>
  <si>
    <t>LITHOLOGY AND MINERAL RESOURCES</t>
  </si>
  <si>
    <t>ZONATION; NEOGENE; LAYER</t>
  </si>
  <si>
    <t>Reference cores of sediments from the Angola and Cape basins were subjected to lithological, geochemical, and micropaleontological investigations. Based on nannofossil and diatom assemblages, the examined sediments represented by oxidized miopelagic clays, calcareous (nannofossil-foraminiferal, foraminiferal-nannofossil), calcareous-clayey, and clayey-calcareous mud are estimated to be the Pleistocene-Holocene in age. The Cape Basin section includes surface and buried ferromanganese nodules. There are indications of sedimentary material redeposition by the Antarctic Bottom Water and turbidity currents. The South Polar Front zone changed repeatedly its geographic position and migrated northward from the presentday one. As a whole, the Pleistocene-Holocene sedimentation in the Angola and Cape basins corresponds to the incomplete pelagic (miopelagic) type of oceanic lithogenesis.</t>
  </si>
  <si>
    <t>[Sval'nov, V. N.; Dmitrenko, O. B.; Kazarina, G. Kh.; Berezhnaya, E. D.] Russian Acad Sci, Inst Oceanol IO RAN, Moscow 117997, Russia</t>
  </si>
  <si>
    <t>senidol@yandex.ru</t>
  </si>
  <si>
    <t>Berezhnaya, Evgeniya D/M-9224-2018</t>
  </si>
  <si>
    <t>0024-4902</t>
  </si>
  <si>
    <t>1608-3229</t>
  </si>
  <si>
    <t>LITHOL MINER RESOUR+</t>
  </si>
  <si>
    <t>Lithol. Miner. Resour.</t>
  </si>
  <si>
    <t>10.1134/S0024490214030067</t>
  </si>
  <si>
    <t>Geochemistry &amp; Geophysics; Geology; Mineralogy</t>
  </si>
  <si>
    <t>AL0QX</t>
  </si>
  <si>
    <t>WOS:000338832900001</t>
  </si>
  <si>
    <t>Pastorczyk, M; Gielwanowska, I; Lahuta, LB</t>
  </si>
  <si>
    <t>Pastorczyk, Marta; Gielwanowska, Irena; Lahuta, Leslaw B.</t>
  </si>
  <si>
    <t>Changes in soluble carbohydrates in polar Caryophyllaceae and Poaceae plants in response to chilling</t>
  </si>
  <si>
    <t>ACTA PHYSIOLOGIAE PLANTARUM</t>
  </si>
  <si>
    <t>Polar plants; Caryophyllaceae; Poaceae; Carbohydrates; Chilling</t>
  </si>
  <si>
    <t>RAFFINOSE FAMILY OLIGOSACCHARIDES; GRASS DESCHAMPSIA-ANTARCTICA; TRANSGENIC ARABIDOPSIS-THALIANA; COLD-ACCLIMATION; GALACTINOL-SYNTHASE; FREEZING TOLERANCE; COLOBANTHUS-QUITENSIS; TEMPERATURE STRESS; FROST TOLERANCE; SUCROSE</t>
  </si>
  <si>
    <t>Four species of flowering plants comprising Arctic populations of Cerastium alpinum and Poa arctica var. vivipara and indigenous Antarctic species Colobanthus quitensis and Deschampsia antarctica were investigated. Plants derived from natural origins were grown in an experimental greenhouse in Poland (53A degrees 47'N and 20A degrees 30'E latitude). Plants for experiment were collected during spring of 2010. Soluble carbohydrates in the intact shoots of C. alpinum and C. quitensis, polar plants of the family Caryophyllaceae, and D. antarctica and P. arctica var. vivipara, representatives of the family Poaceae, were analyzed by gas chromatography, and their involvement in the plants' response to chilling stress was examined. Plant tissues of the examined families growing in a greenhouse conditions (18-20 A degrees C, short day 10/14 h light/darkness) differed in the content and composition of soluble carbohydrates. In addition to common monosaccharides, myo-inositol and sucrose, Caryophyllaceae plants contained raffinose family oligosaccharides (RFOs), d-pinitol and mono-galactosyl pinitols. RFOs and d-pinitol were not detected in plants of the family Poaceae which contain 1-kestose, a specific tri-saccharide. The accumulation of significant quantities of sucrose in all investigated plants, RFOs in Caryophyllaceae plants and 1-kestose in Poaceae plants in response to chilling stress (4 A degrees C for 48 h with a long day photoperiod, 20/4 h) indicates that those compounds participate in the stress response. The common sugar accumulating in cold stress response and probably most important for chilling tolerance of four investigated plants species seems to be sucrose. On the other hand, the accumulation of above-mentioned carbohydrates during chilling stress can be a return to sugars metabolism, occurring in natural environmental conditions. No changes in d-pinitol concentrations were observed in the tissues of C. alpinum and C. quitensis plants subjected to both low and elevated temperatures, which probably rules out the protective effects of d-pinitol in response to cold stress.</t>
  </si>
  <si>
    <t>[Pastorczyk, Marta; Gielwanowska, Irena; Lahuta, Leslaw B.] Univ Warmia &amp; Mazury, Dept Plant Physiol Genet &amp; Biotechnol, PL-10719 Olsztyn, Poland; [Gielwanowska, Irena] Inst Biochem &amp; Biophys PAS, Dept Antarct Biol, PL-02141 Warsaw, Poland; [Gielwanowska, Irena] Inst Biochem &amp; Biophys PAS, Polish Antarct Stn H Arctowski, PL-02141 Warsaw, Poland</t>
  </si>
  <si>
    <t>University of Warmia &amp; Mazury; Polish Academy of Sciences; Institute of Biochemistry &amp; Biophysics - Polish Academy of Sciences; Polish Academy of Sciences; Institute of Biochemistry &amp; Biophysics - Polish Academy of Sciences</t>
  </si>
  <si>
    <t>Lahuta, LB (corresponding author), Univ Warmia &amp; Mazury, Dept Plant Physiol Genet &amp; Biotechnol, Oczapowskiego 1A, PL-10719 Olsztyn, Poland.</t>
  </si>
  <si>
    <t>lahuta@uwm.edu.pl</t>
  </si>
  <si>
    <t>LAHUTA, Lesław Bernard/Q-1425-2019; Pastorczyk-Szlenkier, Marta/AAK-2859-2021</t>
  </si>
  <si>
    <t>LAHUTA, Lesław Bernard/0000-0001-5999-1871; Pastorczyk-Szlenkier, Marta/0000-0002-9747-8283; Gielwanowska, Irena/0000-0002-9001-1285</t>
  </si>
  <si>
    <t>Ministry of Science and Higher Education in Poland</t>
  </si>
  <si>
    <t>Ministry of Science and Higher Education in Poland(Ministry of Science and Higher Education, Poland)</t>
  </si>
  <si>
    <t>This study was financially partially supported by the Ministry of Science and Higher Education in Poland. We thank D. Gorniak (University of Warmia and Mazury in Olsztyn, Poland), M. Lisowska and M. Wegrzyn (Jagiellonian University, Cracow, Poland) for plants material collection and delivery from Spitsbergen.</t>
  </si>
  <si>
    <t>0137-5881</t>
  </si>
  <si>
    <t>1861-1664</t>
  </si>
  <si>
    <t>ACTA PHYSIOL PLANT</t>
  </si>
  <si>
    <t>Acta Physiol. Plant.</t>
  </si>
  <si>
    <t>10.1007/s11738-014-1551-7</t>
  </si>
  <si>
    <t>AK2XJ</t>
  </si>
  <si>
    <t>hybrid, Green Submitted</t>
  </si>
  <si>
    <t>WOS:000338283200016</t>
  </si>
  <si>
    <t>Yang, S; Galbraith, E; Palter, J</t>
  </si>
  <si>
    <t>Yang, Simon; Galbraith, Eric; Palter, Jaime</t>
  </si>
  <si>
    <t>Coupled climate impacts of the Drake Passage and the Panama Seaway</t>
  </si>
  <si>
    <t>Eocene-Oligocene transition; Drake Passage; Panama Seaway; Gateway; Antarctic Circumpolar Current; Ocean circulation; Heat transport; Paleoclimate</t>
  </si>
  <si>
    <t>MERIDIONAL OVERTURNING CIRCULATION; ATLANTIC THERMOHALINE CIRCULATION; ATMOSPHERIC MOISTURE TRANSPORT; OCEAN CIRCULATION; ASIAN MONSOON; PART I; DEEP; MODEL; SIMULATION; EVOLUTION</t>
  </si>
  <si>
    <t>Tectonically-active gateways between ocean basins have modified ocean circulation over Earth history. Today, the Atlantic and Pacific are directly connected via the Drake Passage, which forms a barrier to the time-mean geostrophic transport between the subtropics and Antarctica. In contrast, during the warm early Cenozoic era, when Antarctica was ice-free, the Drake Passage was closed. Instead, at that time, the separation of North and South America provided a tropical seaway between the Atlantic and Pacific that remained open until the Isthmus of Panama formed in the relatively recent geological past. Ocean circulation models have previously been used to explore the individual impacts of the Drake Passage and the Panama Seaway, but rarely have the two gateways been considered together, and most explorations have used very simple atmospheric models. Here we use a coupled ocean-ice-atmosphere model (GFDL's CM2Mc), to simulate the impacts of a closed Drake Passage both with and without a Panama Seaway. We find that the climate response to a closed Drake Passage is relatively small when the Panama Seaway is absent, similar to prior studies, although the coupling to a dynamical atmosphere does increase the temperature change. However, with a Panama Seaway, closing Drake Passage has a much larger effect, due to the cessation of deep water formation in the northern hemisphere. Both gateways alter the transport of salt by ocean circulation, with the Panama Seaway allowing fresh Pacific water to be imported to the North Atlantic, and the Drake Passage preventing the flow of saline subtropical water to the circum-Antarctic, a flow that is particularly strong when the Panama Seaway is open. Thus, with a Panama Seaway and a closed Drake Passage, the Southern Ocean tends to be relatively salty, while the North Atlantic tends to be relatively fresh, such that the deep ocean is ventilated from the circum-Antarctic. Ensuing changes in the ocean heat transport drive a bi-polar shift of surface ocean temperatures, and the Intertropical Convergence Zone migrates toward the warmer southern hemisphere. The response of clouds to changes in surface ocean temperatures amplifies the climate response, resulting in temperature changes of up to 9 A degrees C over Antarctica, even in the absence of land-ice feedbacks. These results emphasize the importance of tectonic gateways to the climate history of the Cenozoic, and support a role for ocean circulation changes in the glaciation of Antarctica.</t>
  </si>
  <si>
    <t>[Yang, Simon; Galbraith, Eric] McGill Univ, Dept Earth &amp; Planetary Sci, Montreal, PQ H3A 2A7, Canada; [Yang, Simon] ETH, Dept Environm Syst Sci, CH-8092 Zurich, Switzerland; [Palter, Jaime] McGill Univ, Dept Atmospher &amp; Ocean Sci, Montreal, PQ H3A 0B9, Canada</t>
  </si>
  <si>
    <t>McGill University; Swiss Federal Institutes of Technology Domain; ETH Zurich; McGill University</t>
  </si>
  <si>
    <t>Yang, S (corresponding author), McGill Univ, Dept Earth &amp; Planetary Sci, 3450 Univ St, Montreal, PQ H3A 2A7, Canada.</t>
  </si>
  <si>
    <t>simon.yang@mail.mcgill.ca</t>
  </si>
  <si>
    <t>Palter, Jaime B/B-9484-2011; Galbraith, Eric/F-9469-2014</t>
  </si>
  <si>
    <t>Palter, Jaime/0000-0002-2656-8062; Galbraith, Eric/0000-0003-4476-4232; Yang, Simon/0000-0002-0720-9849</t>
  </si>
  <si>
    <t>Canadian Institute for Advanced Research (CIFAR) Earth System Evolution Program; Natural Sciences and Engineering Research Council of Canada (NSERC)</t>
  </si>
  <si>
    <t>Canadian Institute for Advanced Research (CIFAR) Earth System Evolution Program(Canadian Institute for Advanced Research (CIFAR)); Natural Sciences and Engineering Research Council of Canada (NSERC)(Natural Sciences and Engineering Research Council of Canada (NSERC))</t>
  </si>
  <si>
    <t>This work was supported by the Canadian Institute for Advanced Research (CIFAR) Earth System Evolution Program, and by the Natural Sciences and Engineering Research Council of Canada (NSERC). Compute Canada and Scinet provided the computational resources.</t>
  </si>
  <si>
    <t>10.1007/s00382-013-1809-6</t>
  </si>
  <si>
    <t>AK3PS</t>
  </si>
  <si>
    <t>WOS:000338337700003</t>
  </si>
  <si>
    <t>Selbmann, L; Turchetti, B; Yurkov, A; Cecchini, C; Zucconi, L; Isola, D; Buzzini, P; Onofri, S</t>
  </si>
  <si>
    <t>Selbmann, Laura; Turchetti, Benedetta; Yurkov, Andrey; Cecchini, Clarissa; Zucconi, Laura; Isola, Daniela; Buzzini, Pietro; Onofri, Silvano</t>
  </si>
  <si>
    <t>Description of Taphrina antarctica f.a. sp nov., a new anamorphic ascomycetous yeast species associated with Antarctic endolithic microbial communities and transfer of four Lalaria species in the genus Taphrina</t>
  </si>
  <si>
    <t>Antarctica; Dimorphic ascomycetous yeasts; Extreme environments; Phylogeny; Taphrina</t>
  </si>
  <si>
    <t>BLASTOMYCES-DERMATITIDIS; PICHIA-FERMENTANS; FUNGI; CLASSIFICATION; MICROORGANISMS; PHYLOGENIES; ADAPTATION; HABITATS; DISTANCE</t>
  </si>
  <si>
    <t>In the framework of a large-scale rock sampling in Continental Antarctica, a number of yeasts have been isolated. Two strains that are unable to grow above 20 A degrees C and that have low ITS sequence similarities with available data in the public domain were found. The D1/D2 LSU molecular phylogeny placed them in an isolated position in the genus Taphrina, supporting their affiliation to a not yet described species. Because the new species is able to grow in its anamorphic state only, the species Taphrina antarctica f.a. (forma asexualis) sp. nov. has been proposed to accommodate both strains (type strain DBVPG 5268(T), DSM 27485(T) and CBS 13532(T)). Lalaria and Taphrina species are dimorphic ascomycetes, where the anamorphic yeast represents the saprotrophic state and the teleomorph is the parasitic counterpart on plants. This is the first record for this genus in Antarctica; since plants are absent on the continent, we hypothesize that the fungus may have focused on the saprotrophic part of its life cycle to overcome the absence of its natural host and adapt environmental constrains. Following the new International Code of Nomenclature for Algae, Fungi and Plants (Melbourne Code 2011) the reorganization of Taphrina-Lalaria species in the teleomorphic genus Taphrina is proposed. We emend the diagnosis of the genus Taphrina to accommodate asexual saprobic states of these fungi. Taphrina antarctica was registered in MycoBank under MB 808028.</t>
  </si>
  <si>
    <t>[Selbmann, Laura; Cecchini, Clarissa; Zucconi, Laura; Isola, Daniela; Onofri, Silvano] Univ Studi Tuscia, Dipartimento Sci Ecol &amp; Biol DEB, Viterbo, Italy; [Turchetti, Benedetta; Buzzini, Pietro] Univ Perugia, Dipartimento Sci Agr Alimentari &amp; Ambientali, I-06100 Perugia, Italy; [Turchetti, Benedetta; Buzzini, Pietro] Univ Perugia, Ind Yeasts Collect DBVPG, I-06100 Perugia, Italy; [Yurkov, Andrey] Leibniz Inst DSMZ German Collect Microorganisms &amp;, D-38124 Braunschweig, Germany</t>
  </si>
  <si>
    <t>Tuscia University; University of Perugia; University of Perugia; Leibniz Institut fur Deutsche Sammlung von Mikroorganismen und Zellkulturen (DSMZ)</t>
  </si>
  <si>
    <t>Selbmann, L (corresponding author), Univ Studi Tuscia, Dipartimento Sci Ecol &amp; Biol DEB, Viterbo, Italy.</t>
  </si>
  <si>
    <t>selbmann@unitus.it</t>
  </si>
  <si>
    <t>Turchetti, Benedetta/AAC-8847-2019; Isola, Daniela/AAX-5814-2020; Selbmann, Laura/L-3056-2013; Zucconi, L./U-9781-2018; Yurkov, Andrey M./E-7854-2011</t>
  </si>
  <si>
    <t>Isola, Daniela/0000-0002-5069-6056; Selbmann, Laura/0000-0002-8967-3329; Zucconi, L./0000-0001-9793-2303; Yurkov, Andrey M./0000-0002-1072-5166; turchetti, benedetta/0000-0002-7370-3028; Buzzini, Pietro/0000-0001-6793-0606; ONOFRI, Silvano/0000-0001-8872-1440</t>
  </si>
  <si>
    <t>Italian National Antarctic Museum Felice Ippolito</t>
  </si>
  <si>
    <t>This work is in the framework of the Italian National Program for Antarctic Research. The Italian National Antarctic Museum Felice Ippolito is kindly acknowledged for funding CCFEE (Culture Collection of Fungi From Extreme Environments). Derek Persoh (Ruhr-Universitat Bochum, Germany) is acknowledged for his advice on endophytes. Prof. Laurie Connell is kindly acknowledged for the English revision.</t>
  </si>
  <si>
    <t>10.1007/s00792-014-0651-z</t>
  </si>
  <si>
    <t>AK3AO</t>
  </si>
  <si>
    <t>WOS:000338294500007</t>
  </si>
  <si>
    <t>Goutte, A; Cherel, Y; Ozouf-Costaz, C; Robineau, C; Lanshere, J; Massé, G</t>
  </si>
  <si>
    <t>Goutte, A.; Cherel, Y.; Ozouf-Costaz, C.; Robineau, C.; Lanshere, J.; Masse, G.</t>
  </si>
  <si>
    <t>Contribution of sea ice organic matter in the diet of Antarctic fishes: a diatom-specific highly branched isoprenoid approach</t>
  </si>
  <si>
    <t>Benthic; Ice proxy; Habitat; Pelagic; Southern Ocean; Sea</t>
  </si>
  <si>
    <t>TERRA-NOVA BAY; TROPHIC RELATIONSHIPS; ROSS SEA; IDENTIFICATION; ALKENES; NOTOTHENIIDAE; SHELF; COMMUNITIES; SEDIMENTS; INSIGHTS</t>
  </si>
  <si>
    <t>New sets of diatom-specific biomarkers, highly branched isoprenoids (HBIs), have been recently proposed to trace carbon flow from ice algae and pelagic phytoplankton to higher trophic level organisms. In the Antarctic, diene, a HBI of sea ice origin was more abundant in ice-associated species, while triene, a HBI of phytoplanktonic origin, was more abundant in pelagic species. However, this HBI approach has never been applied on Antarctic benthic species. Here, we analyzed diene and triene in the liver and the muscle of eight Antarctic coastal fish species (108 specimens). HBI lipids were detected in all specimens, confirming the contribution of sea ice and pelagic organic matter in coastal benthic fish species. Moreover, HBI markers were much more concentrated in the liver than in white muscle, and the relative concentrations of diene and triene strongly varied among species, as a probable result of species differences in feeding habits and trophic ecology. Seasonal variations in HBI concentrations were detected during the whole year in white muscle, but not in the liver. These findings are consistent with the well-known spring bloom in November-December, just before the annual ice break up, and the second proliferation of ice algae during the land-fast ice formation, in April-May. Therefore, investigation of HBI lipids in white muscle will likely shed new light on seasonal changes in the contribution of ice algal-derived organic matter in higher trophic level organisms.</t>
  </si>
  <si>
    <t>[Goutte, A.; Robineau, C.; Lanshere, J.; Masse, G.] Univ Paris 06, LOCEAN IPSL, F-75005 Paris, France; [Goutte, A.; Cherel, Y.] Univ la Rochelle, Stn Ecol Chiz La Rocehelle, CNRS, UMR 7372, F-79360 Villiers En Bois, France; [Ozouf-Costaz, C.; Lanshere, J.] Museum Natl Hist Nat, CNRS UMR 7138, F-75231 Paris 05, France; [Masse, G.] CNRS, Quebec City, PQ, Canada; [Masse, G.] Univ Laval, UMI 3376, Quebec City, PQ, Canada</t>
  </si>
  <si>
    <t>Museum National d'Histoire Naturelle (MNHN); Sorbonne Universite; La Rochelle Universite; Centre National de la Recherche Scientifique (CNRS); CNRS - Institute of Ecology &amp; Environment (INEE); Museum National d'Histoire Naturelle (MNHN); Laval University</t>
  </si>
  <si>
    <t>Goutte, A (corresponding author), Univ Paris 06, LOCEAN IPSL, F-75005 Paris, France.</t>
  </si>
  <si>
    <t>agoutte@gmail.com</t>
  </si>
  <si>
    <t>Goutte, Aurelie/JZT-6808-2024; Goutte, Aurelie/F-7572-2017</t>
  </si>
  <si>
    <t>Goutte, Aurelie/0000-0001-8322-5843</t>
  </si>
  <si>
    <t>European Research Council (ICEPROXY) [203441]; French Institute Paul-Emile Victor (IPEV) [1010]; European Research Council (ERC) [203441] Funding Source: European Research Council (ERC)</t>
  </si>
  <si>
    <t>European Research Council (ICEPROXY); French Institute Paul-Emile Victor (IPEV); European Research Council (ERC)(European Research Council (ERC)Spanish Government)</t>
  </si>
  <si>
    <t>We thank all the fieldworkers for sample collection and V. Klein for his excellent technical assistance in lipid purification. This work was funded by the European Research Council (ICEPROXY, Project Number 203441) and was logistically supported by the French Institute Paul-Emile Victor (IPEV Project Number 1010, ICELIPIDS, G. Masse; 1124, REVOLTA, G. Lecointre). We thank Thomas Brown and two reviewers for their useful and constructive comments.</t>
  </si>
  <si>
    <t>10.1007/s00300-014-1489-7</t>
  </si>
  <si>
    <t>AK2VS</t>
  </si>
  <si>
    <t>WOS:000338278300001</t>
  </si>
  <si>
    <t>Kapsenberg, L; Hofmann, GE</t>
  </si>
  <si>
    <t>Kapsenberg, Lydia; Hofmann, Gretchen E.</t>
  </si>
  <si>
    <t>Signals of resilience to ocean change: high thermal tolerance of early stage Antarctic sea urchins (Sterechinus neumayeri) reared under present-day and future pCO2 and temperature</t>
  </si>
  <si>
    <t>Ocean acidification; Development; Thermal tolerance; SeaFET; Sterechinus neumayeri; Antarctica</t>
  </si>
  <si>
    <t>LIFE-HISTORY STAGES; HEAT-SHOCK RESPONSE; CLIMATE-CHANGE; SOUTHERN-OCEAN; GENE-EXPRESSION; EMBRYONIC-DEVELOPMENT; ECOLOGICAL RELEVANCE; MCMURDO SOUND; SEAWATER PH; NEW-ZEALAND</t>
  </si>
  <si>
    <t>We tested the hypothesis that development of the Antarctic urchin Sterechinus neumayeri under future ocean conditions of warming and acidification would incur physiological costs, reducing the tolerance of a secondary stressor. The aim of this study is twofold: (1) quantify current austral spring temperature and pH near sea urchin habitat at Cape Evans in McMurdo Sound, Antarctica and (2) spawn S. neumayeri in the laboratory and raise early developmental stages (EDSs) under ambient (-0.7 A degrees C; 400 A mu atm pCO(2)) and future (+2.6 A degrees C; 650 and 1,000 A mu atm pCO(2)) ocean conditions and expose four EDSs (blastula, gastrula, prism, and 4-arm echinopluteus) to a one hour acute heat stress and assess survivorship. Results of field data from 2011 to 2012 show extremely stable inter-annual pH conditions ranging from 7.99 to 8.08, suggesting that future ocean acidification will drastically alter the pH-seascape for S. neumayeri. In the laboratory, S. neumayeri EDSs appear to be tolerant of temperatures and pCO(2) levels above their current habitat conditions. EDSs survived acute heat exposures &gt; 20 A degrees C above habitat temperatures of -1.9 A degrees C. No pCO(2) effect was observed for EDSs reared at -0.7 A degrees C. When reared at +2.6 A degrees C, small but significant pCO(2) effects were observed at the blastula and prism stage, suggesting that multiple stressors are more detrimental than single stressors. While surprisingly tolerant overall, blastulae were the most sensitive stage to ocean warming and acidification. We conclude that S. neumayeri may be unexpectedly physiologically tolerant of future ocean conditions.</t>
  </si>
  <si>
    <t>[Kapsenberg, Lydia; Hofmann, Gretchen E.] Univ Calif Santa Barbara, Dept Ecol Evolut &amp; Marine Biol, Santa Barbara, CA 93106 USA</t>
  </si>
  <si>
    <t>University of California System; University of California Santa Barbara</t>
  </si>
  <si>
    <t>Kapsenberg, L (corresponding author), Univ Calif Santa Barbara, Dept Ecol Evolut &amp; Marine Biol, Santa Barbara, CA 93106 USA.</t>
  </si>
  <si>
    <t>lydia.kapsenberg@lifesci.ucsb.edu</t>
  </si>
  <si>
    <t>Kapsenberg, Lydia/0000-0002-7361-9061</t>
  </si>
  <si>
    <t>US National Science Foundation (NSF) [ANT-0944201]; NSF; Directorate For Geosciences [0944201] Funding Source: National Science Foundation; Office of Polar Programs (OPP) [0944201] Funding Source: National Science Foundation</t>
  </si>
  <si>
    <t>US National Science Foundation (NSF)(National Science Foundation (NSF)); NSF(National Science Foundation (NSF)); Directorate For Geosciences(National Science Foundation (NSF)NSF - Directorate for Geosciences (GEO)); Office of Polar Programs (OPP)(National Science Foundation (NSF)NSF - Directorate for Geosciences (GEO))</t>
  </si>
  <si>
    <t>The authors would like to thank members of the US Antarctic Program: R. Robbins and S. Rupp for sea urchin collections and sensor deployments and Crary Laboratory staff of 2011 and 2012 for resource support at McMurdo Station, Antarctica. We thank Professor W. Rice for advice on statistical analysis. Additionally, we especially thank Dr. P. C. Yu and other members of the Bravo-134 field team for their support during larval culture and water chemistry measurements (Professor M. Sewell, Dr. G. Dilly, E. Hunter, Dr. A. Kelley, Dr. P. Matson, E. Rivest, and O. Turnross). We are grateful for the comments from two anonymous reviewers that led to the improvement of this manuscript. This research was supported by US National Science Foundation (NSF) Grant ANT-0944201 to GEH. L. K. was supported by a NSF Graduate Research Fellowship.</t>
  </si>
  <si>
    <t>10.1007/s00300-014-1494-x</t>
  </si>
  <si>
    <t>WOS:000338278300005</t>
  </si>
  <si>
    <t>Schweitzer, J; Pirli, M; Roth, M; Kvaerna, T</t>
  </si>
  <si>
    <t>Schweitzer, Johannes; Pirli, Myrto; Roth, Michael; Kvaerna, Tormod</t>
  </si>
  <si>
    <t>TROLL: A New, Very Broadband Seismic Station in Antarctica</t>
  </si>
  <si>
    <t>SEISMOLOGICAL RESEARCH LETTERS</t>
  </si>
  <si>
    <t>ICEBERGS</t>
  </si>
  <si>
    <t>[Schweitzer, Johannes; Pirli, Myrto; Roth, Michael; Kvaerna, Tormod] NORSAR, N-2027 Kjeller, Norway</t>
  </si>
  <si>
    <t>Schweitzer, J (corresponding author), NORSAR, POB 53, N-2027 Kjeller, Norway.</t>
  </si>
  <si>
    <t>johannes@norsar.no</t>
  </si>
  <si>
    <t>Roth, Michael/HPF-0946-2023</t>
  </si>
  <si>
    <t>Roth, Michael/0000-0001-9229-9932; Schweitzer, Johannes/0000-0002-5986-1492; Kvaerna, Tormod/0000-0003-4435-257X</t>
  </si>
  <si>
    <t>Norwegian Polar Institute through its Norwegian Antarctic Research Expedition (NARE)</t>
  </si>
  <si>
    <t>The project was financed by the Norwegian Polar Institute through its Norwegian Antarctic Research Expedition (NARE) program 2011-2014. The whole project of installing a new broadband station in Antarctica would not have been possible without support from the many people who were consulted. In particular, we would like to thank Ken Pedersen and the Troll staff (NARE) for support during station installation and carrying out maintenance and refurbishment work in March/April 2012 and February 2013; Reidar Norheim (Kongsberg Satellite Services); Paul Larsen (Norwegian Seismic Array R); Alfons Eckstaller and Christian Muller (both Alfred Wegener Institute); Walter Zurn, Ruedi Widmer, and Thomas Forbriger (all with the Black Forest Observatory); Timothy Parker (Incorporated Research Institutions for Seismology-Program for the Array Seismic Studies of the Continental Lithosphere). Data from the Comprehensive Nuclear-Test-Ban Treaty Organization auxiliary, station SNAA at Sanae IV are retrieved froth GeoForschungsZentrum (Potsdam) and the International Data Center (Vienna). Data from the Russian station NVL at Novolazarevskaya are kindly provided by Oleg Starovoit at the Geophysical Service of the Russian Academy of Sciences. The Global CMT moment magnitudes were downloaded from http://www.globalcmt.org (last accessed April 2014), and the map in Figure 5 was produced using GMT (Wessel and Smith, 1998). Associate Editor Zhigang Peng and two anonymous reviewers helped to improve the paper with their comments and corrections.</t>
  </si>
  <si>
    <t>SEISMOLOGICAL SOC AMER</t>
  </si>
  <si>
    <t>ALBANY</t>
  </si>
  <si>
    <t>400 EVELYN AVE, SUITE 201, ALBANY, CA 94706-1375 USA</t>
  </si>
  <si>
    <t>0895-0695</t>
  </si>
  <si>
    <t>SEISMOL RES LETT</t>
  </si>
  <si>
    <t>Seismol. Res. Lett.</t>
  </si>
  <si>
    <t>10.1785/0220130223</t>
  </si>
  <si>
    <t>AK1NO</t>
  </si>
  <si>
    <t>WOS:000338182000012</t>
  </si>
  <si>
    <t>Leonard, WR; Levy, SB; Tarskaia, LA; Klimova, TM; Fedorova, VI; Baltakhinova, ME; Krivoshapkin, VG; Snodgrass, JJ</t>
  </si>
  <si>
    <t>Leonard, W. R.; Levy, S. B.; Tarskaia, L. A.; Klimova, T. M.; Fedorova, V. I.; Baltakhinova, M. E.; Krivoshapkin, V. G.; Snodgrass, J. J.</t>
  </si>
  <si>
    <t>Seasonal Variation in Basal Metabolic Rates Among the Yakut (Sakha) of Northeastern Siberia</t>
  </si>
  <si>
    <t>AMERICAN JOURNAL OF HUMAN BIOLOGY</t>
  </si>
  <si>
    <t>PROLONGED ANTARCTIC RESIDENCE; INDIGENOUS SIBERIANS; BLOOD-PRESSURE; BODY-FAT; ADAPTATION; POPULATIONS; SERUM; CHOLESTEROL; TEMPERATURE; RESPONSES</t>
  </si>
  <si>
    <t>Objectives: Previous research has shown that indigenous circumpolar populations have elevated basal metabolic rates (BMRs), yet few studies have explored whether metabolic rates increase during the winter. This study addresses this gap by examining seasonal variation in BMR and its associations with thyroid function and lifestyle factors among the Yakut (Sakha) of Siberia. Methods: Anthropometric dimensions, BMR, and thyroid hormone levels (free triiodothyronine [fT3], free thyroxine [fT4], thyroid-stimulating hormone [TSH]) were measured on two occasions (July/August, 2009 and January 2011) on a sample of 94 Yakut (Sakha) adults (35 men, 59 women) from the rural village of Berdygestiakh, Sakha Republic, Russia. Results: Seasonal changes in BMR varied by age. Younger Yakut adults (19-49 years) showed significant elevations in winter-time BMR of 6% (P &lt; 0.05), whereas older individuals (&gt;= 50 years) showed modest declines (2%; n.s.). Both younger and older Yakut men and women showed increased respiratory quotients during the winter. FT3 and fT4 levels significantly declined during the winter in both younger and older Yakut men and women (P &lt; 0.05). Lifestyle factors were significant predictors of BMR variation, particularly among older men and women. Conclusions: Among the Yakut, increased wintertime BMR was observed among younger but not older adults, whereas all adults showed sharp reductions in free thyroid hormone levels during the winter. Among men, greater participation in subsistence activities was associated with increased BMRs and greater fat oxidation. Among women, variation in food use had the strongest impact on metabolic function. (C) 2014 Wiley Periodicals, Inc.</t>
  </si>
  <si>
    <t>[Leonard, W. R.; Levy, S. B.] Northwestern Univ, Dept Anthropol, Evanston, IL 60208 USA; [Tarskaia, L. A.] Russian Acad Sci, Inst Mol Genet, Moscow 123182, Russia; [Tarskaia, L. A.] Univ Kansas, Dept Anthropol, Lawrence, KS 66045 USA; [Klimova, T. M.; Fedorova, V. I.; Baltakhinova, M. E.; Krivoshapkin, V. G.] North Eastern Fed Univ, Res Inst Hlth, Yakutsk 677000, Russia; [Snodgrass, J. J.] Univ Oregon, Dept Anthropol, Eugene, OR 97403 USA</t>
  </si>
  <si>
    <t>Northwestern University; Russian Academy of Sciences; University of Kansas; North-Eastern Federal University in Yakutsk; University of Oregon</t>
  </si>
  <si>
    <t>Leonard, WR (corresponding author), Northwestern Univ, Dept Anthropol, 1810 Hinman Ave, Evanston, IL 60208 USA.</t>
  </si>
  <si>
    <t>w-leonard1@northwestern.edu</t>
  </si>
  <si>
    <t>Krivoshapkin, Vadim/AAX-9511-2021; Leonard, William R./I-5981-2019; Baltakhinova, Marina E/H-1491-2019; Klimova, Tatiana/AAO-7614-2020; , Valentina/F-8875-2014</t>
  </si>
  <si>
    <t>Krivoshapkin, Vadim/0000-0002-8960-3283; Klimova, Tatiana/0000-0003-2746-0608; , Valentina/0000-0002-6147-4643; Levy, Stephanie/0000-0003-2828-2014; Leonard, William/0000-0002-6233-604X</t>
  </si>
  <si>
    <t>National Science Foundation [ARC-0802390]; Northwestern University; University of Oregon; Ministry of Education and Science of Russia</t>
  </si>
  <si>
    <t>National Science Foundation(National Science Foundation (NSF)); Northwestern University; University of Oregon; Ministry of Education and Science of Russia(Ministry of Education and Science, Russian Federation)</t>
  </si>
  <si>
    <t>Contract grant sponsor: National Science Foundation; Contract grant number: ARC-0802390; Contract grant sponsor: Northwestern University, University of Oregon, and The Ministry of Education and Science of Russia.</t>
  </si>
  <si>
    <t>1042-0533</t>
  </si>
  <si>
    <t>1520-6300</t>
  </si>
  <si>
    <t>AM J HUM BIOL</t>
  </si>
  <si>
    <t>Am. J. Hum. Biol.</t>
  </si>
  <si>
    <t>10.1002/ajhb.22524</t>
  </si>
  <si>
    <t>Anthropology; Biology</t>
  </si>
  <si>
    <t>Anthropology; Life Sciences &amp; Biomedicine - Other Topics</t>
  </si>
  <si>
    <t>AJ4WD</t>
  </si>
  <si>
    <t>WOS:000337678600001</t>
  </si>
  <si>
    <t>Cropp, R; Nash, SB; Hawker, D</t>
  </si>
  <si>
    <t>Cropp, Roger; Nash, Susan Bengtson; Hawker, Darryl</t>
  </si>
  <si>
    <t>A MODEL TO RESOLVE ORGANOCHLORINE PHARMACOKINETICS IN MIGRATING HUMPBACK WHALES</t>
  </si>
  <si>
    <t>ENVIRONMENTAL TOXICOLOGY AND CHEMISTRY</t>
  </si>
  <si>
    <t>Persistent organic pollutants; Megaptera novaeanglia; Fugacity model; Lipid dynamics</t>
  </si>
  <si>
    <t>PERSISTENT ORGANIC POLLUTANTS; WEIGHT-LOSS; DELPHINAPTERUS-LEUCAS; BALEEN WHALES; CONTAMINANTS; BLOOD; BLUBBER; BIOACCUMULATION; ECOSYSTEM; BURDENS</t>
  </si>
  <si>
    <t>Humpback whales are iconic mammals at the top of the Antarctic food chain. Their large reserves of lipid-rich tissues such as blubber predispose them to accumulation of lipophilic contaminants throughout their lifetime. Changes in the volume and distribution of lipids in humpback whales, particularly during migration, could play an important role in the pharmacokinetics of lipophilic contaminants such as the organochlorine pesticide hexachlorobenzene (HCB). Previous models have examined constant feeding and nonmigratory scenarios. In the present study, the authors develop a novel heuristic model to investigate HCB dynamics in a humpback whale and its environment by coupling an ecosystem nutrient-phytoplankton-zooplankton-detritus (NPZD) model, a dynamic energy budget (DEB) model, and a physiologically based pharmacokinetic (PBPK) model. The model takes into account the seasonal feeding pattern of whales, their energy requirements, and fluctuating contaminant burdens in the supporting plankton food chain. It is applied to a male whale from weaning to maturity, spanning 20 migration and feeding cycles. The model is initialized with environmental HCB burdens similar to those measured in the Southern Ocean and predicts blubber HCB concentrations consistent with empirical concentrations observed in a southern hemisphere population of male, migrating humpback whales. Results show for the first time some important details of the relationship between energy budgets and organochlorine pharmacokinetics. (C) 2014 SETAC</t>
  </si>
  <si>
    <t>[Cropp, Roger; Nash, Susan Bengtson; Hawker, Darryl] Griffith Univ, Sch Environm, Nathan, Qld 4111, Australia</t>
  </si>
  <si>
    <t>Cropp, R (corresponding author), Griffith Univ, Sch Environm, Nathan, Qld 4111, Australia.</t>
  </si>
  <si>
    <t>r.cropp@griffith.edu.au</t>
  </si>
  <si>
    <t>Bengtson Nash, Susan/I-3942-2015; Bengtson Nash, Susan/GMX-4611-2022; Cropp, Roger/C-1019-2008</t>
  </si>
  <si>
    <t>Bengtson Nash, Susan/0000-0001-5928-0850; Bengtson Nash, Susan/0000-0001-5928-0850; Cropp, Roger/0000-0001-9582-857X</t>
  </si>
  <si>
    <t>0730-7268</t>
  </si>
  <si>
    <t>1552-8618</t>
  </si>
  <si>
    <t>ENVIRON TOXICOL CHEM</t>
  </si>
  <si>
    <t>Environ. Toxicol. Chem.</t>
  </si>
  <si>
    <t>10.1002/etc.2603</t>
  </si>
  <si>
    <t>Environmental Sciences; Toxicology</t>
  </si>
  <si>
    <t>Environmental Sciences &amp; Ecology; Toxicology</t>
  </si>
  <si>
    <t>AJ6FD</t>
  </si>
  <si>
    <t>WOS:000337784500027</t>
  </si>
  <si>
    <t>Pitulko, VV; Basilyan, AE; Pavlova, EY</t>
  </si>
  <si>
    <t>Pitulko, Vladimir V.; Basilyan, Aleksandr E.; Pavlova, Elena Y.</t>
  </si>
  <si>
    <t>The Berelekh Mammoth Graveyard: New Chronological and Stratigraphical Data from the 2009 Field Season</t>
  </si>
  <si>
    <t>GEOARCHAEOLOGY-AN INTERNATIONAL JOURNAL</t>
  </si>
  <si>
    <t>YANA RHS SITE; WOOLLY MAMMOTH; ARCTIC SIBERIA; KAMCHATKA; AGE</t>
  </si>
  <si>
    <t>To clarify unanswered questions of site formation, geology and the archaeology of the Berelekh geoarchaeological complex, a special survey was undertaken in 2009 of the area surrounding the site. Several geological units have been revealed. By establishing the spatial and temporal relationship of these deposits-as well as their age-we have reconstructed the formation history of the Berelekh bone bed. The mammoth bone deposit belongs to a paleochannel. Radiocarbon dating of mammoth remains at Berelekh demonstrates rapid accumulation during the Bolling warming. Human involvement in its formation is, at best, questionable, since there is no real overlap between the radiocarbon dates associated with past human activity, and those of the mammoth bone bed. This study confirms that humans used mammoth bone remains after the bone bed was deposited. Culturally, the Berelekh site does not have any relationship to the so-called Dyuktai culture. Instead, the Berelekh archaeological finds (side notched stone pendants) show certain similarities to non-microblade terminal Pleistocene assemblages found from Yenisei to Kamchatka. Additionally, the Berelekh complex presents a clear analogy with lithics found in Eastern Beringia. Teardrop-shaped incomplete bifaces found in the assemblage are comparable to the Chindadn points of Alaska. The nature of this Chindadn connection is intriguing but it is the only visible cultural link between Western and Eastern Beringia. (C) 2014 Wiley Periodicals, Inc.</t>
  </si>
  <si>
    <t>[Pitulko, Vladimir V.] Russian Acad Sci, Inst Hist Mat Culture, St Petersburg 196140, Russia; [Basilyan, Aleksandr E.] Russian Acad Sci, Inst Geol, Moscow V71, Russia; [Pavlova, Elena Y.] Arctic &amp; Antarctic Res Inst, St Petersburg 199226, Russia</t>
  </si>
  <si>
    <t>Russian Academy of Sciences; St. Petersburg Scientific Centre of the Russian Academy of Sciences; Institute for the History of Material Culture, Russian Academy of Sciences; Geological Institute, Russian Academy of Sciences; Russian Academy of Sciences; Arctic &amp; Antarctic Research Institute</t>
  </si>
  <si>
    <t>Pitulko, VV (corresponding author), Russian Acad Sci, Inst Hist Mat Culture, St Petersburg 196140, Russia.</t>
  </si>
  <si>
    <t>pitulkov@gmail.com</t>
  </si>
  <si>
    <t>Nikolskiy, Pavel/JNT-4697-2023; Pitulko, Vladimir/E-2200-2015; Pitulko, Vladimir/N-4009-2019; Pavlova, Elena/AAA-3291-2019</t>
  </si>
  <si>
    <t>Pitulko, Vladimir/0000-0001-5672-2756; Pavlova, Elena/0000-0002-3010-6290</t>
  </si>
  <si>
    <t>Rock Foundation (New York, USA); Rock Foundation; Russian Foundation [13-06-12044]</t>
  </si>
  <si>
    <t>Rock Foundation (New York, USA); Rock Foundation; Russian Foundation(Russian Foundation for Basic Research (RFBR))</t>
  </si>
  <si>
    <t>Studies of the Berelekh geoarchaeological complex were carried out in September of 2009 as a part of the next stage of the research project Zhokhov-2000 (Institute for the History of Material Culture, St Petersburg, Geological Institute, Moscow, Arctic &amp; Antarctic Research Institute, St Petersburg). Since 2000, these works have been supported by the Rock Foundation (New York, USA). Special thanks to the Rock Foundation for supporting the program of 14C dating of samples taken from the Berelekh profiles that provided a key to understand the geology of the Berelekh complex. Publication of the results was completed with support from the Russian Foundation of Basic Research (grant no. 13-06-12044 to V.V.P.). The authors wish to thank Anastasiya Ivanova for English translation, Natalia Tsvetkova and Alla Mashezerskaya, accordingly for drawings of the lithic and ivory/bone artifacts. We are also grateful to Pavel Nikolskiy and Mikhail Anisimov for their comments on the earlier draft of the article, as well as two anonymous reviewers whose comments helped to improve the quality of work. Finally, the authors want to thank the participants on the trip to the Berelekh River-Piotr Pulmanen, Stanislav Remezov, Konstantin Filonenko, and Berelekh residents-Ivan Gorokhov and Erick Kolesov. We thank Jamie Woodward for copyediting our text.</t>
  </si>
  <si>
    <t>0883-6353</t>
  </si>
  <si>
    <t>1520-6548</t>
  </si>
  <si>
    <t>GEOARCHAEOLOGY</t>
  </si>
  <si>
    <t>Geoarchaeology</t>
  </si>
  <si>
    <t>10.1002/gea.21483</t>
  </si>
  <si>
    <t>Archaeology; Geosciences, Multidisciplinary</t>
  </si>
  <si>
    <t>Archaeology; Geology</t>
  </si>
  <si>
    <t>AJ5KM</t>
  </si>
  <si>
    <t>WOS:000337721100001</t>
  </si>
  <si>
    <t>Rugenstein, M; Stocchi, P; von der Heydt, A; Dijkstra, H; Brinkhuis, H</t>
  </si>
  <si>
    <t>Rugenstein, Maria; Stocchi, Paolo; von der Heydt, Anna; Dijkstra, Henk; Brinkhuis, Henk</t>
  </si>
  <si>
    <t>Emplacement of Antarctic ice sheet mass affects circumpolar ocean flow</t>
  </si>
  <si>
    <t>Antarctic ice sheet; Ice load; Southern Ocean; Eocene-Oligocene; Frontal shifts</t>
  </si>
  <si>
    <t>SEA-LEVEL; DRAKE PASSAGE; GLACIATION; EOCENE; CIRCULATION; DYNAMICS; EVOLUTION; BOUNDARY; IMPACT; PALEOGEOGRAPHY</t>
  </si>
  <si>
    <t>During the Cenozoic the Antarctic continent experienced large fluctuations in ice-sheet volume. We investigate the effects of Glacial Isostatic Adjustment (GIA) on Southern Ocean circulation for the first continental scale glaciation of Antarctica (similar to 34 Myr) by combining solid Earth and ocean dynamic modeling. A newly compiled global early Oligocene topography is used to run a solid Earth model forced by a growing Antarctic ice sheet. A regional Southern Ocean zonal isopycnal adiabatic ocean model is run under ice-free and fully glaciated (GIA) conditions. We find that GIA-induced deformations of the sea bottom on the order of 50 m are large enough to affect the pressure and density variations driving the ocean flow around Antarctica. Throughout the Southern Ocean, frontal patterns are shifted several degrees, velocity changes are regionally more than 100%, and the zonal transport decreases in mean and variability. The model analysis suggests that GIA induced ocean flow variations alone could impact local nutrient variability, erosion and sedimentation rates, or ocean heat transport. These effects may be large enough to require consideration when interpreting the results of Southern Ocean sediment cores. (C) 2014 Elsevier B.V. All rights reserved.</t>
  </si>
  <si>
    <t>[Rugenstein, Maria; von der Heydt, Anna; Dijkstra, Henk] Univ Utrecht, Utrecht Ctr Extreme Matter &amp; Emergent Phenomena, Inst Marine &amp; Atmospher Res, Utrecht, Netherlands; [Stocchi, Paolo; Brinkhuis, Henk] Royal Netherlands Inst Sea Res, NIOZ, Den Burg, Netherlands</t>
  </si>
  <si>
    <t>Utrecht University; Utrecht University; Royal Netherlands Institute for Sea Research (NIOZ)</t>
  </si>
  <si>
    <t>Rugenstein, M (corresponding author), Univ Utrecht, Utrecht Ctr Extreme Matter &amp; Emergent Phenomena, Inst Marine &amp; Atmospher Res, Utrecht, Netherlands.</t>
  </si>
  <si>
    <t>maria.rugenstein@env.ethz.ch</t>
  </si>
  <si>
    <t>von der Heydt, Anna/B-9250-2008; Brinkhuis, Henk/IUO-8165-2023</t>
  </si>
  <si>
    <t>von der Heydt, Anna/0000-0002-5557-3282; Brinkhuis, Henk/0000-0003-0253-6610; Rugenstein, Maria/0000-0002-4541-3277; Stocchi, Paolo/0000-0002-1377-3817</t>
  </si>
  <si>
    <t>Netherlands Organization for Scientific Research (NWO), Earth and Life Sciences [ALW 802.01.024]; NWO [SH-209-12]</t>
  </si>
  <si>
    <t>Netherlands Organization for Scientific Research (NWO), Earth and Life Sciences(Netherlands Organization for Scientific Research (NWO)); NWO(Netherlands Organization for Scientific Research (NWO))</t>
  </si>
  <si>
    <t>This work was funded by the Netherlands Organization for Scientific Research (NWO), Earth and Life Sciences, through project ALW 802.01.024. The ocean model computations were done on the Cartesius at SURFsara in Amsterdam. Use of the SURFsara computing facilities was sponsored by NWO under the project SH-209-12. We gratefully acknowledge two anonymous reviewers for detailed suggestions and J. Caves for comments on the manuscript.</t>
  </si>
  <si>
    <t>10.1016/j.gloplacha.2014.03.011</t>
  </si>
  <si>
    <t>AJ7KP</t>
  </si>
  <si>
    <t>WOS:000337875900002</t>
  </si>
  <si>
    <t>Simpkins, GR; McGregor, S; Taschetto, AS; Ciasto, LM; England, MH</t>
  </si>
  <si>
    <t>Simpkins, Graham R.; McGregor, Shayne; Taschetto, Andrea S.; Ciasto, Laura M.; England, Matthew H.</t>
  </si>
  <si>
    <t>Tropical Connections to Climatic Change in the Extratropical Southern Hemisphere: The Role of Atlantic SST Trends</t>
  </si>
  <si>
    <t>ANNULAR MODE; ANTARCTIC PENINSULA; VARIABILITY; PACIFIC; OCEAN; SURFACE; ANOMALIES; ENSO; SIMULATION; LINKAGES</t>
  </si>
  <si>
    <t>The austral spring relationships between sea surface temperature (SST) trends and the Southern Hemisphere (SH) extratropical atmospheric circulation are investigated using an atmospheric general circulation model (AGCM). A suite of simulations are analyzed wherein the AGCM is forced by underlying SST conditions in which recent trends are constrained to individual ocean basins (Pacific, Indian, and Atlantic), allowing the impact of each region to be assessed in isolation. When forced with observed global SST, the model broadly replicates the spatial pattern of extratropical SH geopotential height trends seen in reanalyses. However, when forcing by each ocean basin separately, similar structures arise only when Atlantic SST trends are included. It is further shown that teleconnections from the Atlantic are associated with perturbations to the zonal Walker circulation and the corresponding intensification of the local Hadley cell, the impact of which results in the development of atmospheric Rossby waves. Thus, increased Rossby waves, forced by positive Atlantic SST trends, may have played a role in driving geopotential height trends in the SH extratropics. Furthermore, these atmospheric circulation changes promote warming throughout the Antarctic Peninsula and much of West Antarctica, with a pattern that closely matches recent observational records. This suggests that Atlantic SST trends, via a teleconnection to the SH extratropics, may have contributed to springtime climatic change in the SH extratropics over the past three decades.</t>
  </si>
  <si>
    <t>[Simpkins, Graham R.; McGregor, Shayne; Taschetto, Andrea S.; England, Matthew H.] Univ New S Wales, Climate Change Res Ctr, Sydney, NSW 2052, Australia; [Simpkins, Graham R.; McGregor, Shayne; Taschetto, Andrea S.; England, Matthew H.] Univ New S Wales, Australian Res Council Ctr Excellence Climate Sys, Sydney, NSW 2052, Australia; [Ciasto, Laura M.] Univ Bergen, Inst Geophys, Bergen, Norway; [Ciasto, Laura M.] Univ Bergen, Bjerknes Ctr Climate Res, Bergen, Norway</t>
  </si>
  <si>
    <t>University of New South Wales Sydney; University of New South Wales Sydney; University of Bergen; Bjerknes Centre for Climate Research; University of Bergen</t>
  </si>
  <si>
    <t>Simpkins, GR (corresponding author), Univ New S Wales, Climate Change Res Ctr, Level 4 Matthews Bldg, Sydney, NSW 2052, Australia.</t>
  </si>
  <si>
    <t>g.simpkins@unsw.edu.au</t>
  </si>
  <si>
    <t>McGregor, Shayne/A-9059-2013; Taschetto, Andrea S/H-2050-2011; England, Matthew/A-7539-2011</t>
  </si>
  <si>
    <t>England, Matthew/0000-0001-9696-2930; McGregor, Shayne/0000-0003-3222-7042; Simpkins, Graham/0000-0002-6509-658X; Taschetto, Andrea/0000-0001-6020-1603</t>
  </si>
  <si>
    <t>University of New South Wales University International Postgraduate Award; Research Council of Norway through the Earthclim project [207711/E10]; Australian Research Council (ARC), ARC Centre of Excellence for Climate System Science</t>
  </si>
  <si>
    <t>University of New South Wales University International Postgraduate Award; Research Council of Norway through the Earthclim project(Research Council of Norway); Australian Research Council (ARC), ARC Centre of Excellence for Climate System Science(Australian Research Council)</t>
  </si>
  <si>
    <t>The authors thank the three anonymous reviewers for their helpful and valuable comments. GRS was supported by a University of New South Wales University International Postgraduate Award. LMC was supported by the Research Council of Norway through the Earthclim (207711/E10) project. This work was also supported the Australian Research Council (ARC), including the ARC Centre of Excellence for Climate System Science. Computer time was awarded under the Merit Allocation Scheme on the NCI National Facility at the ANU. The use of the NCAR CAM3 model is gratefully acknowledged, along with the institutions responsible for providing the observational and reanalysis datasets.</t>
  </si>
  <si>
    <t>JUL 1</t>
  </si>
  <si>
    <t>10.1175/JCLI-D-13-00615.1</t>
  </si>
  <si>
    <t>AJ8WG</t>
  </si>
  <si>
    <t>WOS:000337988200009</t>
  </si>
  <si>
    <t>Sun, LT; Chen, G; Robinson, WA</t>
  </si>
  <si>
    <t>Sun, Lantao; Chen, Gang; Robinson, Walter A.</t>
  </si>
  <si>
    <t>The Role of Stratospheric Polar Vortex Breakdown in Southern Hemisphere Climate Trends</t>
  </si>
  <si>
    <t>JOURNAL OF THE ATMOSPHERIC SCIENCES</t>
  </si>
  <si>
    <t>FINAL WARMING EVENTS; GENERAL-CIRCULATION MODEL; RELATIVELY SIMPLE AGCM; INTERANNUAL VARIABILITY; TROPOSPHERE; REANALYSIS; IMPACT; JET</t>
  </si>
  <si>
    <t>This paper investigates the connection between the delay in the final breakdown of the stratospheric polar vortex, the stratospheric final warming (SFW), and Southern Hemisphere climate trends. The authors first analyze Interim European Centre for Medium-Range Weather Forecasts (ECMWF) Re-Analysis (ERA-Interim) and three climate model outputs with different climate forcings. Climate trends appear when there is a delay in the timing of SFWs. When regressed onto the SFW dates (which reflect the anomaly when the SFW is delayed for one standard deviation of its onset dates), the anomaly pattern bears a resemblance to the observed climate trends, for all the model outputs, even without any trends. This suggests that the stratospheric and tropospheric circulations are organized by the timing of SFWs in both the interannual time scale and climate trends because of external forcings. The authors further explore the role of the SFW using a simplified dynamical model in which the ozone depletion is mimicked by a springtime polar stratospheric cooling. The responses of zonal-mean atmospheric circulation, including zonal wind, temperature, and poleward edge of the Hadley cell and the Ferrel cell, are similar to the observed climate trends. The authors divide the years into those in which the SFW is delayed and those in which it is not. The responses for the years in which the SFW is delayed are very similar to the overall response, while the stratosphere is only characterized by the localized cooling for those years in which the SFW is not delayed, with no subsequent downward influence into the troposphere. This suggests that, in order to affect the troposphere, ozone depletion must first delay the SFW so as to induce a deep response in planetary wave drag and the associated eddy-driven circulation.</t>
  </si>
  <si>
    <t>[Sun, Lantao] Natl Ctr Atmospher Res, Boulder, CO 80305 USA; [Chen, Gang] Cornell Univ, Dept Earth &amp; Atmospher Sci, Ithaca, NY USA; [Robinson, Walter A.] N Carolina State Univ, Dept Marine Earth &amp; Atmospher Sci, Raleigh, NC 27695 USA</t>
  </si>
  <si>
    <t>National Center Atmospheric Research (NCAR) - USA; Cornell University; North Carolina State University</t>
  </si>
  <si>
    <t>Sun, LT (corresponding author), Natl Ctr Atmospher Res, 1850 Table Mesa Dr, Boulder, CO 80305 USA.</t>
  </si>
  <si>
    <t>lantao@ucar.edu</t>
  </si>
  <si>
    <t>Robinson, Walter A/I-3782-2012; Sun, Lantao/D-9948-2015; Chen, Gang/CAA-8593-2022; Sun, Lantao/O-5028-2019</t>
  </si>
  <si>
    <t>Robinson, Walter A/0000-0002-6669-7408; Sun, Lantao/0000-0001-8578-9175; Chen, Gang/0000-0003-4934-1909; Sun, Lantao/0000-0001-8578-9175</t>
  </si>
  <si>
    <t>National Science Foundation (NSF) [AGS-1042787]; NSF Arctic sciences program; Directorate For Geosciences; Div Atmospheric &amp; Geospace Sciences [1064045] Funding Source: National Science Foundation</t>
  </si>
  <si>
    <t>National Science Foundation (NSF)(National Science Foundation (NSF)); NSF Arctic sciences program(National Science Foundation (NSF)); Directorate For Geosciences; Div Atmospheric &amp; Geospace Sciences(National Science Foundation (NSF)NSF - Directorate for Geosciences (GEO))</t>
  </si>
  <si>
    <t>The authors thank Alan Plumb, John Austin, Lorenzo Polvani, Clara Deser, Tiffany Shaw, and David Schneider for valuable discussions and Thomas Delworth for access to GFDL AM2.1 runs. James Screen kindly provided the Antarctic radiosonde data for the comparison with the reanalysis. We are grateful to two anonymous reviewers and Editor Rolando Garcia for comments and suggestions. The ERA-Interim dataset is downloaded from CISL research data archive at NCAR. LS and GC are supported by the National Science Foundation (NSF) climate and large-scale dynamical program under Grant AGS-1042787. LS is also partly supported by the NSF Arctic sciences program.</t>
  </si>
  <si>
    <t>0022-4928</t>
  </si>
  <si>
    <t>1520-0469</t>
  </si>
  <si>
    <t>J ATMOS SCI</t>
  </si>
  <si>
    <t>J. Atmos. Sci.</t>
  </si>
  <si>
    <t>10.1175/JAS-D-13-0290.1</t>
  </si>
  <si>
    <t>AJ7ZF</t>
  </si>
  <si>
    <t>WOS:000337920200004</t>
  </si>
  <si>
    <t>Nigro, MA; Cassano, JJ</t>
  </si>
  <si>
    <t>Nigro, Melissa A.; Cassano, John J.</t>
  </si>
  <si>
    <t>Identification of Surface Wind Patterns over the Ross Ice Shelf, Antarctica, Using Self-Organizing Maps</t>
  </si>
  <si>
    <t>MONTHLY WEATHER REVIEW</t>
  </si>
  <si>
    <t>BARRIER WINDS; REGIMES; CONTINENT; JETS</t>
  </si>
  <si>
    <t>The interaction of synoptic and mesoscale circulations with the steep topography surrounding the Ross Ice Shelf, Antarctica, greatly influences the wind patterns in the region of the Ross Ice Shelf. The topography provides forcing for features such as katabatic winds, barrier winds, and barrier wind corner jets. The combination of topographic forcing and synoptic and mesoscale forcing from cyclones that traverse the Ross Ice Shelf sector create a region of strong but varying winds. This paper identifies the dominant surface wind patterns over the Ross Ice Shelf using output from the Weather Research and Forecasting Model run within the Antarctic Mesoscale Prediction System and the method of self-organizing maps (SOM). The dataset has 15-km grid spacing and is the first study to identify the dominant surface wind patterns using data at this resolution. The analysis shows that the Ross Ice Shelf airstream, a dominant stream of air flowing northward from the interior of the continent over the western and/or central Ross Ice Shelf to the Ross Sea, is present over the Ross Ice Shelf approximately 34% of the time, the Ross Ice Shelf airstream varies in both its strength and position over the Ross Ice Shelf, and barrier wind corner jets are present in the region to the northwest of the Prince Olav Mountains approximately 14% of the time and approximately 41% of the time when the Ross Ice Shelf airstream is present.</t>
  </si>
  <si>
    <t>Univ Colorado, Cooperat Inst Res Environm Sci, Boulder, CO 80309 USA; Univ Colorado, Dept Atmospher &amp; Ocean Sci, Boulder, CO 80309 USA</t>
  </si>
  <si>
    <t>Nigro, MA (corresponding author), Univ Colorado, 216 UCB, Boulder, CO 80309 USA.</t>
  </si>
  <si>
    <t>melissa.nigro@colorado.edu</t>
  </si>
  <si>
    <t>NIGRO, MELISSA/0000-0002-1213-3295; CASSANO, JOHN/0000-0003-3176-3978</t>
  </si>
  <si>
    <t>NSF [ANT-0943952, ANT-0636811, ANT-1245737, ANT-0944018]; Office of Polar Programs (OPP); Directorate For Geosciences [1245737] Funding Source: National Science Foundation; Office of Polar Programs (OPP); Directorate For Geosciences [0943952] Funding Source: National Science Foundation</t>
  </si>
  <si>
    <t>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</si>
  <si>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NSF Grants ANT-0943952, ANT-0636811, and ANT-1245737 supported this work. The AMPS data were retrieved from the National Center for Atmospheric Research Computational and Information Systems Laboratory. The authors appreciate the support of the Automatic Weather Station Program and the Antarctic Meteorological Research Center for providing the quality controlled AWS dataset (Matthew Lazzara, Linda Keller, Jonathan Thom, and George Weidner, NSF Grant ANT-0944018).</t>
  </si>
  <si>
    <t>0027-0644</t>
  </si>
  <si>
    <t>1520-0493</t>
  </si>
  <si>
    <t>MON WEATHER REV</t>
  </si>
  <si>
    <t>Mon. Weather Rev.</t>
  </si>
  <si>
    <t>10.1175/MWR-D-13-00382.1</t>
  </si>
  <si>
    <t>AJ8NV</t>
  </si>
  <si>
    <t>WOS:000337963300002</t>
  </si>
  <si>
    <t>Bond, AL; Lavers, JL</t>
  </si>
  <si>
    <t>Bond, Alexander L.; Lavers, Jennifer L.</t>
  </si>
  <si>
    <t>Climate change alters the trophic niche of a declining apex marine predator</t>
  </si>
  <si>
    <t>GLOBAL CHANGE BIOLOGY</t>
  </si>
  <si>
    <t>El Nino-Southern Oscillation; flesh-footed shearwater; Leeuwin Current; niche width; Puffinus carneipes; stable isotopes</t>
  </si>
  <si>
    <t>SHEARWATERS PUFFINUS-CARNEIPES; NINO SOUTHERN-OSCILLATION; LEEUWIN CURRENT; STABLE-ISOTOPES; BERING-SEA; REPRODUCTIVE-PERFORMANCE; POPULATION-DYNAMICS; ANTHROPOGENIC CO2; WESTERN-AUSTRALIA; ATLANTIC PUFFIN</t>
  </si>
  <si>
    <t>Changes in the world's oceans have altered nutrient flow, and affected the viability of predator populations when prey species become unavailable. These changes are integrated into the tissues of apex predators over space and time and can be quantified using stable isotopes in the inert feathers of historical and contemporary avian specimens. We measured delta C-13 and delta N-15 values in Flesh-footed Shearwaters (Puffinus carneipes) from Western and South Australia from 1936-2011. The Flesh-footed Shearwaters more than doubled their trophic niche (from 3.91 +/- 1.37 parts per thousand(2) to 10.00 +/- 1.79 parts per thousand(2)), and dropped an entire trophic level in 75 years (predicted delta N-15 decreased from +16.9 parts per thousand to + 13.5 parts per thousand, and d 13 C from -16.9 parts per thousand to -17.9 parts per thousand) - the largest change in delta N-15 yet reported in any marine bird, suggesting a relatively rapid shift in the composition of the Indian Ocean food web, or changes in baseline delta C-13 and delta N-15 values. A stronger El Nino-Southern Oscillation results in a weaker Leeuwin Current in Western Australia, and decreased Flesh-footed Shearwater delta C-13 and delta N-15. Current climate forecasts predict this trend to continue, leading to increased oceanic 'tropicalization' and potentially competition between Flesh-footed Shearwaters and more tropical sympatric species with expanding ranges. Flesh-footed Shearwater populations are declining, and current conservation measures aimed primarily at bycatch mitigation are not restoring populations. Widespread shifts in foraging, as shown here, may explain some of the reported decline. An improved understanding and ability to mitigate the impacts of global climactic changes is therefore critical to the long-term sustainability of this declining species.</t>
  </si>
  <si>
    <t>[Bond, Alexander L.] Environm Canada, Saskatoon, SK S7N 3H5, Canada; [Bond, Alexander L.] Univ Saskatchewan, Dept Biol, Saskatoon, SK S7N 3H5, Canada; [Lavers, Jennifer L.] Univ Tasmania, Inst Marine &amp; Antarctic Studies, Hobart, Tas 7005, Australia; [Lavers, Jennifer L.] Monash Univ, Sch Biol Sci, Clayton, Vic 3800, Australia</t>
  </si>
  <si>
    <t>Environment &amp; Climate Change Canada; University of Saskatchewan; University of Tasmania; Monash University</t>
  </si>
  <si>
    <t>Bond, AL (corresponding author), Environm Canada, 11 Innovat Blvd, Saskatoon, SK S7N 3H5, Canada.</t>
  </si>
  <si>
    <t>alex.bond@usask.ca</t>
  </si>
  <si>
    <t>Lavers, Jennifer/IWM-5417-2023; Bond, Alexander L/A-3786-2010; Lavers, Jennifer/O-4831-2017</t>
  </si>
  <si>
    <t>Lavers, Jennifer/0000-0001-7596-6588; Bond, Alexander/0000-0003-2125-7238</t>
  </si>
  <si>
    <t>Natural Science and Engineering Research Council of Canada; Environment Canada; W.V. Scott Charitable Trust</t>
  </si>
  <si>
    <t>Natural Science and Engineering Research Council of Canada(Natural Sciences and Engineering Research Council of Canada (NSERC)); Environment Canada(CGIAR); W.V. Scott Charitable Trust</t>
  </si>
  <si>
    <t>The Natural Science and Engineering Research Council of Canada, Environment Canada and W.V. Scott Charitable Trust provided funding and support for this research. For assistance obtaining samples we thank staff at the American Museum of Natural History, Burke Museum, Beaty Biodiversity Museum, Museum of Western Australia, New Zealand National Institute of Water and Atmospheric Research, Paris Museum of Natural History, South Australia Museum, Tasmanian Museum and Art Gallery, Te Papa Museum and the Victoria Museum. Samples were collected with the permission of the Lord Howe Island Board, South Australia Department of Environment and Natural Resources, and Western Australia Department of Environment and Conservation under the approval of the University of Tasmania and South Australian Animal Ethics Committees (A0010874 and M25957-1). Special thanks to M. Carey, P. Collins, S. Goldsworthy, I. Hutton, J. Pridham and H. Simpson. Analytical support was provided by C. Gryba, G. Koehler and A. Pye. This project benefited from discussions with T. A. Branch and S. L. Van Wilgenburg; Y. Cherel, K. A. Hobson, and two anonymous reviewers improved previous drafts.</t>
  </si>
  <si>
    <t>1354-1013</t>
  </si>
  <si>
    <t>1365-2486</t>
  </si>
  <si>
    <t>GLOBAL CHANGE BIOL</t>
  </si>
  <si>
    <t>Glob. Change Biol.</t>
  </si>
  <si>
    <t>10.1111/gcb.12554</t>
  </si>
  <si>
    <t>AJ4WU</t>
  </si>
  <si>
    <t>WOS:000337680700007</t>
  </si>
  <si>
    <t>Lucieer, A; Malenovsky, Z; Veness, T; Wallace, L</t>
  </si>
  <si>
    <t>Lucieer, Arko; Malenovsky, Zbynek; Veness, Tony; Wallace, Luke</t>
  </si>
  <si>
    <t>HyperUAS-Imaging Spectroscopy from a Multirotor Unmanned Aircraft System</t>
  </si>
  <si>
    <t>JOURNAL OF FIELD ROBOTICS</t>
  </si>
  <si>
    <t>AERIAL VEHICLE UAV; HYPERSPECTRAL VEGETATION INDEXES; CHLOROPHYLL FLUORESCENCE; BAND; PREDICTION; IMAGERY; REFLECTANCE; ALGORITHMS</t>
  </si>
  <si>
    <t>One of the key advantages of a low-flying unmanned aircraft system (UAS) is its ability to acquire digital images at an ultrahigh spatial resolution of a few centimeters. Remote sensing of quantitative biochemical and biophysical characteristics of small-sized spatially fragmented vegetation canopies requires, however, not only high spatial, but also high spectral (i.e., hyperspectral) resolution. In this paper, we describe the design, development, airborne operations, calibration, processing, and interpretation of image data collected with a new hyperspectral unmanned aircraft system (HyperUAS). HyperUAS is a remotely controlled multirotor prototype carrying onboard a lightweight pushbroom spectroradiometer coupled with a dual frequency GPS and an inertial movement unit. The prototype was built to remotely acquire imaging spectroscopy data of 324 spectral bands (162 bands in a spectrally binned mode) with bandwidths between 4 and 5 nm at an ultrahigh spatial resolution of 2-5 cm. Three field airborne experiments, conducted over agricultural crops and over natural ecosystems of Antarctic mosses, proved operability of the system in standard field conditions, but also in a remote and harsh, low-temperature environment of East Antarctica. Experimental results demonstrate that HyperUAS is capable of delivering georeferenced maps of quantitative biochemical and biophysical variables of vegetation and of actual vegetation health state at an unprecedented spatial resolution of 5 cm. (C) 2014 Wiley Periodicals, Inc.</t>
  </si>
  <si>
    <t>[Lucieer, Arko; Malenovsky, Zbynek; Veness, Tony; Wallace, Luke] Univ Tasmania, Sch Land &amp; Food, Hobart, Tas, Australia</t>
  </si>
  <si>
    <t>Lucieer, A (corresponding author), Univ Tasmania, Sch Land &amp; Food, Hobart, Tas, Australia.</t>
  </si>
  <si>
    <t>Arko.Lucieer@utas.edu.au; Zbynek.Malenovsky@utas.edu.au; Tony.Veness@utas.edu.au; Luke.Wallace@utas.edu.au</t>
  </si>
  <si>
    <t>Lucieer, Arko/F-1247-2013; Malenovský, Zbyněk/A-7819-2011; Wallace, Luke/HKO-4124-2023</t>
  </si>
  <si>
    <t>Lucieer, Arko/0000-0002-9468-4516; Malenovský, Zbyněk/0000-0002-1271-8103; Wallace, Luke/0000-0002-4642-8374</t>
  </si>
  <si>
    <t>Australian Research Council (ARC) [DP110101714]; Australian Antarctic Division (AAD) [3130, 1313, 4046]</t>
  </si>
  <si>
    <t>Australian Research Council (ARC)(Australian Research Council); Australian Antarctic Division (AAD)</t>
  </si>
  <si>
    <t>This project was funded by Australian Research Council (ARC) project DP110101714 and Australian Antarctic Division (AAD; Australian Antarctic Science Grants 3130, 1313, and 4046). Logistic support was also provided by these AAD grants. We thank ANARE expeditioners in 2013 for field support. We acknowledge the support of Jan Hanus from Global Change Research Centre ASCR, v.v.i. in Czech Republic, and Tim Malthus and Jose A. Jimenez Berni from The Commonwealth Scientific and Industrial Research Organisation (CSIRO) in Canberra during spectral and radiometric calibration of the Micro-Hyperspec sensor. Darren Turner is acknowledged for his technical support and piloting the HyperUAS in Tasmania. We thank Aadit Shrestha for his assistance with PARGE processing and data collection for Experiment III.</t>
  </si>
  <si>
    <t>1556-4959</t>
  </si>
  <si>
    <t>1556-4967</t>
  </si>
  <si>
    <t>J FIELD ROBOT</t>
  </si>
  <si>
    <t>J. Field Robot.</t>
  </si>
  <si>
    <t>10.1002/rob.21508</t>
  </si>
  <si>
    <t>Robotics</t>
  </si>
  <si>
    <t>AJ4WI</t>
  </si>
  <si>
    <t>WOS:000337679200006</t>
  </si>
  <si>
    <t>Buckley, BA; Hedrick, MS; Hillman, SS</t>
  </si>
  <si>
    <t>Buckley, Bradley A.; Hedrick, Michael S.; Hillman, Stanley S.</t>
  </si>
  <si>
    <t>Cardiovascular Oxygen Transport Limitations to Thermal Niche Expansion and the Role of Environmental Po2 in Antarctic Notothenioid Fishes</t>
  </si>
  <si>
    <t>HEMOGLOBIN-FREE FISH; CLIMATE-CHANGE; PHYSIOLOGICAL IMPLICATIONS; CHAENOCEPHALUS-ACERATUS; TREMATOMUS-BERNACCHII; BLOOD-VISCOSITY; TEMPERATURE; RESPONSES; TELEOST; ERYTHROCYTES</t>
  </si>
  <si>
    <t>The notothenioid fishes of the Southern Ocean possess some of the lowest upper thermal thresholds of any species and display a range of cardiovascular features that distinguish them from other fishes. Some species lack hemoglobin, and it has been posited that the inability to deliver sufficient oxygen at elevated temperature may in part determine upper thermal thresholds. Here, we provide an analysis of systemic O-2 transport based on circulatory resistance, cardiac outputs, and cardiac power for three species of Antarctic fishes, including species that possess hemoglobin (Trematomus bernacchii, Pagothenia borchgrevinki) and a species lacking hemoglobin (Chaenocephalus aceratus) and that differ in their cardiovascular characteristics. This analysis supports the hypothesis that the mutation resulting in the lack of hemoglobin would be metabolically prohibitive at elevated temperatures. The analysis also suggests that such a mutation would be least detrimental to species with greater cardiac power outputs and lower total peripheral resistance. Decreased environmental Po-2 has the greatest detrimental effect on the metabolic capacity in the species without hemoglobin. These data indicate that differences in cardiovascular characteristics of the notothenioid fishes place varying limits on thermal niche expansion in these species, but any significant increase in environmental temperature or decrease in environmental Po-2 will prohibit maintenance of cardiovascular systemic O-2 transport in all species. These data also suggest an evolutionary sequence of events such that a reduction in hematocrit, to reduce blood viscosity and resistance, was a first step in the invasion of low-temperature habitats and loss of hemoglobin was followed by increased cardiac power output to achieve sustainable metabolic rates.</t>
  </si>
  <si>
    <t>[Buckley, Bradley A.; Hillman, Stanley S.] Portland State Univ, Dept Biol, Portland, OR 97207 USA; [Hedrick, Michael S.] Univ N Texas, Dept Biol Sci, Denton, TX 76203 USA</t>
  </si>
  <si>
    <t>Portland State University; University of North Texas System; University of North Texas Denton</t>
  </si>
  <si>
    <t>Buckley, BA (corresponding author), Portland State Univ, Dept Biol, Portland, OR 97207 USA.</t>
  </si>
  <si>
    <t>National Science Foundation [OPP-0443754, IOS-0843082]</t>
  </si>
  <si>
    <t>This research was supported by National Science Foundation grants OPP-0443754 (B.A.B.) and IOS-0843082 (S.S.H. and M.S.H.).</t>
  </si>
  <si>
    <t>10.1086/676664</t>
  </si>
  <si>
    <t>AJ5PU</t>
  </si>
  <si>
    <t>WOS:000337738400001</t>
  </si>
  <si>
    <t>Hua, WN; Li, Y; Yuan, SB</t>
  </si>
  <si>
    <t>Hua, Weina; Li, Yu; Yuan, Shunbo</t>
  </si>
  <si>
    <t>A quantitative analysis of Antarctic related articles in humanities and social sciences appearing in the world core journals</t>
  </si>
  <si>
    <t>SCIENTOMETRICS</t>
  </si>
  <si>
    <t>Antarctic studies; Bibliometric study; Humanities and social sciences</t>
  </si>
  <si>
    <t>SOUTHERN-OCEAN; TREATY; SEA</t>
  </si>
  <si>
    <t>To demonstrate the importance and the actual research situation of Antarctic studies in the humanities and social sciences, we collected data from the SSCI and A&amp;HCI covering a period of over 100 years and focused on the number of articles published each year, major journals, types of document, authors and their countries publishing the most articles, collaboration, the major research subjects covered, and citations. Comparisons were also made with the Arctic studies to show some similarities and differences. The results suggest that the research in the fields of humanities and social sciences has been in the long-run developing without interruption over 100 years. With regard to the number of articles in high-capacity journals, Geographical Journal performs best, followed by the Petermanns Geographische Mitteilungen and Scottish Geographical Magazine. The documentation is rather scattered without a strong cohesion, while book review and article are the two most common types of document. There haven't many stable collaborated teams on Antarctic topics. Joyner, Savours, and Beck are the three authors having the highest number of publications. USA is the most active country while the most active research institute is University of Tasmania in Australia. The Antarctic expedition has been the main theme lasted for centuries. In addition, the research in the fields of humanities and social sciences has generated a lot of high-impact articles, among which the article entitled Chemical concentrations of pollutant lead aerosols, terrestrial dusts and sea salts in Greenland and Antarctic snow strata enjoys the highest citation counts.</t>
  </si>
  <si>
    <t>[Hua, Weina] Nanjing Univ, Sch Informat Management, Nanjing 210093, Jiangsu, Peoples R China; [Li, Yu] Northwest Univ Lib, Xian 710127, Peoples R China; [Yuan, Shunbo] Jiaxing Univ, Sch Business, Dept Informat Management, Jiaxing 314001, Zhejiang, Peoples R China</t>
  </si>
  <si>
    <t>Nanjing University; Jiaxing University</t>
  </si>
  <si>
    <t>Yuan, SB (corresponding author), Jiaxing Univ, Sch Business, Dept Informat Management, 56 South Yuexiu Rd, Jiaxing 314001, Zhejiang, Peoples R China.</t>
  </si>
  <si>
    <t>njuyuan1982@foxmail.com</t>
  </si>
  <si>
    <t>National Social Science Foundation of China [13BTQ043]; Chinese Arctic and Antarctic Administration [CHINARE2013-04-05-03]</t>
  </si>
  <si>
    <t>National Social Science Foundation of China(National Office of Philosophy and Social Sciences); Chinese Arctic and Antarctic Administration</t>
  </si>
  <si>
    <t>This research is funded by the National Social Science Foundation of China (Grant No. 13BTQ043) and Chinese Arctic and Antarctic Administration (Grant No. CHINARE2013-04-05-03). The authors are grateful for the valuable comments and suggestions of anonymous reviewers and the editors, which significantly improved the article.</t>
  </si>
  <si>
    <t>0138-9130</t>
  </si>
  <si>
    <t>1588-2861</t>
  </si>
  <si>
    <t>Scientometrics</t>
  </si>
  <si>
    <t>10.1007/s11192-013-1190-6</t>
  </si>
  <si>
    <t>Computer Science, Interdisciplinary Applications; Information Science &amp; Library Science</t>
  </si>
  <si>
    <t>Computer Science; Information Science &amp; Library Science</t>
  </si>
  <si>
    <t>AI8MQ</t>
  </si>
  <si>
    <t>WOS:000337171300015</t>
  </si>
  <si>
    <t>Melo, IS; Zucchi, TD; Silva, RE; Vilela, ESD; Sáber, ML; Rosa, LH; Pellizari, VH</t>
  </si>
  <si>
    <t>Melo, Itamar S.; Zucchi, Tiago D.; Silva, Rafael E.; Vilela, Elke S. D.; Saber, Mirian Lobo; Rosa, Luiz H.; Pellizari, Vivian H.</t>
  </si>
  <si>
    <t>Isolation and characterization of cellulolytic bacteria from the Stain house Lake, Antarctica</t>
  </si>
  <si>
    <t>FOLIA MICROBIOLOGICA</t>
  </si>
  <si>
    <t>Antarctic Peninsula; Cellulase; Bacillus</t>
  </si>
  <si>
    <t>FRESH-WATER</t>
  </si>
  <si>
    <t>The main aim was to evaluate the occurrence of cellulolytic bacteria from the Stain house Lake, located at Admiralty Bay, Antarctica. Thick cotton string served as a cellulose bait for the isolation of bacteria. A total of 52 bacterial isolates were recovered and tested for their cellulase activity, and two of them, isolates CMAA 1184 and CMAA 1185, showed significant cellulolytic activity on carboxymethylcellulose agar plates. Phylogenetic analysis placed the isolates into the Bacillus 16S ribosomal RNA gene subclade. Both isolates produced a cold-active cellulase which may play a crucial role in this extreme environment.</t>
  </si>
  <si>
    <t>[Melo, Itamar S.; Zucchi, Tiago D.; Silva, Rafael E.; Vilela, Elke S. D.; Saber, Mirian Lobo] Embrapa Environm, BR-13820000 Sao Paulo, Brazil; [Rosa, Luiz H.] Univ Fed Minas Gerais, Inst Biol Sci, Belo Horizonte, MG, Brazil; [Pellizari, Vivian H.] Univ Sao Paulo, Oceanog Inst, Sao Paulo, Brazil</t>
  </si>
  <si>
    <t>Empresa Brasileira de Pesquisa Agropecuaria (EMBRAPA); Universidade Federal de Minas Gerais; Universidade de Sao Paulo</t>
  </si>
  <si>
    <t>Melo, IS (corresponding author), Embrapa Environm, CP 69, BR-13820000 Sao Paulo, Brazil.</t>
  </si>
  <si>
    <t>itamar.melo@embrapa.br</t>
  </si>
  <si>
    <t>Melo, Itamar S/I-8516-2012; Fapesp, Biota/F-8655-2017; Pellizari, Vivian/J-9153-2012; Zucchi, Tiago/D-2557-2009</t>
  </si>
  <si>
    <t>Fapesp, Biota/0000-0002-9887-8449; Pellizari, Vivian/0000-0003-2757-6352; Zucchi, Tiago/0000-0002-9345-1139</t>
  </si>
  <si>
    <t>PROANTAR; Marine of Brazil; FAPESP [11/50243-1, 11/14333-6]</t>
  </si>
  <si>
    <t>PROANTAR; Marine of Brazil; FAPESP(Fundacao de Amparo a Pesquisa do Estado de Sao Paulo (FAPESP))</t>
  </si>
  <si>
    <t>This study was made possible with the financial and logistic support of PROANTAR and Marine of Brazil. This is part of the IPY activity 403 MIDIAPI Microbial Diversity of Terrestrial and Maritime Ecosystems in Antarctic Peninsula. TDZ is also grateful to FAPESP for providing the funding for developing this research (grants 11/50243-1 and 11/14333-6).</t>
  </si>
  <si>
    <t>0015-5632</t>
  </si>
  <si>
    <t>1874-9356</t>
  </si>
  <si>
    <t>FOLIA MICROBIOL</t>
  </si>
  <si>
    <t>Folia Microbiol.</t>
  </si>
  <si>
    <t>10.1007/s12223-013-0295-x</t>
  </si>
  <si>
    <t>AI7AM</t>
  </si>
  <si>
    <t>WOS:000337031400006</t>
  </si>
  <si>
    <t>Labiak, PH; Sundue, M; Rouhan, G; Hanks, JG; Mickel, JT; Moran, RC</t>
  </si>
  <si>
    <t>Labiak, Paulo H.; Sundue, Michael; Rouhan, Germinal; Hanks, Judith G.; Mickel, John T.; Moran, Robbin C.</t>
  </si>
  <si>
    <t>PHYLOGENY AND HISTORICAL BIOGEOGRAPHY OF THE LASTREOPSID FERNS (DRYOPTERIDACEAE)</t>
  </si>
  <si>
    <t>AMERICAN JOURNAL OF BOTANY</t>
  </si>
  <si>
    <t>Antarctica; dispersal-extinction-cladogenesis (DEC) model; Dryopteridaceae; historical biogeography; Lastreopsis; leptosporangiate ferns; Megalastrum; Parapolystichum; Rumohra; southern hemisphere; taxonomy</t>
  </si>
  <si>
    <t>DISPERSAL-VICARIANCE ANALYSIS; MEGALASTRUM DRYOPTERIDACEAE; MAXIMUM-LIKELIHOOD; MOLECULAR PHYLOGENETICS; HOMOSPOROUS FERNS; MIXED MODELS; GENUS; INFERENCE; PARSIMONY; EVOLUTION</t>
  </si>
  <si>
    <t>Premise of the study: As currently circumscribed, Lastreopsis has about 45 species and occurs in Australia, southern Asia, Africa, Madagascar, and the neotropics. Previous molecular phylogenetic studies suggested that Lastreopsis is paraphyletic. Our study focuses on resolving relationships among the lastreopsid ferns (Lastreopsis, Megalastrum, and Rumohra), the evolution of morphological characters, and an understanding of the temporal and spatial patterns that have led to the current diversity and geographical distribution of its extant species. Methods: Phylogenetic relationships were recovered under Bayesian, maximum likelihood, and maximum parsimony methods, using a data set of four plastid markers. Divergence time estimates were made using BEAST, and the biogeographic hypotheses were tested under the DEC model and the RASP/S-DIVA methods. Key results: Lastreopsis was recovered as paraphyletic, and at least one of its clades should be recognized as a distinct genus, Parapolystichum. Coveniella poecilophlebia and Oenotrichia tripinnata were nested within Lastreopsis s.s., Megalastrum and Rumohra as sister to the Lastreopsis s.s., and the Lastreopsis amplissima clades. The initial diversification of the lastreopsids took place at about 56.55 Ma, from a neotropical ancestor. Conclusions: Taxonomic recognition of Parapolystichum is warranted to preserve the monophyly of Lastreopsis. Diversification among the main clades of the lastreopsid ferns was influenced by climatic and geological changes in the southern hemisphere. The biogeographic history of the group is intimately related to the trans-Antarctic corridor between Australia and South America, with evidence for multiple lineage interchanges between Australia and South America during the Oligocene and the Eocene epochs.</t>
  </si>
  <si>
    <t>[Labiak, Paulo H.] Univ Fed Parana, Dept Bot, BR-81531980 Curitiba, Parana, Brazil; [Sundue, Michael] Univ Vermont, Dept Plant Biol, Pringle Herbarium, Burlington, VT 05405 USA; [Rouhan, Germinal] Museum Natl Hist Nat, CNRS, UMR 7205, Inst Systemat, F-75231 Paris, France; [Hanks, Judith G.] Marymount Manhattan Coll, New York, NY 10021 USA; [Mickel, John T.; Moran, Robbin C.] New York Bot Garden, Bronx, NY 10458 USA</t>
  </si>
  <si>
    <t>Universidade Federal do Parana; University of Vermont; Centre National de la Recherche Scientifique (CNRS); CNRS - Institute of Ecology &amp; Environment (INEE); Museum National d'Histoire Naturelle (MNHN); Sorbonne Universite; New York Botanical Garden</t>
  </si>
  <si>
    <t>Labiak, PH (corresponding author), Univ Fed Parana, Dept Bot, Caixa Postal 19031, BR-81531980 Curitiba, Parana, Brazil.</t>
  </si>
  <si>
    <t>plabiak@ufpr.br</t>
  </si>
  <si>
    <t>Labiak, Paulo H/G-9061-2012; Rouhan, Germinal/P-4717-2019</t>
  </si>
  <si>
    <t>Rouhan, Germinal/0000-0002-0751-5352; Labiak, Paulo/0000-0002-5239-2048; Sundue, Michael/0000-0003-1568-150X</t>
  </si>
  <si>
    <t>CNPq [301997/2010-1]; U.S. National Science Foundation [DEB-1020443]; ATM 'Taxonomie moleculaire, DNA Barcode &amp; gestion durable des collections'; Division Of Environmental Biology; Direct For Biological Sciences [1020443] Funding Source: National Science Foundation</t>
  </si>
  <si>
    <t>CNPq(Conselho Nacional de Desenvolvimento Cientifico e Tecnologico (CNPQ)); U.S. National Science Foundation(National Science Foundation (NSF)); ATM 'Taxonomie moleculaire, DNA Barcode &amp; gestion durable des collections'; Division Of Environmental Biology; Direct For Biological Sciences(National Science Foundation (NSF)NSF - Directorate for Biological Sciences (BIO))</t>
  </si>
  <si>
    <t>This research was partially funded by a grant to P. H. L. by CNPq (no. 301997/2010-1) and to R. C. M. from the U.S. National Science Foundation (DEB-1020443). The Bayesian analyses were performed using the Bioportal from the University of Oslo. The authors thank Nada Sankowsky, Daniel Ohlsen, and Michael Kessler for providing samples and assisting MS with fieldwork, Darren Crayn and the staff of the Australian Tropical Herbarium (CNS), and Haruto Fukuda for the illustrations of rachis-costa architecture. Permits in Madagascar were granted to G. R. by Madagascar National Parks, the Ministere des Eaux et Forets, and assistance was provided by CNRE. Molecular work was conducted in the Pfizer laboratory (NYBG) and the Botany-Entomology-Mycology (BoEM) laboratory (MNHN), and funded in Paris through the ATM 'Taxonomie moleculaire, DNA Barcode &amp; gestion durable des collections.'</t>
  </si>
  <si>
    <t>BOTANICAL SOC AMER INC</t>
  </si>
  <si>
    <t>ST LOUIS</t>
  </si>
  <si>
    <t>PO BOX 299, ST LOUIS, MO 63166-0299 USA</t>
  </si>
  <si>
    <t>0002-9122</t>
  </si>
  <si>
    <t>1537-2197</t>
  </si>
  <si>
    <t>AM J BOT</t>
  </si>
  <si>
    <t>Am. J. Bot.</t>
  </si>
  <si>
    <t>10.3732/ajb.1400071</t>
  </si>
  <si>
    <t>AN2ZE</t>
  </si>
  <si>
    <t>WOS:000340453800013</t>
  </si>
  <si>
    <t>van Dorst, J; Siciliano, SD; Winsley, T; Snape, I; Ferraria, BC</t>
  </si>
  <si>
    <t>van Dorst, Josie; Siciliano, Steven D.; Winsley, Tristrom; Snape, Ian; Ferraria, Belinda C.</t>
  </si>
  <si>
    <t>Bacterial Targets as Potential Indicators of Diesel Fuel Toxicity in Subantarctic Soils</t>
  </si>
  <si>
    <t>APPLIED AND ENVIRONMENTAL MICROBIOLOGY</t>
  </si>
  <si>
    <t>MICROBIAL COMMUNITY STRUCTURE; 16S RIBOSOMAL-RNA; AMMONIA MONOOXYGENASE; LAND-USE; HYDROCARBON CONTAMINATION; NITROSOMONAS-EUROPAEA; PHYLOGENETIC ANALYSIS; NOSZ GENE; DIVERSITY; BIODEGRADATION</t>
  </si>
  <si>
    <t>Appropriate remediation targets or universal guidelines for polar regions do not currently exist, and a comprehensive understanding of the effects of diesel fuel on the natural microbial populations in polar and subpolar soils is lacking. Our aim was to investigate the response of the bacterial community to diesel fuel and to evaluate if these responses have the potential to be used as indicators of soil toxicity thresholds. We set up short-and long-exposure tests across a soil organic carbon gradient. Utilizing broad and targeted community indices, as well as functional genes involved in the nitrogen cycle, we investigated the bacterial community structure and its potential functioning in response to special Antarctic blend (SAB) diesel fuel. We found the primary effect of diesel fuel toxicity was a reduction in species richness, evenness, and phylogenetic diversity, with the resulting community heavily dominated by a few species, principally Pseudomonas. The decline in richness and phylogenetic diversity was linked to disruption of the nitrogen cycle, with species and functional genes involved in nitrification significantly reduced. Of the 11 targets we evaluated, we found the bacterial amoA gene indicative of potential ammonium oxidation, the most suitable indicator of toxicity. Dose-response modeling for this target generated an average effective concentration responsible for 20% change (EC20) of 155 mg kg(-1), which is consistent with previous Macquarie Island ecotoxicology assays. Unlike traditional single- species tolerance testing, bacterial targets allowed us to simultaneously evaluate more than 1,700 species from 39 phyla, inclusive of rare, sensitive, and functionally relevant portions of the community.</t>
  </si>
  <si>
    <t>[van Dorst, Josie; Winsley, Tristrom; Ferraria, Belinda C.] UNSW Australia, Sch Biotechnol &amp; Biomol Sci, Randwick, NSW, Australia; [Siciliano, Steven D.; Winsley, Tristrom] Univ Saskatchewan, Dept Soil Sci, Saskatoon, SK S7N 0W0, Canada; [Winsley, Tristrom; Snape, Ian] Australian Govt Antarctic Div, Terr &amp; Nearshore Ecosyst Program, Kingston, Tas, Australia</t>
  </si>
  <si>
    <t>University of New South Wales Sydney; University of Saskatchewan; Australian Antarctic Division</t>
  </si>
  <si>
    <t>Ferraria, BC (corresponding author), UNSW Australia, Sch Biotechnol &amp; Biomol Sci, Randwick, NSW, Australia.</t>
  </si>
  <si>
    <t>Ferrari, Belinda/AAI-3022-2020; Siciliano, Steven D/G-3370-2011</t>
  </si>
  <si>
    <t>Ferrari, Belinda/0000-0001-5043-3726; Siciliano, Steven/0000-0002-8994-3341; van Dorst, Josie/0000-0002-9353-8787</t>
  </si>
  <si>
    <t>UNSW Australia internal grant funding schemes; Australian Antarctic Division</t>
  </si>
  <si>
    <t>This work was supported by UNSW Australia internal grant funding schemes and the Australian Antarctic Division.</t>
  </si>
  <si>
    <t>AMER SOC MICROBIOLOGY</t>
  </si>
  <si>
    <t>1752 N ST NW, WASHINGTON, DC 20036-2904 USA</t>
  </si>
  <si>
    <t>0099-2240</t>
  </si>
  <si>
    <t>1098-5336</t>
  </si>
  <si>
    <t>APPL ENVIRON MICROB</t>
  </si>
  <si>
    <t>Appl. Environ. Microbiol.</t>
  </si>
  <si>
    <t>10.1128/AEM.03939-13</t>
  </si>
  <si>
    <t>AI9GR</t>
  </si>
  <si>
    <t>WOS:000337241400026</t>
  </si>
  <si>
    <t>Lin, AQ; Wu, GW; Gu, QQ; Zhu, TJ; Li, DH</t>
  </si>
  <si>
    <t>Lin, Aiqun; Wu, Guangwei; Gu, Qianqun; Zhu, Tianjiao; Li, Dehai</t>
  </si>
  <si>
    <t>New eremophilane-type sesquiterpenes from an Antarctic deep-sea derived fungus, Penicillium sp PR19 N-1</t>
  </si>
  <si>
    <t>ARCHIVES OF PHARMACAL RESEARCH</t>
  </si>
  <si>
    <t>Eremophilane-type sesquiterpene; Antarctic deep-sea derived fungus; Penicillium sp.</t>
  </si>
  <si>
    <t>DERIVATIVES; TOXIN; ASSAY</t>
  </si>
  <si>
    <t>Chemical investigation of an Antarctic deep-sea derived fungus Penicillium sp. PR19 N-1 yielded five new eremophilane-type sesquiterpenes 1-5 and a new rare lactam-type eremophilane 6, together with three known compounds 7-9. The structures of these diverse sesquiterpenes were determined by extensive NMR and mass spectroscopic analyses. Compounds 1, 2, 4-6, 8 and 9 were evaluated for their cytotoxities against HL-60 and A-549 human cancer cell lines, and 5 was the most active one with IC50 value of 5.2 mu M against the A-549 cells.</t>
  </si>
  <si>
    <t>[Lin, Aiqun; Wu, Guangwei; Zhu, Tianjiao; Li, Dehai] Ocean Univ China, Sch Med &amp; Pharm, Chinese Minist Educ, Key Lab Marine Drugs, Qingdao 266003, Peoples R China; [Lin, Aiqun] Shandong Qingdao Hlth Sch, Qingdao 266071, Peoples R China</t>
  </si>
  <si>
    <t>Zhu, TJ (corresponding author), Ocean Univ China, Sch Med &amp; Pharm, Chinese Minist Educ, Key Lab Marine Drugs, Qingdao 266003, Peoples R China.</t>
  </si>
  <si>
    <t>zhutj@ouc.edu.cn; dehaili@ouc.edu.cn</t>
  </si>
  <si>
    <t>Li, Dehai/G-7656-2012</t>
  </si>
  <si>
    <t>Li, Dehai/0000-0002-7191-2002</t>
  </si>
  <si>
    <t>National Natural Science Fundation of China [41376147, 41176120]; National High Technology Research and Development Program of China [2013AA092901]; Chinese Polar Environment Comprehensive Investigation &amp; Assessment Programmes [CHINARE2013-01-06-06]; Program for New Century Excellent Talents in University [NCET-12-0499]; public Projects of State Oceanic Administration [2010418022-3]; Promotive Research Fund for Excellent Young and Middle-aged Scientisits of Shandong Province [BS2010HZ027]; Program for Changjiang Scholars and Innovative Research Team in University [IRT0944]</t>
  </si>
  <si>
    <t>National Natural Science Fundation of China(National Natural Science Foundation of China (NSFC)); National High Technology Research and Development Program of China(National High Technology Research and Development Program of China); Chinese Polar Environment Comprehensive Investigation &amp; Assessment Programmes; Program for New Century Excellent Talents in University(Program for New Century Excellent Talents in University (NCET)); public Projects of State Oceanic Administration; Promotive Research Fund for Excellent Young and Middle-aged Scientisits of Shandong Province; Program for Changjiang Scholars and Innovative Research Team in University(Program for Changjiang Scholars &amp; Innovative Research Team in University (PCSIRT))</t>
  </si>
  <si>
    <t>This study was financially supported by the National Natural Science Fundation of China (Nos. 41376147 and 41176120), the National High Technology Research and Development Program of China (No. 2013AA092901), the Chinese Polar Environment Comprehensive Investigation &amp; Assessment Programmes (CHINARE2013-01-06-06), and the Program for New Century Excellent Talents in University (No. NCET-12-0499), the public Projects of State Oceanic Administration (No. 2010418022-3), the Promotive Research Fund for Excellent Young and Middle-aged Scientisits of Shandong Province (No. BS2010HZ027), and the Program for Changjiang Scholars and Innovative Research Team in University (No. IRT0944). We also thank A. R. Pereira (Scripps Institution of Oceanography, La Jolla) for helping with the manuscript preparation.</t>
  </si>
  <si>
    <t>PHARMACEUTICAL SOC KOREA</t>
  </si>
  <si>
    <t>1489-3 SUHCHO-DONG, SUHCHO-KU, SEOUL 137-071, SOUTH KOREA</t>
  </si>
  <si>
    <t>0253-6269</t>
  </si>
  <si>
    <t>1976-3786</t>
  </si>
  <si>
    <t>ARCH PHARM RES</t>
  </si>
  <si>
    <t>Arch. Pharm. Res.</t>
  </si>
  <si>
    <t>10.1007/s12272-013-0246-8</t>
  </si>
  <si>
    <t>Chemistry, Medicinal; Pharmacology &amp; Pharmacy</t>
  </si>
  <si>
    <t>Pharmacology &amp; Pharmacy</t>
  </si>
  <si>
    <t>AK9WR</t>
  </si>
  <si>
    <t>WOS:000338779800003</t>
  </si>
  <si>
    <t>Blunden, J; Arndt, DS; Aaron-Morrison, AP; Ackerman, SA; Albanil, A; Alfaro, EJ; Allan, R; Alves, LM; Amador, JA; Ambenje, P; Anderson, L; Andreassen, LM; Antonov, J; Arendt, A; Arévalo, J; Arndt, DS; Ashik, I; Atheru, Z; Augustine, J; Baklanov, A; Banzon, V; Baringer, MO; Barreira, S; Barriopedro, D; Baxter, S; Bazo, J; Becker, A; Behrenfeld, MJ; Bell, GD; Benedetti, A; Bernhard, G; Berrisford, P; Berry, DI; Bhatt, US; Bidegain, M; Bindoff, N; Bissolli, P; Blake, ES; Blenman, RC; Blunden, J; Bosilovich, M; Box, JE; Boyer, T; Braathen, GO; Bromwich, DH; Brown, G; Brown, LC; Brown, R; Bruhwiler, L; Bulygina, ON; Burgess, D; Butler, M; Calderon, B; Camargo, SJ; Campbell, GG; Campbell, JD; Cappelen, J; Carrasco, G; Chambers, DP; Chang'a, L; Chappell, PR; Christiansen, HH; Christy, JR; Chung, D; Ciais, P; Clem, KR; Coelho, CAS; Coldewey-Egbers, M; Colwell, S; Cooper, OR; Coulibaly, KA; Cox, C; Cross, JN; Crouch, J; Cunningham, SA; Dahlback, A; Davis, SM; de Jeu, RAM; Dekaa, FS; Derksen, C; Diamond, HJ; Dlugokencky, EJ; Dohan, K; Dolman, AJ; Domingues, CM; Donat, M; Dong, SF; Dorigo, WA; Drozdov, DS; Duguay, C; Dunn, RJH; Durán-Quesada, AM; Dutton, GS; Ebrahim, A; Elkins, JW; Espinoza, JC; Euscategui, C; Evans, W; Evans, TE; Famigliette, JS; Fauchereau, NC; Feely, RA; Fenimore, C; Fettweis, X; Fioletov, VE; Flanner, MG; Flemming, J; Fogarty, CT; Fogt, RL; Folland, CK; Foster, MJ; Frajka-Williams, E; Francis, J; Franz, BA; Frith, SM; Frolov, I; Ganter, C; Garzoli, S; Geai, ML; Gerland, S; Gitau, W; Gleason, KL; Gobron, N; Goldenberg, SB; Goni, G; Gonzalez, IT; Good, SA; Gottschalck, J; Gregg, MC; Grooss, JU; Guard, CPC; Gugliemin, M; Gupta, SK; Ha, HK; Hahn, S; Hall, BD; Halpert, MS; Hamlington, B; Hanna, E; Hanssen-Bauer, I; Harada, Y; Haran, T; Heidinger, AK; Heikkilä, A; Heim, RR; Hendricks, S; Herber, A; Hidalgo, HG; Hilburn, K; Ho, SO; Hobbs, WR; Hovhannisyan, D; Hu, ZZ; Hurst, DF; Ingvaldsen, R; Inness, A; James, IA; Jeffries, MO; Jensen, TS; Jin, X; Hole, MA; Johns, WE; Johnsen, B; Johnson, B; Johnson, GC; Jones, LT; Jumaux, G; Kabidi, K; Kaiser, JW; Kang, KK; Kanzow, TO; Kao, HY; Keller, LM; Kendon, M; Kennedy, JJ; Key, J; Khatiwala, S; Kheyrollah, PH; Kholodov, AL; Khoshkam, M; Kijazi, A; Kikuchi, T; Kim, BM; Kim, H; Kim, SJ; Kim, TW; Kimberlain, TB; Klotzbach, P; Knaff, JA; Kohler, J; Korshunova, NN; Koskela, T; Kramarova, N; Kratz, DP; Krishfield, R; Kruger, A; Kruk, MC; Kumar, A; Kupiainen, K; Lagerloef, GSE; Lakkala, K; Lander, MA; Landsea, CW; Lankhorst, M; Lantz, KO; Laurila, T; Law, KS; Lazzara, MA; Leuliette, E; Levira, P; Salaam, T; L'Heureux, M; Lieser, J; Lin, II; Liu, HX; Liu, YY; Liu, YH; Lobato-Sánchez, R; Locarnini, R; Loeb, NG; Loeng, H; Long, CS; Lorrey, AM; Loyola, D; Luhunga, P; Lumpkin, R; Luo, JJ; Luojus, K; Lyman, JM; Macara, GR; Maddux, BC; Malkova, GV; Manney, G; Marcellin-Honore, V; Marchenko, SS; Marengo, JA; Marotzke, J; Marra, JJ; Martinez-Güingla, R; Massom, RA; Mathis, JT; McBride, C; McCarthy, G; McGree, S; McInnes, K; McLean, N; McVicar, T; Mears, CA; Meier, W; Meinen, CS; Menéndez, M; Merrifield, MA; Mitchum, GT; Montzka, SA; Morcrette, JJ; Mote, T; Muhle, J; Mullan, AB; Muller, R; Nash, ER; Nerem, RS; Newlin, ML; Newman, PA; Ng'ongolo, H; Nicolaus, M; Nieto, JJ; Nishino, S; Nitsche, H; Noetzli, J; Oberman, NG; Obregón, A; Ogallo, LA; Ohno, H; Oki, T; Oludhe, CS; Overland, J; Oyunjargal, L; Parinussa, RM; Park, EH; Parker, D; Pasch, RJ; Pascual-Ramirez, R; Paulik, C; Pelto, MS; Penalba, OC; Peng, L; Perovich, D; Pezza, AB; Phillips, D; Pickart, R; Pinty, B; Pitts, MC; Polyakov, I; Pope, A; Porter, AO; Quegan, S; Quinn, PK; Rabe, B; Rahimzadeh, F; Rajeevan, M; Rakotomavo, Z; Rayner, D; Rayner, NA; Razuvaev, VN; Ready, S; Reagan, J; Reid, P; Reimer, C; Rémy, S; Rennermalm, AK; Rennie, J; Renwick, JA; Revadekar, JV; Richter-Menge, J; Rivera, IL; Robinson, DA; Rodell, M; Romanovsky, VE; Ronchail, J; Rosenlof, KH; Sabine, CL; Sánchez-Lugo, A; Santee, ML; Santoro, M; Sawaengphokhai, P; Sayouri, A; Scambos, TA; Schauer, U; Schemm, J; Schlosser, P; Schmale, J; Schmid, C; Schreck, CJ; Send, U; Sensoy, S; Setzer, A; Sharma, S; Sharp, M; Shiklomanov, NI; Shu, S; Siegel, DA; Sima, F; Simmons, A; Smeed, DA; Smethie, WM; Smith, C; Smith, LC; Smith, SL; Smith, TM; Sokolov, V; Spence, JM; Srivastava, AK; Stackhouse, PW; Stammerjohn, S; Steele, M; Steinbrecht, W; Stella, JL; Stengel, M; Stephenson, TS; Stohl, A; Stone, R; Streletskiy, DA; Svendby, T; Sweet, W; Takahashi, T; Tanaka, S; Tang, Q; Taylor, MA; Tedesco, M; Thiaw, WM; Thompson, P; Thorne, PW; Timmermans, ML; Tobin, I; Tobin, S; Toole, J; Trachte, K; Trewin, BC; Trigo, R; Trotman, AR; Tschudi, M; van de Wal, RSW; van der A, RJ; van der Werf, GR; Vautard, R; Vavrus, S; Vazquez, JL; Vega, C; Vestreng, V; Vincent, LA; Volkov, D; von Salzen, K; Vose, RS; Wagner, WW; Wahr, J; Walden, V; Walsh, J; Wang, B; Wang, CZ; Wang, GJ; Wang, JH; Wang, L; Wang, M; Wang, SH; Wang, SJ; Wanninkhof, R; Weaver, SJ; Weber, M; Werdell, PJ; Whitewood, R; Wilber, AC; Wild, JD; Willett, KM; Williams, W; Willis, JK; Wolken, G; Wong, T; Woodgate, R; Worthy, D; Wouters, B; Xue, Y; Yamada, R; Yamamoto-Kawai, M; Yin, XG; Yoshimatsu, K; Yu, L; Zambrano, E; Zhang, PQ; Zhao, L; Ziemke, J; Zimmermann, S</t>
  </si>
  <si>
    <t>Blunden, Jessica; Arndt, Derek S.; Aaron-Morrison, Arlene P.; Ackerman, Steven A.; Albanil, Adelina; Alfaro, Eric J.; Allan, Rob; Alves, Lincoln M.; Amador, Jorge A.; Ambenje, Peter; Anderson, L.; Andreassen, L. M.; Antonov, John; Arendt, A.; Arevalo, Juan; Arndt, Derek S.; Ashik, I.; Atheru, Zachary; Augustine, John; Baklanov, A.; Banzon, Viva; Baringer, Molly O.; Barreira, Sandra; Barriopedro, David; Baxter, Stephen; Bazo, Juan; Becker, Andreas; Behrenfeld, Michael J.; Bell, Gerald D.; Benedetti, Angela; Bernhard, Germar; Berrisford, Paul; Berry, David I.; Bhatt, U. S.; Bidegain, Mario; Bindoff, Nathan; Bissolli, Peter; Blake, Eric S.; Blenman, Rosalind C.; Blunden, Jessica; Bosilovich, Michael; Box, J. E.; Boyer, Tim; Braathen, Geir O.; Bromwich, David H.; Brown, Glenroy; Brown, L. C.; Brown, R.; Bruhwiler, Lori; Bulygina, Olga N.; Burgess, D.; Butler, Mary; Calderon, Blanca; Camargo, Suzana J.; Campbell, Garret G.; Campbell, Jayaka D.; Cappelen, John; Carrasco, Gualberto; Chambers, Don P.; Chang'a, L.; Chappell, Petra R.; Christiansen, Hanne H.; Christy, John R.; Chung, D.; Ciais, Phillipe; Clem, Kyle R.; Coelho, Caio A. S.; Coldewey-Egbers, Melanie; Colwell, Steve; Cooper, Owen R.; Coulibaly, K. Alama; Cox, C.; Cross, J. N.; Crouch, Jake; Cunningham, Stuart A.; Dahlback, A.; Davis, Sean M.; de Jeu, Rochard A. M.; Dekaa, Francis S.; Derksen, Chris; Diamond, Howard J.; Dlugokencky, Ed J.; Dohan, Kathleen; Dolman, A. Johannes; Domingues, Catia M.; Donat, Markus; Dong, Shenfu; Dorigo, Wouter A.; Drozdov, D. S.; Duguay, Claude; Dunn, Robert J. H.; Duran-Quesada, Ana M.; Dutton, Geoff S.; Ebrahim, Awatif; Elkins, James W.; Espinoza, Jhan C.; Euscategui, Christian; Evans, W.; Evans, Thomas E.; Famigliette, James S.; Fauchereau, Nicolas C.; Feely, Richard A.; Fenimore, Chris; Fettweis, X.; Fioletov, Vitali E.; Flanner, M. G.; Flemming, Johannes; Fogarty, Chris T.; Fogt, Ryan L.; Folland, Chris K.; Foster, Michael J.; Frajka-Williams, Eleanor; Francis, Jennifer; Franz, Bryan A.; Frith, Stacey M.; Frolov, I.; Ganter, Catherine; Garzoli, Silvia; Geai, M. -L.; Gerland, S.; Gitau, Wilson; Gleason, Karin L.; Gobron, Nadine; Goldenberg, Stanley B.; Goni, Gustavo; Gonzalez, Idelmis T.; Good, Simon A.; Gottschalck, Jonathan; Gregg, Margarita C.; Grooss, Jnes-Uwe; Guard, Charles P. 'Chip'; Gugliemin, Mauro; Gupta, Shashi K.; Ha, H. K.; Hahn, S.; Hall, Bradley D.; Halpert, Michael S.; Hamlington, Ben; Hanna, E.; Hanssen-Bauer, I.; Harada, Yayoi; Haran, Terry; Heidinger, Andrew K.; Heikkila, Anu; Heim, Richard R.; Hendricks, S.; Herber, A.; Hidalgo, Hugo G.; Hilburn, Kyle; Ho, Shu-oeng; Hobbs, Will R.; Hovhannisyan, Diana; Hu, Zeng-Zhen; Hurst, Dale F.; Ingvaldsen, R.; Inness, Antje; James, I. A.; Jeffries, Martin O.; Jensen, T. S.; Jin, Xiangze; Hole, M. A.; Johns, William E.; Johnsen, Bjorn; Johnson, Bryan; Johnson, Gregory C.; Jones, Luke T.; Jumaux, Guillaume; Kabidi, Khadija; Kaiser, Johannes W.; Kang, Kyun-Kuk; Kanzow, Torsten O.; Kao, Hsun-Ying; Keller, Linda M.; Kendon, Michael; Kennedy, John J.; Key, Jeff; Khatiwala, Samar; Kheyrollah, Pour H.; Kholodov, A. L.; Khoshkam, Mahbobeh; Kijazi, Agnes; Kikuchi, T.; Kim, B. -M.; Kim, Hyuanjun; Kim, S. -J.; Kim, T. W.; Kimberlain, Todd B.; Klotzbach, Philip; Knaff, John A.; Kohler, J.; Korshunova, Natalia N.; Koskela, Tapani; Kramarova, Natalya; Kratz, David P.; Krishfield, R.; Kruger, Andries; Kruk, Michael C.; Kumar, Arun; Kupiainen, K.; Lagerloef, Gary S. E.; Lakkala, Kaisa; Lander, Mark A.; Landsea, Chris W.; Lankhorst, Matthias; Lantz, Kathy O.; Laurila, T.; Law, K. S.; Lazzara, Matthew A.; Leuliette, Eric; Levira, Pamela; Salaam, Tanzania; L'Heureux, Michelle; Lieser, Jan; Lin, I. -I.; Liu, Hongxing; Liu, Y. Y.; Liu, Yinghui; Lobato-Sanchez, Rene; Locarnini, Ricardo; Loeb, Norman G.; Loeng, H.; Long, Craig S.; Lorrey, Andrew M.; Loyola, Diego; Luhunga, P.; Lumpkin, Rick; Luo, Jing-Jia; Luojus, K.; Lyman, John M.; Macara, Gregor R.; Maddux, Brent C.; Malkova, G. V.; Manney, Gloria; Marcellin-Honore, Vernie; Marchenko, S. S.; Marengo, Jose A.; Marotzke, Jochem; Marra, John J.; Rodney, Martinez-Gueingla; Massom, Robert A.; Mathis, Jeremy T.; McBride, Charlotte; McCarthy, Gerard; McGree, Simon; McInnes, Kathleen; McLean, Natalie; McVicar, Tim; Mears, Carl A.; Meier, W.; Meinen, Christopher S.; Menendez, Melisa; Merrifield, Mark A.; Mitchum, Gary T.; Montzka, Stephen A.; Morcrette, Jean-Jacques; Mote, Thomas; Muhle, Jens; Mullan, A. Brett; Muller, Rolf; Nash, Eric R.; Nerem, R. Steven; Newlin, Michele L.; Newman, Paul A.; Ng'ongolo, H.; Nicolaus, M.; Nieto, Juan J.; Nishino, S.; Nitsche, Helga; Noetzli, Jeannette; Oberman, N. G.; Obregon, Andre; Ogallo, Laban A.; Ohno, Hiroshi; Oki, Taikan; Oludhe, Christopher S.; Overland, James; Oyunjargal, Lamjav; Parinussa, Robert M.; Park, E-Hyung; Parker, David; Pasch, Richard J.; Pascual-Ramirez, Reynaldo; Paulik, C.; Pelto, Mauri S.; Penalba, Olga C.; Peng, Liang; Perovich, Don; Pezza, Alexandre B.; Phillips, David; Pickart, R.; Pinty, Bernard; Pitts, Michael C.; Polyakov, I.; Pope, Allen; Porter, Avalon O.; Quegan, Shaun; Quinn, P. K.; Rabe, B.; Rahimzadeh, Fatemeh; Rajeevan, Madhavan; Rakotomavo, Zo; Rayner, Darren; Rayner, Nick A.; Razuvaev, Vyacheslav N.; Ready, Steve; Reagan, James; Reid, Phillip; Reimer, C.; Remy, Samuel; Rennermalm, A. K.; Rennie, Jared; Renwick, James A.; Revadekar, Jayashree V.; Richter-Menge, Jacqueline; Rivera, Ingrid L.; Robinson, David A.; Rodell, Matthew; Romanovsky, Vladimir E.; Ronchail, Josyane; Rosenlof, Karen H.; Sabine, Christopher L.; Sanchez-Lugo, Ahira; Santee, Michelle L.; Santoro, M.; Sawaengphokhai, P.; Sayouri, Amal; Scambos, Ted A.; Schauer, U.; Schemm, Jae; Schlosser, P.; Schmale, J.; Schmid, Claudia; Schreck, Carl J.; Send, Uwe; Sensoy, Serhat; Setzer, Alberto; Sharma, S.; Sharp, Martin; Shiklomanov, Nicolai I.; Shu, Song; Siegel, David A.; Sima, Fatou; Simmons, Adrian; Smeed, David A.; Smethie, W. M.; Smith, Cathy; Smith, L. C.; Smith, Sharon L.; Smith, Thomas M.; Sokolov, V.; Spence, Jacqueline M.; Srivastava, A. K.; Stackhouse, Paul W.; Stammerjohn, Sharon; Steele, M.; Steinbrecht, Wolfgang; Stella, Jose L.; Stengel, M.; Stephenson, Tannecia S.; Stohl, A.; Stone, R.; Streletskiy, D. A.; Svendby, T.; Sweet, William; Takahashi, Taro; Tanaka, Shotaro; Tang, Q.; Taylor, Michael A.; Tedesco, Marco; Thiaw, Wassila M.; Thompson, Philip; Thorne, Peter W.; Timmermans, Mary-Louise; Tobin, Isabelle; Tobin, Skie; Toole, J.; Trachte, Katja; Trewin, Blair C.; Trigo, Ricardo; Trotman, Adrian R.; Tschudi, M.; van de Wal, Roderik S. W.; van der A, Ronald J.; van der Werf, Guido R.; Vautard, Robert; Vavrus, S.; Vazquez, J. L.; Vega, Carla; Vestreng, V.; Vincent, Lucie A.; Volkov, Denis; von Salzen, K.; Vose, Russell S.; Wagner, Wolfgang W.; Wahr, John; Walden, V.; Walsh, J.; Wang, Bin; Wang, Chunzai; Wang, Guojie; Wang, Junhong; Wang, Lei; Wang, M.; Wang, Sheng-Hung; Wang, Shujie; Wanninkhof, Rik; Weaver, Scott J.; Weber, Mark; Werdell, P. Jeremy; Whitewood, Robert; Wilber, Anne C.; Wild, Jeannette D.; Willett, Kate M.; Williams, W.; Willis, Joshua K.; Wolken, G.; Wong, Takmeng; Woodgate, R.; Worthy, D.; Wouters, B.; Xue, Yan; Yamada, Ryuji; Yamamoto-Kawai, M.; Yin, Xungang; Yoshimatsu, Kazuyoshi; Yu, Lisan; Zambrano, Eduardo; Zhang, Peiqun; Zhao, Lin; Ziemke, Jerry; Zimmermann, S.</t>
  </si>
  <si>
    <t>STATE OF THE CLIMATE IN 2013</t>
  </si>
  <si>
    <t>BULLETIN OF THE AMERICAN METEOROLOGICAL SOCIETY</t>
  </si>
  <si>
    <t>MADDEN-JULIAN OSCILLATION; SEA-SURFACE-TEMPERATURE; OCEAN THERMAL STRUCTURE; GROWING STOCK VOLUME; WIND-SPEED TRENDS; LONG-TERM TRENDS; NORTH-ATLANTIC; STRATOSPHERIC OZONE; GLOBAL OCEAN; MAUNA-LOA</t>
  </si>
  <si>
    <t>In 2013, the vast majority of the monitored climate variables reported here maintained trends established in recent decades. ENSO was in a neutral state during the entire year, remaining mostly on the cool side of neutral with modest impacts on regional weather patterns' around the world. This follows several years dominated by the effects of either La Nina. or El Nino events. According to several independent analyses, 2013 was again among the 10 warmest years on record at the global scale, both at the Earth's surface and through the troposphere. Some regions in the Southern Hemispherehad record or near-record high temperatures for the year. Australia observed its hottest year on record, while Argentina and New Zealand reported their second and third hottest years, respectively. In Antarctica, Amundsen-Scott South Pole Station reported its highest annual temperature since records began in 1957 At the opposite pole, the Arctic observed its seventh warmest year since record's began in the early 20th century. At 20-m depth, record high temperatures were measured at some permafrost stations on the North Slope Of Alaska and in the Brooks Range. In the Northern Hemisphere extratropics, anomalous meridional atmospheric circulation occurred throughout much of the year leading to marked regional extremes of both temperature and precipitation. Cold temperature anomalies during Winter across Eurasia were followed by warm Spring temperature anomalies, which, were linked to a new record Eurasian snow cover extent in the May. Minimum sea ice extent in the :Arctic was the sixth lowest since satellite Observations began in 1979. Including 2013, all seven lowest extents on record have occurred in the past seven years Antarctica, on the other hand, had above average sea ice extent throughout 2013, with 116 days Of new daily high extent records, inclding a new daily maximum sea ice area of 19.57 million km(2) reached on 1 October. ENSO-neutral conditions in the eastern central Pacific Ocean and a negative Pacific decadal oscillation pattern in the North Pacific had the largest impacts on the global sea surface temperature in 2013: The North Pacific reached a historic high temperature in 2013 and on balance the globally-averaged sea surface temperature was among the 10 highest on record. Overall, the salt Content in near-surface ocean waters increased while in intermediate waters it decreased. Global mean sea level continued to rise during 2013, on pace with a trend of 3,2 mm yr(-1) over the past two decades. A portion of this trend (0.5 mm yr(-1)) has been attributed to natural variability associated with the Pacific decadal oscillation as Well as to ongoing contribution from the melting of glaciers and ice sheets and ocean warming. Global tropical cyclone frequency during 2013 was slightly above average with a total of 94 storms, although the North Atlantic Basin had its quietest hurricane season since 1994. In the Western North Pacific Basin, Super Typhoon Haiyan, the deadliest tropical Cyclone of 2013, had 1-minute sustained winds estimated to be 170 kt (OS m s(-1)) on 7 November, the highest Wind speed ever assigned to a tropical cyclone. High storm surge was also associated with Haiyan at it Made landfall over the central Philippines, an area where sea level is currently at historic highs increasing by 200 mm since 1970. In the atmosphere, carbon dioxide, methane, and nitrous oxide all Continued to increase in 2013. As in previous our years, each of these Major greenhouse gases once again reached historic high Concentrations. In the Arctic carbon dioxide and methane:, Increased at the same rate as:the global increase. These increases are likely due to export from lower latitudes rather than a consequence Of increases in Arctic sources such as thawing permafrost., At Mauna Loa, Hawaii, for the first time since measurement began in 1958, the daily average Mixing ratio Of carbon dioxide exceeded 400 ppm on 9 May. The state of these variables, along with dozens of others, and the 2013 climate conditions of regions around the world are discussed in further detail in this 24th, edition of the State of the Climate series.</t>
  </si>
  <si>
    <t>[Ackerman, Steven A.] Trinidad &amp; Tobago Meteorol Serv, Piarco, Trinidad Tobago; [Ackerman, Steven A.; Foster, Michael J.] Univ Wisconsin Madison, CIMSS, Madison, WI 53706 USA; [Albanil, Adelina; Lobato-Sanchez, Rene; Pascual-Ramirez, Reynaldo; Vega, Carla] Natl Meteorol Serv Mexico, Mexico City, DF, Mexico; [Alfaro, Eric J.; Amador, Jorge A.; Calderon, Blanca; Duran-Quesada, Ana M.; Hidalgo, Hugo G.; Rivera, Ingrid L.; Vega, Carla] Univ Costa Rica, Ctr Geophys Res, San Jose, Costa Rica; [Alfaro, Eric J.; Amador, Jorge A.; Duran-Quesada, Ana M.; Hidalgo, Hugo G.] Univ Costa Rica, Sch Phys, San Jose, Costa Rica; [Allan, Rob; Dunn, Robert J. H.; Folland, Chris K.; Good, Simon A.; Kendon, Michael; Kennedy, John J.; Parker, David; Rayner, Nick A.; Willett, Kate M.] Met Off Hadley Ctr, Exeter, Devon, England; [Alves, Lincoln M.; Marengo, Jose A.] INPE, CCST, Sao Paulo, Brazil; [Ambenje, Peter] KMD, Nairobi, Kenya; [Anderson, L.] Gothenburg Univ, Dept Chem &amp; Mol Biol, S-41124 Gothenburg, Sweden; [Andreassen, L. M.] Sect Glaciers Snow &amp; Ice, Norwegian Water Resources &amp; Energy Directorate, Oslo, Norway; [Antonov, John; Boyer, Tim; Diamond, Howard J.; Gregg, Margarita C.; Locarnini, Ricardo; Newlin, Michele L.; Reagan, James] NOAA NESDIS Natl Oceanog Data Ctr, Silver Spring, MD USA; [Antonov, John] Univ Corp Atmospher Res, Boulder, CO USA; [Arendt, A.; Bhatt, U. S.; Marchenko, S. S.; Romanovsky, Vladimir E.] Univ Alaska Fairbanks, Geophys Inst, Fairbanks, AK USA; [Arevalo, Juan] Inst Nacl Meteorol &amp; Hidrol Venezuela INAMEH, Caracas, Venezuela; [Arndt, Derek S.; Banzon, Viva; Crouch, Jake; Gleason, Karin L.; Heim, Richard R.; Sanchez-Lugo, Ahira; Vose, Russell S.] NOAA NESDIS Natl Climat Data Ctr, Asheville, NC USA; [Ashik, I.; Frolov, I.; Sokolov, V.] Arctic &amp; Antarctic Res Inst, St Petersburg, Russia; [Atheru, Zachary; Ogallo, Laban A.] IGAD Climate Predict &amp; Applicat Ctr ICPAC, Nairobi, Kenya; [Augustine, John; Cooper, Owen R.; Davis, Sean M.; Dlugokencky, Ed J.; Dutton, Geoff S.; Elkins, James W.; Hall, Bradley D.; Hurst, Dale F.; Johnson, Bryan; Lantz, Kathy O.; Montzka, Stephen A.; Rosenlof, Karen H.; Smith, Cathy; Stone, R.] NOAA OAR Earth Syst Res Lab, Boulder, CO USA; [Baklanov, A.] World Meteorol Org, Res Dept, Geneva, Switzerland; [Baringer, Molly O.; Dong, Shenfu; Garzoli, Silvia; Goldenberg, Stanley B.; Goni, Gustavo; Lumpkin, Rick; Meinen, Christopher S.; Schmid, Claudia; Volkov, Denis; Wang, Chunzai; Wanninkhof, Rik] NOAA OAR Atlantic Oceanog &amp; Meteorol Lab, Miami, FL USA; [Barreira, Sandra] Argentine Naval Hydrog Serv, Buenos Aires, DF, Argentina; [Barriopedro, David] UCM, Madrid, Spain; [Baxter, Stephen; Bell, Gerald D.; Gottschalck, Jonathan; Halpert, Michael S.; Hu, Zeng-Zhen; Kumar, Arun; L'Heureux, Michelle; Thiaw, Wassila M.; Weaver, Scott J.; Wild, Jeannette D.; Xue, Yan] NOAA NWS Climate Predict Ctr, College Pk, MD USA; [Bazo, Juan; Carrasco, Gualberto] Serv Nacl Meteorol &amp; Hidrol Bolivia SENAMHI, Lima, Peru; [Becker, Andreas; Schemm, Jae] Deutsch Wetterdienst, Global Precipitat Climatol Ctr, Offenbach, Germany; [Behrenfeld, Michael J.] Oregon State Univ, Corvallis, OR USA; [Benedetti, Angela; Flemming, Johannes; Inness, Antje; Jones, Luke T.; Kaiser, Johannes W.; Morcrette, Jean-Jacques; Remy, Samuel; Simmons, Adrian] European Ctr Medium Range Weather Forecasts, Reading, Berks, England; [Bernhard, Germar] Biospher Instruments, San Diego, CA USA; [Berrisford, Paul] European Ctr Medium Range Weather Forecasts, NCAS Climate, Reading, Berks, England; [Berry, David I.; Frajka-Williams, Eleanor; McCarthy, Gerard; Rayner, Darren; Smeed, David A.] Natl Oceanog Ctr, Southampton, Hants, England; [Bidegain, Mario] Inst Uruguayo Meteorologia, Montevideo, Uruguay; [Bindoff, Nathan; Domingues, Catia M.] Antarctic Climate &amp; Ecosyst Cooperat Res Ctr, Hobart, Tas, Australia; [Bindoff, Nathan] CSIRO Marine &amp; Atmospher Labs, Hobart, Tas, Australia; [Bissolli, Peter; Obregon, Andre] Deutscher Wetterdienst, WMO RA VI Reg Climate Ctr Network, Offenbach, Germany; [Blake, Eric S.; Kimberlain, Todd B.; Landsea, Chris W.; Pasch, Richard J.] NOAA NWS Natl Hurricane Ctr, Miami, FL USA; [Blenman, Rosalind C.] Barbados Meteorol Serv, Christ Church, Barbados; [Blunden, Jessica; Fenimore, Chris; Kruk, Michael C.; Yin, Xungang] NOAA NESDIS Natl Climat Data Ctr, ERT Inc, Asheville, NC USA; [Bosilovich, Michael] NASA Goddard Space Flight Ctr, Global Modeling &amp; Assimilat Off, Greenbelt, MD USA; [Box, J. E.; Jensen, T. S.] Geol Survey Denmark &amp; Greenland, Copenhagen, Denmark; [Braathen, Geir O.] WMO Atmospher Environm Res Div, Geneva, Switzerland; [Bromwich, David H.; Wang, Sheng-Hung] Ohio State Univ, Byrd Polar Res Ctr, Columbus, OH USA; [Brown, Glenroy] Meteorological Serv, Kingston, Jamaica; [Brown, L. C.; Derksen, Chris; Worthy, D.] Environm Canada, Climate Res Div, Toronto, ON, Canada; [Brown, R.] Environm Canada, Climate Res Div, Quebec City, PQ, Canada; [Bruhwiler, Lori] NOAA OAR Earth Syst Res Lab, Global Monitoring Div, Boulder, CO USA; [Bulygina, Olga N.] Russian Inst Hydrometeorol Informat, Obninsk, Russia; [Burgess, D.] Geol Survey Canada, Ottawa, ON, Canada; [Calderon, Blanca] Dept Meteorol, Nassau, Bahamas; [Camargo, Suzana J.; Khatiwala, Samar; Schlosser, P.; Smethie, W. M.; Takahashi, Taro] Columbia Univ, Lamont Doherty Earth Observ, Palisades, NY USA; [Campbell, Garret G.; Haran, Terry; Pope, Allen; Scambos, Ted A.] Univ Colorado, Natl Snow &amp; Ice Data Ctr, Boulder, CO USA; [Campbell, Jayaka D.; McLean, Natalie; Stephenson, Tannecia S.; Taylor, Michael A.] Univ West Indies, Dept Phys, Mona, Jamaica; [Cappelen, John] Danish Meteorol Inst, Copenhagen, Denmark; [Chambers, Don P.; Mitchum, Gary T.] Univ S Florida, Coll Marine Sci, St Petersburg, FL USA; [Chang'a, L.; Kijazi, Agnes; Levira, Pamela; Luhunga, P.; Ng'ongolo, H.] Tanzania Meteorol Agcy, Dar Es Salaam, Tanzania; [Chappell, Petra R.; Fauchereau, Nicolas C.; Lorrey, Andrew M.; Macara, Gregor R.] Natl Inst Water &amp; Atmosphere Res Ltd, Auckland, New Zealand; [Christiansen, Hanne H.] Univ Ctr Svalbard, Dept Geol, UNIS, Svalbard, Norway; [Christiansen, Hanne H.] Univ Copenhagen, Dept Geosci &amp; Nat Resources Management, Ctr Permafrost, CENPERM, DK-1168 Copenhagen, Denmark; [Christy, John R.] Univ Alabama, Huntsville, AL USA; [Chung, D.; Dorigo, Wouter A.; Hahn, S.; Paulik, C.; Reimer, C.; Wagner, Wolfgang W.] Vienna Univ Technol, A-1040 Vienna, Austria; [Ciais, Phillipe] LCSE, Gif Sur Yvette, France; [Clem, Kyle R.; Fogt, Ryan L.] Ohio Univ, Dept Geog, Athens, OH 45701 USA; [Coelho, Caio A. S.] CPTEC INPE Ctr Weather Forecasts &amp; Climate Studie, Cachoeira Paulista, Brazil; [Coldewey-Egbers, Melanie; Loyola, Diego] DLR German Aerospace Ctr, Oberpfaffenhofen, Germany; [Colwell, Steve] British Antarctic Survey, Cambridge, England; [Cooper, Owen R.; Cox, C.; Davis, Sean M.; Dutton, Geoff S.; Hurst, Dale F.; Lantz, Kathy O.; Smith, Cathy; Stone, R.] Univ Colorado, Cooperat Inst Res Environm Sci, Boulder, CO USA; [Coulibaly, K. Alama] SODEXAM, Natl Meteorol Serv, Abidjan, Cote Ivoire; [Cross, J. N.; Evans, W.; Feely, Richard A.; Johnson, Gregory C.; Lyman, John M.; Mathis, Jeremy T.; Overland, James; Quinn, P. K.; Sabine, Christopher L.] NOAA OAR Pacific Marine Environ Lab, Seattle, WA USA; [Cross, J. N.; Evans, W.; Mathis, Jeremy T.] Univ Alaska Fairbanks, Ocean Acidificat Res Ctr, Fairbanks, AK USA; [Cunningham, Stuart A.] Scottish Marine Inst Oban, Argyll, Scotland; [Dahlback, A.] Univ Oslo, Dept Phys, N-0316 Oslo, Norway; [de Jeu, Rochard A. M.; Dolman, A. Johannes; Parinussa, Robert M.; van der Werf, Guido R.] Vrije Univ Amsterdam, Dept Earth Sci, Amsterdam, Netherlands; [Dekaa, Francis S.] Nigerian Meteorol Agency, Abuja, Nigeria; [Dohan, Kathleen; Lagerloef, Gary S. E.] Earth &amp; Space Res, Seattle, WA USA; [Donat, Markus] Univ New S Wales, Climate Change Res Ctr, Sydney, NSW 2052, Australia; [Dong, Shenfu; Garzoli, Silvia; Volkov, Denis] Cooperat Inst Marine &amp; Atmospher Sci, Miami, FL USA; [Drozdov, D. S.; Malkova, G. V.] Earth Cryosphere Inst, Tyumen, Russia; [Duguay, Claude; Kang, Kyun-Kuk; Kheyrollah, Pour H.] Univ Waterloo, Interdisciplinary Ctr Climate Change, Waterloo, ON, Canada; [Duguay, Claude; Kang, Kyun-Kuk; Kheyrollah, Pour H.] Univ Waterloo, Dept Geog &amp; Environm Management, Waterloo, ON, Canada; [Ebrahim, Awatif] Egyptian Meteorol Author, Cairo, Egypt; [Euscategui, Christian] Inst Hidrol Meteorol &amp; Estudios Ambientales, Bogota, Colombia; [Espinoza, Jhan C.] Inst Geofis Peru, Lima, Peru; [Evans, Thomas E.] NOAA NWS Cent Pacific Hurricane Ctr, Honolulu, HI USA; [Famigliette, James S.] Univ Calif Irvine, Dept Earth Syst Sci, Irvine, CA USA; [Fauchereau, Nicolas C.] Univ Cape Town, Dept Oceanog, Rondebosch, South Africa; [Fettweis, X.] Univ Liege, Dept Geog, B-4000 Liege, Belgium; [Fioletov, Vitali E.; Phillips, David; Sharma, S.; Vincent, Lucie A.; Whitewood, Robert] Environm Canada, Toronto, ON, Canada; [Flanner, M. G.] Univ Michigan, Dept Atmospher Ocean &amp; Space Sci, Ann Arbor, MI 48109 USA; [Fogarty, Chris T.] Environm Canada, Canadian Hurricane Ctr, Dartmouth, NS, Canada; [Folland, Chris K.] Univ Gothenburg, Dept Earth Sci, Gothenburg, Sweden; [Francis, Jennifer] Rutgers State Univ, Inst Marine &amp; Coastal Sci, Piscataway, NJ USA; [Franz, Bryan A.; Frith, Stacey M.; Meier, W.; Werdell, P. Jeremy; Ziemke, Jerry] NASA, Goddard Space Flight Ctr, Greenbelt, MD USA; [Ganter, Catherine; McGree, Simon; Tobin, Skie; Trewin, Blair C.] Australian Bur Meteorol, Melbourne, Vic, Australia; [Geai, M. -L.; Sharp, Martin] Univ Alberta, Dept Earth &amp; Atmospher Sci, Edmonton, AB, Canada; [Gerland, S.] Norwegian Polar Res Inst, Fram Ctr, Tromso, Norway; [Gitau, Wilson; Oludhe, Christopher S.] Univ Nairobi, Dept Meteorol, Nairobi, Kenya; [Gobron, Nadine; Pinty, Bernard] European Commiss, Joint Res Ctr, Ispra, Italy; [Gonzalez, Idelmis T.] Inst Meteorol, Climate Ctr, Havana, Cuba; [Grooss, Jnes-Uwe; Muller, Rolf] Forschungszentrum Julich, Julich, Germany; [Guard, Charles P. 'Chip'] NOAA NWS Weather Forecast Off, Fairbanks, AK USA; [Gugliemin, Mauro] Insubria Univ, Dept Theoret &amp; Appl Sci, Varese, Italy; [Gupta, Shashi K.; Sawaengphokhai, P.; Wilber, Anne C.] Sci Syst &amp; Applicat Inc, Hampton, VA USA; [Ha, H. K.; Kim, B. -M.; Kim, S. -J.; Kim, T. W.] Korea Polar Res Inst, Incheon, South Korea; [Hamlington, Ben; Nerem, R. Steven] Univ Colorado, Colorado Ctr Astrodynam Res, Boulder, CO USA; [Hanna, E.] Univ Sheffield, Dept Geog, Sheffield S10 2TN, S Yorkshire, England; [Hanssen-Bauer, I.] Norwegian Meteorol Inst, Oslo, Norway; [Harada, Yayoi] Japan Meteorol Agency, Climate Predict Div, Tokyo, Japan; [Heidinger, Andrew K.] Univ Wisconsin Madison, NOAA NESDIS, Madison, WI 53706 USA; [Heikkila, Anu; Koskela, Tapani; Laurila, T.; Luojus, K.] Finnish Meteorol Inst, Helsinki, Finland; [Hendricks, S.; Herber, A.; Nicolaus, M.; Rabe, B.; Schauer, U.] Alfred Wegener Inst, Bremerhaven, Germany; [Hilburn, Kyle; Mears, Carl A.] Remote Sensing Syst, Santa Rosa, CA USA; [Ho, Shu-oeng; Peng, Liang] UCAR COSMIC, Boulder, CO USA; [Hobbs, Will R.] Univ Tasmania, ARC Ctr Excellence Climate Syst Sci, Hobart, Tas 7001, Australia; [Hovhannisyan, Diana] Armenian State Hydrometeorol &amp; Monitoring Serv, Yerevan, Armenia; [Ingvaldsen, R.; Loeng, H.] Inst Marine Res, Bergen, Norway; [James, I. A.] Nigerian Meteorol Agcy, Abuja, Nigeria; [Jeffries, Martin O.] US Arctic Res Commiss, Arlington, VA USA; [Jeffries, Martin O.] Univ Alaska, Fairbanks, AK 99701 USA; [Jin, Xiangze; Krishfield, R.; Pickart, R.; Toole, J.; Yu, Lisan] Woods Hole Oceanog Inst, Woods Hole, MA USA; [Johns, William E.] Rosenstiel Sch Marine &amp; Atmospher Sci, Miami, FL USA; [Johnsen, Bjorn] Norwegian Radiat Protect Author, Osteras, Norway; [Johnson, Bryan; Wouters, B.] Univ Colorado, Boulder, CO 80309 USA; [Jumaux, Guillaume] Meteo France, St Denis, Reunion, France; [Kabidi, Khadija; Sayouri, Amal] Direct Meteorol Natl Maroc, Rabat, Morocco; [Kaiser, Johannes W.] Kings Coll London, London WC2R 2LS, England; [Kaiser, Johannes W.] Max Planck Inst, Mainz, Germany; [Kanzow, Torsten O.] Helmholtz Ctr Ocean Res Kiel GEOMAR, Kiel, Germany; [Kao, Hsun-Ying] Earth &amp; Space Res, Seattle, WA USA; [Keller, Linda M.] Univ Wisconsin Madison, Dept Atmospher &amp; Ocean Sci, Madison, WI USA; [Key, Jeff] NOAA NESDIS Ctr Satellite Applicat &amp; Res, Madison, WI USA; [Kholodov, A. L.] Univ Alaska Fairbanks, Geophys Inst, Fairbanks, AK USA; [Khoshkam, Mahbobeh] IRIMO, Tehran, Iran; [Kikuchi, T.; Nishino, S.] Japan Agcy Marine Earth Sci &amp; Technol, Tokyo, Japan; [Kim, Hyuanjun] Univ Tokyo, Inst Ind Sci, Tokyo 1138654, Japan; [Klotzbach, Philip] Colorado State Univ, Dept Atmospher Sci, Ft Collins, CO 80523 USA; [Knaff, John A.] NOAA NESDIS Ctr Satellite Applicat &amp; Res, Ft Collins, CO USA; [Kohler, J.] Norwegian Polar Res Inst, Tromso, Norway; [Korshunova, Natalia N.; Razuvaev, Vyacheslav N.] World Data Ctr, All Russian Res Inst Hydrometeorol Informat, Obninsk, Russia; [Kramarova, Natalya; Nash, Eric R.] NASA Goddard Space Flight Ctr, Sci Syst &amp; Applicat Inc, Greenbelt, MD USA; [Kratz, David P.; Loeb, Norman G.; Pitts, Michael C.; Stackhouse, Paul W.; Wong, Takmeng] NASA, Langley Res Ctr, Hampton, VA USA; [Kruger, Andries; McBride, Charlotte] South African Weather Serv, Pretoria, South Africa; [Kupiainen, K.] Finnish Environm Inst, Helsinki, Finland; [Lakkala, Kaisa] Arctic Res Ctr, Finnish Meteorol Inst, Sodankyla, Finland; [Lander, Mark A.] Univ Guam, Mangilao, GU USA; [Lankhorst, Matthias; Muhle, Jens; Send, Uwe] Univ Calif San Diego, Scripps Inst Oceanography, La Jolla, CA USA; [Law, K. S.] Univ Paris, UPMC, LATMOS IPSL, Paris, France; [Lazzara, Matthew A.] Univ Wisconsin Madison, Space Sci &amp; Engn Ctr, Madison, WI USA; [Leuliette, Eric] NOAA NESDIS Lab Satellite Altimetry, Silver Spring, MD USA; [Lieser, Jan; Massom, Robert A.] Univ Tasmania, ACE CRC, Hobart, Tas, Australia; [Lin, I. -I.] Natl Taiwan Univ, Taipei, Taiwan; [Liu, Hongxing; Shu, Song; Wang, Shujie] Univ Cincinnati, Dept Geog, Cincinnati, OH USA; [Liu, Y. Y.] Univ New S Wales, Sydney, NSW 2052, Australia; [Long, Craig S.] NOAA NWS Natl Ctr Environm Predict, College Pk, MD USA; [Luo, Jing-Jia] Ctr Australian Weather &amp; Climate Res, Melbourne, Vic, Australia; [Lyman, John M.; Merrifield, Mark A.; Thompson, Philip] Univ Hawaii, Joint Inst Marine &amp; Atmospher Res, Honolulu, HI USA; [Maddux, Brent C.] Univ Wisconsin Madison, AOS CIMSS, Madison, WI USA; [Manney, Gloria] NW Res Associates Inc, Socorro, NM USA; [Manney, Gloria] New Mexico Inst Min &amp; Technol, Socorro, NM USA; [Marcellin-Honore, Vernie] Dominica Meteorol Serv, Canefield, Dominica; [Marotzke, Jochem] Max Planck Inst Meteorol, Hamburg, Germany; [Marra, John J.] NOAA NESDIS Natl Climat Data Ctr, Honolulu, HI USA; [Rodney, Martinez-Gueingla; Nieto, Juan J.; Zambrano, Eduardo] CIIFEN, Guayaquil, Ecuador; [McInnes, Kathleen] Ctr Australian Climate &amp; Weather Res, Hobart, Tas, Australia; [McVicar, Tim] CSIRO Land &amp; Water, Canberra, ACT, Australia; [Menendez, Melisa] Univ Cantabria, Environm Hydraul Inst, Santander, Spain; [Mote, Thomas] Univ Georgia, Dept Geog, Athens, GA USA; [Mullan, A. Brett] Natl Inst Water &amp; Atmospher Res Ltd, Wellington, New Zealand; [Newman, Paul A.] NASA Goddard Space Flight Ctr, Lab Atmosphere, Greenbelt, MD USA; [Nitsche, Helga] Deutscher Wetterdienst, Climate Monitoring Satellite Applicat Facil, Offenbach, Germany; [Noetzli, Jeannette] Univ Zurich, Dept Geog, Zurich, Switzerland; [Oberman, N. G.] MIRECO Mining Co, Syktyvkar, Russia; [Ohno, Hiroshi; Tanaka, Shotaro; Yamada, Ryuji; Yoshimatsu, Kazuyoshi] Japan Meteorol Agcy, Tokyo Climate Ctr, Climate Predict Div, Tokyo, Japan; [Oyunjargal, Lamjav] Natl Agcy Meteorol Hydrol &amp; Environm Monitoring, Inst Meteorol &amp; Hydrol, Ulaanbaatar, Mongolia; [Park, E-Hyung] Korea Meteorol Adm, Seoul, South Korea; [Pelto, Mauri S.] Nichols Coll, Dudley, MA USA; [Penalba, Olga C.] Univ Buenos Aires, Fac Ciencias Exactas &amp; Nat, Dept Ciencias Atmosfera &amp; Oceanos, Buenos Aires, DF, Argentina; [Perovich, Don; Richter-Menge, Jacqueline] ERDC, Cold Reg Res &amp; Engn Lab, Hanover, NH USA; [Perovich, Don; Richter-Menge, Jacqueline] Dartmouth Coll, Thayer Sch Engn, Hanover, NH USA; [Pezza, Alexandre B.] Univ Melbourne, Melbourne, Vic, Australia; [Polyakov, I.; Walsh, J.] Univ Alaska Fairbanks, Int Arctic Res Ctr, Fairbanks, AK USA; [Porter, Avalon O.] Cayman Isl Natl Weather Serv, Grand Cayman, Cayman Islands; [Quegan, Shaun] Univ Sheffield, Sheffield S10 2TN, S Yorkshire, England; [Rahimzadeh, Fatemeh] Atmospher Sci &amp; Meteorol Res Ctr, Tehran, Iran; [Rajeevan, Madhavan] Natl Atmospher Res Lab, Gadanki, India; [Rakotomavo, Zo] Direct Meteorol Natl Madagascar, Antananarivo, Madagascar; [Ready, Steve] New Zealand Meteorol Serv Ltd, Wellington, New Zealand; [Reid, Phillip] Australian Bur Meteorol, Hobart, Tas, Australia; [Reid, Phillip] CAWRC, Hobart, Tas, Australia; [Rennermalm, A. K.] Rutgers State Univ, Dept Geog, New Brunswick, NJ USA; [Rennie, Jared; Schreck, Carl J.] NC State Univ, Cooperat Inst Climate &amp; Satellites, Asheville, NC USA; [Renwick, James A.] Victoria Univ Wellington, Wellington, New Zealand; [Revadekar, Jayashree V.] Indian Inst Trop Meteorol, Pune, Maharashtra, India; [Robinson, David A.] Rutgers State Univ, Dept Geog, Piscataway, NJ USA; [Rodell, Matthew] NASA, Hydrol Sci Lab, Goddard Space Flight Ctr, Greenbelt, MD USA; [Ronchail, Josyane] Univ Paris, Paris, France; [Santee, Michelle L.] NASA, Jet Propuls Lab, Pasadena, CA USA; [Santoro, M.] Gamma Remote Sensing, Gumlingen, Switzerland; [Schmale, J.] Inst Adv Sustainabil Studies, Potsdam, Germany; [Sensoy, Serhat] Turkish State Meteorol Serv, Ankara, Turkey; [Setzer, Alberto] Natl Inst Space Res, Sao Jose Dos Campos, Brazil; [Shiklomanov, Nicolai I.; Streletskiy, D. A.] George Washington Univ, Dept Geog, Washington, DC USA; [Siegel, David A.] Univ Calif Santa Barbara, Santa Barbara, CA USA; [Sima, Fatou] Dept Water Resources, Div Meteorol, Banjul, Gambia; [Smith, L. C.] Univ Calif Los Angeles, Dept Geog, Los Angeles, CA 90024 USA; [Smith, Sharon L.] Geol Survey Canada, Nat Resources Canada, Ottawa, ON, Canada; [Smith, Thomas M.] NOAA NESDIS, Ctr Satellite Applicat &amp; Res, College Pk, MD USA; [Smith, Thomas M.] Univ Maryland, Cooperat Inst Climate &amp; Satellites, College Pk, MD USA; [Spence, Jacqueline M.] Meteorol Serv, Kingston, Jamaica; [Srivastava, A. K.] Indian Meteorol Dept, Pune, Maharashtra, India; [Stammerjohn, Sharon] Univ Colorado, Inst Arctic &amp; Alpine Res, Boulder, CO USA; [Steele, M.; Woodgate, R.] Univ Washington, Appl Phys Lab, Seattle, WA USA; [Steinbrecht, Wolfgang] Deutsch Wetterdienst, Hohenpeissenberg, Germany; [Stella, Jose L.] Serv Meteorol Nacl, Buenos Aires, DF, Argentina; [Stengel, M.] Deutscher Wetterdienst, Offenbach, Germany; [Stohl, A.; Svendby, T.] Norwegian Inst Air Res, Kjeller, Norway; [Sweet, William] NOAA NOS Ctr Operat Oceanog Products &amp; Serv, Silver Spring, MD USA; [Tang, Q.] Chinese Acad Sci, Inst Geog Sci &amp; Nat Resources Res, Beijing 100864, Peoples R China; [Tedesco, Marco] Natl Sci Fdn, Arlington, VA 22230 USA; [Tedesco, Marco] CUNY City Coll, New York, NY USA; [Thorne, Peter W.] Nansen Environm &amp; Remote Sensing Ctr, Bergen, Norway; [Timmermans, Mary-Louise] Yale Univ, New Haven, CT USA; [Tobin, Isabelle; Vautard, Robert] CEA CNR UVSQ, LSCE, Gif Sur Yvette, France; [Trachte, Katja] Univ Marburg, Lab Climatol &amp; Remote Sensing, D-35032 Marburg, Germany; [Trigo, Ricardo] Univ Lisbon, Inst Dom Luiz, Lisbon, Portugal; [Trotman, Adrian R.] Caribbean Inst Meteorol &amp; Hydrol, Bridgetown, Barbados; [Tschudi, M.] Univ Colorado, Dept Aerosp Engn Sci, Boulder, CO USA; [van de Wal, Roderik S. W.] Univ Utrecht, Inst Marine &amp; Atmospher Res Utrecht, Utrecht, Netherlands; [van der A, Ronald J.] KNMI Royal Netherlands Meteorol Inst, De Bilt, Netherlands; [Vavrus, S.] Univ Wisconsin Madison, Ctr Climat Res, Madison, WI USA; [Vestreng, V.] Norwegian Pollut Control Author, Oslo, Norway; [von Salzen, K.] Univ Victoria, Canadian Ctr Climate Modelling &amp; Anal, Victoria, BC V8W 2Y2, Canada; [Wahr, John] Univ Colorado, Dept Phys, Boulder, CO USA; [Wahr, John] Univ Colorado, CIRES, Boulder, CO USA; [Walden, V.] Washington State Univ, Dept Civil &amp; Environm Engn, Pullman, WA USA; [Wang, Bin] University of Hawaii, SOEST, Dept Meteorol, Honolulu, HI USA; [Wang, Bin] IPRC, Honolulu, HI USA; [Wang, Guojie] Nanjing Univ Informat Sci &amp; Technol, Coll Hydrometeorol, Nanjing, Peoples R China; [Wang, Junhong] SUNY Albany, Albany, NY 12222 USA; [Wang, Lei] Louisiana State Univ, Dept Geog &amp; Anthropol, Baton Rouge, LA 70803 USA; [Wang, M.] Univ Washington, Joint Inst Study Atmosphere &amp; Ocean, Seattle, WA 98195 USA; [Weber, Mark] Univ Bremen, Inst Environm Phys, D-28359 Bremen, Germany; [Williams, W.; Zimmermann, S.] Inst Ocean Sci, Sidney, BC, Canada; [Willis, Joshua K.] CALTECH, Jet Propuls Lab, Pasadena, CA USA; [Wolken, G.] Alaska Div Geol &amp; Geophys Surveys, Fairbanks, AK USA; [Yamamoto-Kawai, M.] Tokyo Univ Marine Sci &amp; Technol, Tokyo, Japan; [Zhao, Lin] Cold &amp; Arid Reg Environm &amp; Engn Res Inst, Lanzhou, Peoples R China</t>
  </si>
  <si>
    <t>University of Wisconsin System; University of Wisconsin Madison; Universidad Costa Rica; Universidad Costa Rica; Met Office - UK; Hadley Centre; Instituto Nacional de Pesquisas Espaciais (INPE); University of Gothenburg; Norwegian Water Resources &amp; Energy Directorate; National Center Atmospheric Research (NCAR) - USA; University of Alaska System; University of Alaska Fairbanks; National Oceanic Atmospheric Admin (NOAA) - USA; Arctic &amp; Antarctic Research Institute; National Oceanic Atmospheric Admin (NOAA) - USA; Atlantic Oceanographic &amp; Meteorological Laboratory (AOML); Complutense University of Madrid; Deutscher Wetterdienst; Oregon State University; European Centre for Medium-Range Weather Forecasts (ECMWF); European Centre for Medium-Range Weather Forecasts (ECMWF); University of Reading; UK Research &amp; Innovation (UKRI); Natural Environment Research Council (NERC); NERC National Centre for Atmospheric Science; NERC National Oceanography Centre; Antarctic Climate &amp; Ecosystems Cooperative Research Centre (ACE CRC); Commonwealth Scientific &amp; Industrial Research Organisation (CSIRO); Deutscher Wetterdienst; National Oceanic Atmospheric Admin (NOAA) - USA; National Hurricane Center, NOAA; National Oceanic Atmospheric Admin (NOAA) - USA; National Aeronautics &amp; Space Administration (NASA); NASA Goddard Space Flight Center; Geological Survey Of Denmark &amp; Greenland; University System of Ohio; Ohio State University; Environment &amp; Climate Change Canada; Environment &amp; Climate Change Canada; Natural Resources Canada; Lands &amp; Minerals Sector - Natural Resources Canada; Geological Survey of Canada; Columbia University; University of Colorado System; University of Colorado Boulder; University West Indies Mona Jamaica; Danish Meteorological Institute DMI; State University System of Florida; University of South Florida; National Institute of Water &amp; Atmospheric Research (NIWA) - New Zealand; University Centre Svalbard (UNIS); University of Copenhagen; University of Alabama System; University of Alabama Huntsville; Technische Universitat Wien; University System of Ohio; Ohio University; Helmholtz Association; German Aerospace Centre (DLR); UK Research &amp; Innovation (UKRI); Natural Environment Research Council (NERC); NERC British Antarctic Survey; University of Colorado System; University of Colorado Boulder; University of Alaska System; University of Alaska Fairbanks; University of Oslo; Vrije Universiteit Amsterdam; University of New South Wales Sydney; Tyumen Scientific Center of the Russian Academy of Sciences; University of Waterloo; University of Waterloo; Egyptian Meteorological Authority; University of California System; University of California Irvine; University of Cape Town; University of Liege; Environment &amp; Climate Change Canada; University of Michigan System; University of Michigan; Environment &amp; Climate Change Canada; University of Gothenburg; Rutgers University System; Rutgers University New Brunswick; National Aeronautics &amp; Space Administration (NASA); NASA Goddard Space Flight Center; Bureau of Meteorology - Australia; University of Alberta; Norwegian Polar Institute; University of Nairobi; European Commission Joint Research Centre; EC JRC ISPRA Site; Helmholtz Association; Research Center Julich; National Oceanic Atmospheric Admin (NOAA) - USA; University of Insubria; Science Systems and Applications Inc; Korea Polar Research Institute (KOPRI); University of Colorado System; University of Colorado Boulder; University of Sheffield; Norwegian Meteorological Institute; Japan Meteorological Agency; University of Wisconsin System; University of Wisconsin Madison; National Oceanic Atmospheric Admin (NOAA) - USA; Finnish Meteorological Institute; Helmholtz Association; Alfred Wegener Institute, Helmholtz Centre for Polar &amp; Marine Research; ARC Centre of Excellence for Climate System Science; University of Tasmania; Institute of Marine Research - Norway; University of Alaska System; University of Alaska Fairbanks; Woods Hole Oceanographic Institution; University of Colorado System; University of Colorado Boulder; Meteo France; University of London; King's College London; Max Planck Society; Helmholtz Association; GEOMAR Helmholtz Center for Ocean Research Kiel; University of Wisconsin System; University of Wisconsin Madison; National Oceanic Atmospheric Admin (NOAA) - USA; University of Alaska System; University of Alaska Fairbanks; Japan Agency for Marine-Earth Science &amp; Technology (JAMSTEC); University of Tokyo; Colorado State University; National Oceanic Atmospheric Admin (NOAA) - USA; Norwegian Polar Institute; National Aeronautics &amp; Space Administration (NASA); NASA Goddard Space Flight Center; Science Systems and Applications Inc; National Aeronautics &amp; Space Administration (NASA); NASA Langley Research Center; South African Weather Service (SAWS); Finnish Environment Institute; Finnish Meteorological Institute; University of Guam; University of California System; University of California San Diego; Scripps Institution of Oceanography; Universite Paris Cite; Universite Paris Saclay; Sorbonne Universite; University of Wisconsin System; University of Wisconsin Madison; Antarctic Climate &amp; Ecosystems Cooperative Research Centre (ACE CRC); University of Tasmania; National Taiwan University; University System of Ohio; University of Cincinnati; University of New South Wales Sydney; National Oceanic Atmospheric Admin (NOAA) - USA; Commonwealth Scientific &amp; Industrial Research Organisation (CSIRO); University of Hawaii System; University of Wisconsin System; University of Wisconsin Madison; NorthWest Research Associates; New Mexico Institute of Mining Technology; Max Planck Society; National Oceanic Atmospheric Admin (NOAA) - USA; Commonwealth Scientific &amp; Industrial Research Organisation (CSIRO); CSIRO Land &amp; Water; Universidad de Cantabria; IHCantabria - Instituto de Hidraulica Ambiental de la Universidad de Cantabria; University System of Georgia; University of Georgia; National Institute of Water &amp; Atmospheric Research (NIWA) - New Zealand; National Aeronautics &amp; Space Administration (NASA); NASA Goddard Space Flight Center; Deutscher Wetterdienst; University of Zurich; Japan Meteorological Agency; Ministry of Nature Environment &amp;Tourism Mongolia; Korea Meteorological Administration (KMA); University of Buenos Aires; United States Department of Defense; United States Army; U.S. Army Corps of Engineers; U.S. Army Engineer Research &amp; Development Center (ERDC); Cold Regions Research &amp; Engineering Laboratory (CRREL); Dartmouth College; University of Melbourne; Melbourne Bioinformatics; University of Alaska System; University of Alaska Fairbanks; University of Sheffield; Department of Space (DoS), Government of India; National Atmospheric Research Laboratory (NARL); Bureau of Meteorology - Australia; Rutgers University System; Rutgers University New Brunswick; North Carolina State University; Victoria University Wellington; Ministry of Earth Sciences (MoES) - India; Indian Institute of Tropical Meteorology (IITM); Rutgers University System; Rutgers University New Brunswick; National Aeronautics &amp; Space Administration (NASA); NASA Goddard Space Flight Center; Universite Paris Cite; National Aeronautics &amp; Space Administration (NASA); NASA Jet Propulsion Laboratory (JPL); GAMMA Remote Sensing AG; Ministry of Forestry &amp; Water Affairs - Turkey; Instituto Nacional de Pesquisas Espaciais (INPE); George Washington University; University of California System; University of California Santa Barbara; University of California System; University of California Los Angeles; Natural Resources Canada; Lands &amp; Minerals Sector - Natural Resources Canada; Geological Survey of Canada; National Oceanic Atmospheric Admin (NOAA) - USA; University System of Maryland; University of Maryland College Park; Ministry of Earth Sciences (MoES) - India; India Meteorological Department (IMD); University of Colorado System; University of Colorado Boulder; University of Washington; University of Washington Seattle; Deutscher Wetterdienst; NILU; Chinese Academy of Sciences; Institute of Geographic Sciences &amp; Natural Resources Research, CAS; National Science Foundation (NSF); City University of New York (CUNY) System; City College of New York (CUNY); Nansen Environmental &amp; Remote Sensing Center (NERSC); Yale University; Universite Paris Saclay; CEA; Centre National de la Recherche Scientifique (CNRS); Philipps University Marburg; Universidade de Lisboa; University of Colorado System; University of Colorado Boulder; Utrecht University; Royal Netherlands Meteorological Institute; University of Wisconsin System; University of Wisconsin Madison; University of Victoria; Environment &amp; Climate Change Canada; Canadian Centre for Climate Modelling &amp; Analysis (CCCma); University of Colorado System; University of Colorado Boulder; University of Colorado System; University of Colorado Boulder; Washington State University; Nanjing University of Information Science &amp; Technology; State University of New York (SUNY) System; State University of New York (SUNY) Albany; Louisiana State University System; Louisiana State University; University of Washington; University of Washington Seattle; University of Bremen; California Institute of Technology; National Aeronautics &amp; Space Administration (NASA); NASA Jet Propulsion Laboratory (JPL); Tokyo University of Marine Science &amp; Technology; Chinese Academy of Sciences; Cold &amp; Arid Regions Environmental &amp; Engineering Research Institute, CAS</t>
  </si>
  <si>
    <t>Loyola, Diego/GYO-3213-2022; Rennermalm, Asa K/I-3270-2012; Tang, Qiuhong/ABA-2194-2021; Barriopedro, David/C-1421-2008; Johnson, Gregory C/I-6559-2012; Kim, Tae-Wan/JGM-9981-2023; Jensen, Trine Schmidt/ABC-4085-2021; wilber, anne/F-6270-2011; Zhang, Peiqun/AAQ-5385-2020; Kramarova, Natalya A/D-2270-2014; Hanna, Edward/W-5927-2019; HURST, DALE/AAC-9948-2022; Frolov, Ivan/L-2908-2018; Jones, Luke/GWQ-5302-2022; Thompson, Philip R/H-4509-2013; Frith, Stacey/HMD-9437-2023; montzka, stephen/V-6162-2019; Folland, Chris K/I-2524-2013; Drozdov, Dmitry S/N-4264-2018; Franz, Bryan A/D-6284-2012; Clem, Kyle/AAG-6626-2021; Ackerman, Steven A/G-1640-2011; Luo, Jing-Jia/B-2481-2008; Ohno, Hiroshi/L-7899-2014; Davis, Sean/HGC-5795-2022; Wang, Muyin/K-4006-2014; Cámara-Obregón, Asun/G-1216-2016; Dong, Shenfu/I-4435-2013; Hobbs, Will/P-8094-2019; Thorne, Peter/R-6823-2017; Box, Jason/H-5770-2013; Bazo, Juan/AAE-6553-2020; Yamamoto-Kawai, Michiyo/F-7611-2013; Noetzli, Jeannette/ABA-4132-2020; Heikkilä, Anu M/F-1261-2017; Vose, Russell/GSI-5687-2022; van de wal, roderik/D-1705-2011; Mote, Thomas/U-6681-2017; Key, Jeffrey R./AAB-7248-2020; Famiglietti, James/G-7383-2017; Setzer, Alberto W/HCI-4388-2022; Tang, Qiuhong/AAD-9832-2022; Ramos, Alexandre M./A-1998-2009; Hall, Bradley/HZH-3492-2023; Dunn, Robert/O-5910-2016; Wagner, Wolfgang/AAC-5507-2019; Heim, Richard R./H-9667-2017; Bernhard, Germar/AAZ-7169-2020; Weber, Mark/F-1409-2011; Wong, Takmeng/AHD-3210-2022; Sensoy, Serhat/AGI-2242-2022; Bindoff, Nathaniel Lee/C-8050-2011; Blunden, Jessica/G-1309-2012; Arndt, Derek S/J-3022-2013; McCarthy, Gerard D/L-1954-2013; Berry, David I/C-1268-2011; Kaiser, Johannes W./GOP-0832-2022; Reagan/ABE-6875-2020; Wang, JunHong/HKE-0286-2023; Luo, Jing-Jia/T-9612-2019; Rabe, Benjamin/G-2999-2011; L'Heureux, Michelle L/C-7517-2013; Müller, Rolf/A-6669-2013; Alves, Lincoln M/G-8894-2015; Fioletov, Vitali/AAM-1044-2020; Nicolaus, Marcel/A-3658-2013; Wouters, Bert/A-5301-2017; Hu, Zeng-Zhen/B-4373-2011; Smith, Thomas M./F-5626-2010; Müller, Rolf/ABA-8213-2021; Muhle, Jens/GPX-3244-2022; Garzoli, Silvia/JCP-1471-2023; Baklanov, Alexander/AAB-7460-2022; Box, Jason E/AAE-1654-2019; Espinoza, Jhan Carlo/A-9396-2011; Baringer, Molly O/D-2277-2012; Lin, I-I/J-4695-2013; Loeb, Norman/ABC-7817-2021; Walsh, John/GQI-2785-2022; Ciais, Philippe/A-6840-2011; Timmermans, Mary-Louise/N-5983-2014; Lumpkin, Rick/C-9615-2009; Bulygina, Olga/H-1251-2016; Garzoli, Silvia L/A-3556-2010; Francis, Jennifer/JPX-0349-2023; Bruhwiler, Lori/AAQ-8502-2020; Wong, Takmeng/AHD-3691-2022; Law, Kathy/Q-1290-2018; Rosenlof, Karen H/B-5652-2008; Durán-Quesada, Ana María/ABG-4788-2020; Willis, Josh/AGY-7817-2022; Schmid, Claudia/D-5875-2013; Newman, Paul A/D-6208-2012; Rennie, Jared J/E-2984-2015; Trigo, Ricardo/Q-8391-2019; Zhao, Lin/M-9536-2018; Schmale, Julia Yvonne/Q-3942-2019; McVicar, Tim R/D-8614-2011; Heidinger, Andrew/F-5591-2010; Lakkala, Kaisa/AAN-4342-2020; Shu, Song/AAV-6083-2020; McInnes, Kathleen Lynne/A-7787-2012; Trachte, Katja/M-7310-2015; Goni, Gustavo J/D-2017-2012; Wang, Chunzai/C-9712-2009; McBride, Charlotte/GSI-4733-2022; Alfaro, Eric/AAV-3131-2021; Hendricks, Stefan/D-5168-2011; Bindoff, Nathaniel Lee/IVV-0333-2023; Dutton, Geoffrey Scott/V-9977-2019; Hurst, Dale/D-1554-2016; Smeed, David/B-4726-2012; Bernhard, Germar H/B-4460-2018; Donat, Markus/J-8331-2012; Duguay, Claude R/G-5682-2011; Santee, MIchelle/R-5762-2019; Leuliette, Eric/D-1527-2010; Feely, Richard A./ABI-5740-2020; Vautard, Robert/ABF-9489-2020; Rajeevan, Madhavan Nair/ABG-8604-2021; Knaff, John A./F-5599-2010; Hidalgo, Hugo G./I-7170-2019; van der Werf, Guido/JXY-9197-2024; Frajka-Williams, Eleanor/H-2415-2011; Stohl, Andreas/A-7535-2008; Dlugokencky, Edward/AAN-8746-2020; Domingues, Catia M./A-2901-2015; Meier, Walter/AAI-9583-2021; Steinbrecht, Wolfgang/G-6113-2010; Diamond, Howard/ABC-9877-2021; Klotzbach, Philip J/P-1911-2014; Keyes, Dennis/AAZ-9285-2021; Davis, Sean/C-9570-2011; Augustine, John/AAG-8203-2019; Ho, shu-peng/E-5199-2019; Brown, Laura C/F-5932-2011; Werdell, Jeremy/D-8265-2012; KIM, HYUNGJUN/I-5099-2014; Cooper, Owen/H-4875-2013; Luojus, Kari/AAO-7912-2020; Oki, Taikan/E-5778-2010; Wouters, Bert/AAA-4254-2019; Thorne, Peter/HZL-3928-2023; Volkov, Denis/A-6079-2011; Jensen, Trine Schmidt/M-5160-2014; Camargo, Suzana J./C-6106-2009; Schreck, Carl/B-8711-2011; Rodell, Matthew/E-4946-2012; Dorigo, Wouter/C-7794-2014; Streletskiy, Dmitry/C-3333-2017; Bloshkina, Ekaterina/I-6901-2015; Meinen, Christopher/G-1902-2012; Derksen, Chris/S-9828-2017; Menendez, Melisa/L-4600-2014; sweet, william/D-4310-2019</t>
  </si>
  <si>
    <t>Tang, Qiuhong/0000-0002-0886-6699; Barriopedro, David/0000-0001-6476-944X; Johnson, Gregory C/0000-0002-8023-4020; Kim, Tae-Wan/0000-0001-5257-7256; Jensen, Trine Schmidt/0000-0002-0649-4844; Hanna, Edward/0000-0002-8683-182X; HURST, DALE/0000-0002-6315-2322; Frolov, Ivan/0000-0002-6586-354X; Thompson, Philip R/0000-0002-0875-4208; Frith, Stacey/0000-0001-6894-0574; montzka, stephen/0000-0002-9396-0400; Folland, Chris K/0000-0002-3143-5918; Clem, Kyle/0000-0002-1419-2758; Luo, Jing-Jia/0000-0003-2181-0638; Davis, Sean/0000-0001-9276-6158; Wang, Muyin/0000-0001-5233-4588; Cámara-Obregón, Asun/0000-0003-3747-1642; Dong, Shenfu/0000-0001-8247-8072; Hobbs, Will/0000-0002-2061-0899; Thorne, Peter/0000-0003-0485-9798; Box, Jason/0000-0003-0052-8705; Bazo, Juan/0000-0001-9204-5908; Noetzli, Jeannette/0000-0001-9188-6318; van de wal, roderik/0000-0003-2543-3892; Famiglietti, James/0000-0002-6053-5379; Setzer, Alberto W/0000-0002-2466-7366; Ramos, Alexandre M./0000-0003-3129-7233; Hall, Bradley/0000-0002-2451-8416; Dunn, Robert/0000-0003-2469-5989; Wagner, Wolfgang/0000-0001-7704-6857; Bernhard, Germar/0000-0002-1264-0756; Sensoy, Serhat/0000-0002-6150-6035; Bindoff, Nathaniel Lee/0000-0001-5662-9519; Arndt, Derek S/0000-0001-7698-6740; Kaiser, Johannes W./0000-0003-3696-9123; Reagan/0000-0002-0021-6210; Luo, Jing-Jia/0000-0003-2181-0638; Rabe, Benjamin/0000-0001-5794-9856; Fioletov, Vitali/0000-0002-2731-5956; Nicolaus, Marcel/0000-0003-0903-1746; Hu, Zeng-Zhen/0000-0002-8485-3400; Smith, Thomas M./0000-0001-7469-7849; Müller, Rolf/0000-0002-5024-9977; Muhle, Jens/0000-0001-9776-3642; Baklanov, Alexander/0000-0002-5396-8440; Box, Jason E/0000-0003-0052-8705; Espinoza, Jhan Carlo/0000-0001-7732-8504; Lin, I-I/0000-0002-8364-8106; Walsh, John/0000-0002-2510-8734; Ciais, Philippe/0000-0001-8560-4943; Lumpkin, Rick/0000-0002-6690-1704; Bruhwiler, Lori/0000-0002-3554-9250; Law, Kathy/0000-0003-4479-903X; Rosenlof, Karen H/0000-0002-0903-8270; Durán-Quesada, Ana María/0000-0003-0913-0154; Trigo, Ricardo/0000-0002-4183-9852; Zhao, Lin/0000-0003-0245-8413; Schmale, Julia Yvonne/0000-0002-1048-7962; McVicar, Tim R/0000-0002-0877-8285; Lakkala, Kaisa/0000-0003-2840-1132; Trachte, Katja/0000-0003-4269-9668; Wang, Chunzai/0000-0002-7611-0308; McBride, Charlotte/0000-0001-9557-7520; Alfaro, Eric/0000-0001-9278-5017; Hendricks, Stefan/0000-0002-1412-3146; Bindoff, Nathaniel Lee/0000-0001-5662-9519; Dutton, Geoffrey Scott/0000-0001-7777-9268; Hurst, Dale/0000-0002-6315-2322; Smeed, David/0000-0003-1740-1778; Donat, Markus/0000-0002-0608-7288; Leuliette, Eric/0000-0002-3425-4039; Rajeevan, Madhavan Nair/0000-0002-3000-2459; Hidalgo, Hugo G./0000-0003-4638-0742; Frajka-Williams, Eleanor/0000-0001-8773-7838; Stohl, Andreas/0000-0002-2524-5755; Dlugokencky, Edward/0000-0003-0612-6985; Domingues, Catia M./0000-0001-5100-4595; Davis, Sean/0000-0001-9276-6158; Augustine, John/0000-0002-6645-7404; Ho, shu-peng/0000-0002-3010-8544; Brown, Laura C/0000-0002-3173-8433; KIM, HYUNGJUN/0000-0003-1083-8416; Cooper, Owen/0000-0001-7391-1161; Luojus, Kari/0000-0002-4066-6005; Oki, Taikan/0000-0003-4067-4678; Wouters, Bert/0000-0002-1086-2435; Volkov, Denis/0000-0002-9290-0502; Camargo, Suzana J./0000-0002-0802-5160; LUHUNGA, PHILBERT MODEST/0000-0002-8909-1003; Benedetti, Angela/0000-0002-9971-9976; Toole, John/0000-0003-2905-0637; Loyola R., Diego G./0000-0002-8547-9350; Massom, Robert/0000-0003-1533-5084; McCarthy, Gerard Daniel/0000-0002-2363-0561; Duguay, Claude/0000-0002-1044-5850; Siegel, David/0000-0003-1674-3055; Shiklomanov, NIkolay/0000-0002-8609-0240; NISHINO, Shigeto/0000-0002-0560-241X; Schreck, Carl/0000-0001-9331-5754; Obregon, Andre/0000-0001-8759-4451; Lazzara, Matthew/0000-0002-4343-498X; Rodell, Matthew/0000-0003-0106-7437; Fettweis, Xavier/0000-0002-4140-3813; Dorigo, Wouter/0000-0001-8054-7572; Coldewey-Egbers, Melanie/0000-0002-9275-498X; Streletskiy, Dmitry/0000-0003-2563-2664; Lieser, Jan/0000-0001-6870-1311; Rennermalm, Asa/0000-0002-2470-7444; Bloshkina, Ekaterina/0000-0002-2078-7459; Meinen, Christopher/0000-0002-8846-6002; Steele, Michael/0000-0001-5083-1775; Lyman, John/0000-0002-7200-4663; Derksen, Chris/0000-0001-6821-5479; Menendez, Melisa/0000-0002-5168-257X; Kanzow, Torsten/0000-0002-5786-3435; sweet, william/0000-0002-0149-8336; Hanssen-Bauer, Inger/0000-0002-5122-0607; Meier, Walter/0000-0003-2857-0550; Dolman, A.J./0000-0003-0099-0457; SCAMBOS, Ted A./0000-0003-4268-6322; Walsh, John/0000-0001-9541-5927; Reagan, James/0000-0002-6409-0645</t>
  </si>
  <si>
    <t>Directorate For Geosciences; Div Atmospheric &amp; Geospace Sciences [1033112] Funding Source: National Science Foundation; Office of Polar Programs (OPP); Directorate For Geosciences [1002119, 1245663] Funding Source: National Science Foundation; Office of Polar Programs (OPP); Directorate For Geosciences [1304555] Funding Source: National Science Foundation</t>
  </si>
  <si>
    <t>Directorate For Geosciences; Div Atmospheric &amp; Geospace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</si>
  <si>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0003-0007</t>
  </si>
  <si>
    <t>1520-0477</t>
  </si>
  <si>
    <t>B AM METEOROL SOC</t>
  </si>
  <si>
    <t>Bull. Amer. Meteorol. Soc.</t>
  </si>
  <si>
    <t>S1</t>
  </si>
  <si>
    <t>S257</t>
  </si>
  <si>
    <t>10.1175/2014BAMSStateoftheClimate.1</t>
  </si>
  <si>
    <t>AO0EC</t>
  </si>
  <si>
    <t>Green Accepted, Green Submitted, Bronze, Green Published</t>
  </si>
  <si>
    <t>WOS:000340980900001</t>
  </si>
  <si>
    <t>Meynier, L; Morel, PCH; Chilvers, BL; Mackenzie, DDS; Duignan, PJ</t>
  </si>
  <si>
    <t>Meynier, Laureline; Morel, Patrick C. H.; Chilvers, B. Louise; Mackenzie, Duncan D. S.; Duignan, Padraig J.</t>
  </si>
  <si>
    <t>Foraging diversity in lactating New Zealand sea lions: insights from qualitative and quantitative fatty acid analysis</t>
  </si>
  <si>
    <t>CANADIAN JOURNAL OF FISHERIES AND AQUATIC SCIENCES</t>
  </si>
  <si>
    <t>ANTARCTIC FUR SEALS; ARCTOCEPHALUS-GAZELLA; SIGNATURE ANALYSIS; PHOCARCTOS-HOOKERI; DIET; BLUBBER; PREDATOR; HABITAT; VARIABILITY; STRATEGIES</t>
  </si>
  <si>
    <t>Lactating New Zealand (NZ) sea lions (Phocarctos hookeri) exhibit different foraging patterns during their foraging trips, with benthic divers spending more energy at sea than mesopelagic conspecifics. We compared blubber fatty acids (FAs) of 14 benthic and 12 mesopelagic females captured at the Auckland Islands, NZ subantarctic, in late January 2000 using an analysis of similarities (ANOSIM). FA profiles between foraging types were significantly different (global R = 0.30, p = 0.001), suggesting a different use in prey resources. We then compared the diet predictions by quantitative FA signature analysis (QFASA) by using a prey FA library available in the region. Overall, diet predictions were significantly distinct between benthic and mesopelagic females (global R = 0.17, p = 0.022), although the diets consisted of the same prey but in different contributions. The results suggest benthic females do not compensate their higher foraging costs by feeding on prey with higher energy densities. Foraging areas of benthic females are not exploited by the trawling fishery; therefore, the benthic tactic might be a trade-off between a higher foraging cost and less resource competition.</t>
  </si>
  <si>
    <t>[Meynier, Laureline; Morel, Patrick C. H.] Massey Univ, Inst Vet Anim &amp; Biomed Sci, Palmerston North 4442, New Zealand; [Chilvers, B. Louise] Dept Conservat, Aquat &amp; Threats Unit, Wellington 6011, New Zealand; [Mackenzie, Duncan D. S.] Massey Univ, Inst Food Nutr &amp; Human Hlth, Palmerston North 4442, New Zealand; [Duignan, Padraig J.] Univ Calgary, Dept Ecosyst &amp; Publ Hlth, Calgary, AB T2N 4N1, Canada</t>
  </si>
  <si>
    <t>Massey University; Massey University; University of Calgary</t>
  </si>
  <si>
    <t>Meynier, L (corresponding author), Massey Univ, Inst Vet Anim &amp; Biomed Sci, Private Bag 11-222, Palmerston North 4442, New Zealand.</t>
  </si>
  <si>
    <t>L.Meynier@massey.ac.nz</t>
  </si>
  <si>
    <t>Chilvers, B. Louise/AAV-1965-2021</t>
  </si>
  <si>
    <t>Chilvers, B. Louise/0000-0002-7657-4217</t>
  </si>
  <si>
    <t>DOC, RDI Division [1638]; Lewis Fitch Research Fund; Massey University Research Fund; Whale and Dolphin Adoption Project; NZ DOC; NZ Ministry of Primary Industries</t>
  </si>
  <si>
    <t>DOC, RDI Division; Lewis Fitch Research Fund; Massey University Research Fund; Whale and Dolphin Adoption Project; NZ DOC; NZ Ministry of Primary Industries</t>
  </si>
  <si>
    <t>Captures of females were conducted under permit from the NZ Department of Conservation (DOC) and were funded by DOC, RD&amp;I Division (Investigation No. 1638). Approval for capture and blubber sampling was obtained from DOC Animal Ethics Committee (Approval AEC86, 1 July 1999). We thank Ian Wilkinson and the NZ sea lion team in 2000 for assistance with captures in the field. We are grateful to Jim Roberts and two anonymous reviewers for comments on an earlier version of the manuscript. Ryan Sherriff (Brimble Sherriff Young Limited, NZ) programmed the optimization model for Massey University. This project was sponsored by Lewis Fitch Research Fund, Massey University Research Fund, the Whale and Dolphin Adoption Project, the NZ DOC, and the NZ Ministry of Primary Industries (the former Ministry of Fisheries).</t>
  </si>
  <si>
    <t>CANADIAN SCIENCE PUBLISHING</t>
  </si>
  <si>
    <t>OTTAWA</t>
  </si>
  <si>
    <t>65 AURIGA DR, SUITE 203, OTTAWA, ON K2E 7W6, CANADA</t>
  </si>
  <si>
    <t>0706-652X</t>
  </si>
  <si>
    <t>1205-7533</t>
  </si>
  <si>
    <t>CAN J FISH AQUAT SCI</t>
  </si>
  <si>
    <t>Can. J. Fish. Aquat. Sci.</t>
  </si>
  <si>
    <t>10.1139/cjfas-2013-0479</t>
  </si>
  <si>
    <t>Fisheries; Marine &amp; Freshwater Biology</t>
  </si>
  <si>
    <t>AL3BI</t>
  </si>
  <si>
    <t>WOS:000338999600003</t>
  </si>
  <si>
    <t>Nield, GA; Barletta, VR; Bordoni, A; King, MA; Whitehouse, PL; Clarke, PJ; Domack, E; Scambos, TA; Berthier, E</t>
  </si>
  <si>
    <t>Nield, Grace A.; Barletta, Valentina R.; Bordoni, Andrea; King, Matt A.; Whitehouse, Pippa L.; Clarke, Peter J.; Domack, Eugene; Scambos, Ted A.; Berthier, Etienne</t>
  </si>
  <si>
    <t>Rapid bedrock uplift in the Antarctic Peninsula explained by viscoelastic response to recent ice unloading</t>
  </si>
  <si>
    <t>Antarctic Peninsula; Larsen B; ice-mass loss; viscoelastic uplift; GPS; upper mantle viscosity</t>
  </si>
  <si>
    <t>SHELF; GLACIER; LARSEN; RETREAT; EARTH; DISINTEGRATION; ELEVATION; SURFACE</t>
  </si>
  <si>
    <t>Since 1995 several ice shelves in the Northern Antarctic Peninsula have collapsed and triggered ice-mass unloading, invoicing a solid Earth response that has been recorded at continuous GPS (cGPS) stations. A previous attempt to model the observation of rapid uplift following the 2002 breakup of Larsen B Ice Shelf was limited by incomplete knowledge of the pattern of ice unloading and possibly the assumption of an elastic-only mechanism. We make use of a new high resolution dataset of ice elevation change that captures ice-mass loss north of 66 S to first show that non-linear uplift of the Palmer cGPS station since 2002 cannot be explained by elastic deformation alone. We apply a viscoelastic model with linear Maxwell rheology to predict uplift since 1995 and test the fit to the Palmer cGPS time series, finding a well constrained upper mantle viscosity but less sensitivity to lithospheric thickness. We further constrain the best fitting Earth model by including six cGPS stations deployed after 2009 (the LARISSA network), with vertical velocities in the range 1.7 to 14.9 mm/yr. This results in a best fitting Earth model with lithospheric thickness of 100-140 km and upper mantle viscosity of 6 x 10(17)-2 x 10(18) Pas - much lower than previously suggested for this region. Combining the LARISSA time series with the Palmer cGPS time series offers a rare opportunity to study the time-evolution of the low-viscosity solid Earth response to a well-captured ice unloading event. (C) 2014 The Authors. Published by Elsevier B.V.</t>
  </si>
  <si>
    <t>[Nield, Grace A.; King, Matt A.; Clarke, Peter J.] Newcastle Univ, Sch Civil Engn &amp; Geosci, Newcastle Upon Tyne NE1 7RU, Tyne &amp; Wear, England; [Barletta, Valentina R.] Tech Univ Denmark, DTU Space, DK-2800 Lyngby, Denmark; [Bordoni, Andrea] Tech Univ Denmark, DTU Phys, DK-2800 Lyngby, Denmark; [Bordoni, Andrea] Tech Univ Denmark, DTU Compute, DK-2800 Lyngby, Denmark; [King, Matt A.] Univ Tasmania, Sch Land &amp; Food, Hobart, Tas, Australia; [Whitehouse, Pippa L.] Univ Durham, Dept Geog, Durham, England; [Domack, Eugene] Hamilton Coll, Dept Geosci, Clinton, NY 13323 USA; [Scambos, Ted A.] Univ Colorado, CIRES, Natl Snow &amp; Ice Data Ctr, Boulder, CO 80309 USA; [Berthier, Etienne] Univ Toulouse, LEGOS, CNRS, Toulouse, France</t>
  </si>
  <si>
    <t>Newcastle University - UK; Technical University of Denmark; Technical University of Denmark; Technical University of Denmark; University of Tasmania; Durham University; Hamilton College; University of Colorado System; University of Colorado Boulder; Universite de Toulouse; Universite Toulouse III - Paul Sabatier; Centre National de la Recherche Scientifique (CNRS); Institut de Recherche pour le Developpement (IRD); Laboratoire d'Etudes en Geophysique et oceanographie spatiales</t>
  </si>
  <si>
    <t>Nield, GA (corresponding author), Newcastle Univ, Sch Civil Engn &amp; Geosci, Newcastle Upon Tyne NE1 7RU, Tyne &amp; Wear, England.</t>
  </si>
  <si>
    <t>g.a.nield@newcastle.ac.uk</t>
  </si>
  <si>
    <t>Clarke, Peter John/B-1783-2008; Berthier, Etienne/B-8900-2009; Barletta, Valentina R./E-9128-2012; Scambos, Ted A/B-1856-2009; King, Matt/B-4622-2008; Nield, Grace/I-8366-2012</t>
  </si>
  <si>
    <t>Clarke, Peter John/0000-0003-1276-8300; Berthier, Etienne/0000-0001-5978-9155; King, Matt/0000-0001-5611-9498; SCAMBOS, Ted A./0000-0003-4268-6322; Barletta, Valentina Roberta/0000-0003-4427-0830; Whitehouse, Pippa/0000-0002-9092-3444; Nield, Grace/0000-0002-3897-7904</t>
  </si>
  <si>
    <t>NERC PhD studentship; Australian Research Council Future Fellowship [FT110100207]; NERC Independeht Research Fellowship [NE/K009958/1]; VE-CLOV3RS; NSF [OPP-ANT-0732467]; NERC [NE/F01466X/1, NE/I027681/1, NE/K009958/1] Funding Source: UKRI; Office of Polar Programs (OPP); Directorate For Geosciences [1430002] Funding Source: National Science Foundation; Natural Environment Research Council [NE/F01466X/1, NE/I027681/1, 1105036, NE/K009958/1] Funding Source: researchfish</t>
  </si>
  <si>
    <t>NERC PhD studentship(UK Research &amp; Innovation (UKRI)Natural Environment Research Council (NERC)); Australian Research Council Future Fellowship(Australian Research Council); NERC Independeht Research Fellowship(UK Research &amp; Innovation (UKRI)Natural Environment Research Council (NERC)); VE-CLOV3RS; NSF(National Science Foundation (NSF)); 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</si>
  <si>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G.A.N. is supported by a NERC PhD studentship, M.A.K. is a recipient of an Australian Research Council Future Fellowship (project number FT110100207), and P.L.W. is a recipient of a NERC Independeht Research Fellowship (NE/K009958/1). VE-CLOV3RS was developed by V.R.B and A.B in a self-funded project. Installation of the LARISSA cGPS network was supported by NSF grant OPP-ANT-0732467 to E.W.D. while data acquisition and station vitality are supported by UNAVCO. Support of field logistics for station installation was provided by the crew and staff aboard the USAP vessels L.M. Gould and N.B. Palmer; we thank them and LARISSA colleagues for invaluable assistance. E.B. acknowledges support from the French Space Agency (CNES) through the TOSCA and ISIS programs (proposal numbers 282, 528 and 638). SPOT5 DEM were provided by the SPIRIT project (Korona et al., 2009) funded by the CNES. We acknowledge Christopher Shuman of the University of Maryland, Baltimore County and Terry Haran of NSIDC for their contributions to the elevation change data set. We also thank Michael Bevis for helpful discussions on the Palmer time series, and Michiel van den Broeke and Jan Lenaerts for providing SMB output from RACMO2.1/ANT27. Figures have been generated using the GMT software (Wessel and Smith, 1998). Erik Ivins and an anonymous reviewer are thanked for their comments that helped clarify and improve the manuscript.</t>
  </si>
  <si>
    <t>10.1016/j.epsl.2014.04.019</t>
  </si>
  <si>
    <t>AJ3GL</t>
  </si>
  <si>
    <t>WOS:000337554400004</t>
  </si>
  <si>
    <t>Hollis, CJ; Tayler, MJS; Andrew, B; Taylor, KW; Lurcock, P; Bijl, PK; Kulhanek, DK; Crouch, EM; Nelson, CS; Pancost, RD; Huber, M; Wilson, GS; Ventura, GT; Crampton, JS; Schioler, P; Phillips, A</t>
  </si>
  <si>
    <t>Hollis, Christopher J.; Tayler, Michael J. S.; Andrew, Benjamin; Taylor, Kyle W.; Lurcock, Pontus; Bijl, Peter K.; Kulhanek, Denise K.; Crouch, Erica M.; Nelson, Campbell S.; Pancost, Richard D.; Huber, Matthew; Wilson, Gary S.; Ventura, G. Todd; Crampton, James S.; Schioler, Poul; Phillips, Andy</t>
  </si>
  <si>
    <t>Organic-rich sedimentation in the South Pacific Ocean associated with Late Paleocene climatic cooling</t>
  </si>
  <si>
    <t>Paleogene; Paleoclimate; Regional cooling; Sea level fall; Organic fades; Geochemistry</t>
  </si>
  <si>
    <t>NEW-ZEALAND; SEA-LEVEL; PALEOCEANOGRAPHIC SIGNIFICANCE; MARSHALL PARACONFORMITY; ISOTOPE STRATIGRAPHY; CONTINENTAL-MARGIN; WHANGAI FORMATION; MEMBRANE-LIPIDS; MEAD STREAM; CARBON</t>
  </si>
  <si>
    <t>A distinctive organic-rich marine mudstone of Late Paleocene age occurs in most of New Zealand's sedimentary basins and has been identified as a potential source rock for oil and gas. Identified as the Waipawa Formation in the East Coast Basin and the Tartan Formation in the Great South and Canterbury Basins, the unit is a relatively uniform massive mudstone that varies greatly in thickness (2-70 m) and grades laterally into distinctive facies equivalents, notably greensand and a thin-bedded siliceous mudstone. All these facies are characterised by relatively high TOC (0.5-10 wt.%) and 13C enrichment (613Groc &gt; 24%.), and we refer to them collectively as Waipawa organofacies. Our detailed stratigraphic and geochemical studies refine the age (58.7 to 59.4 Ma), distribution and nature of the Waipawa organofacies. We have determined that deposition occurred in continental margin settings throughout much of the southwest Pacific under cool, dysoxic conditions associated with a significant influx of terrestrial organic matter, high marine productivity, a global fall in sea level, and a regional unconformity across shallow and deep marine settings. The combination of cool temperatures, lowered sea level and bathyal erosion suggests that deposition was linked to short-lived growth of an Antarctic ice sheet in the earliest Late Paleocene (-59 Ma). (C) 2014 Elsevier B.V. All rights reserved.</t>
  </si>
  <si>
    <t>[Hollis, Christopher J.; Kulhanek, Denise K.; Crouch, Erica M.; Ventura, G. Todd; Crampton, James S.; Schioler, Poul; Phillips, Andy] GNS Sci, Lower Hutt, New Zealand; [Tayler, Michael J. S.; Andrew, Benjamin; Nelson, Campbell S.] Univ Waikato, Dept Earth Sci, Hamilton, New Zealand; [Taylor, Kyle W.; Pancost, Richard D.] Univ Bristol, Bristol Biogeochem Res Ctr, Bristol BS8 1TS, Avon, England; [Lurcock, Pontus; Wilson, Gary S.] Univ Otago, Dept Geol, Dunedin, New Zealand; [Phillips, Andy] Victoria Univ Wellington, Wellington, New Zealand; [Bijl, Peter K.] Univ Utrecht, Dept Earth Sci, Lab Palaeobot &amp; Palynol, NL-3584 CD Utrecht, Netherlands; [Kulhanek, Denise K.] Texas A&amp;M Univ, Integrated Ocean Drilling Program, College Stn, TX 77845 USA; [Huber, Matthew] Univ New Hampshire, Dept Earth Sci, Durham, NH 03824 USA; [Schioler, Poul] Morgan Goodall Palaeo, Maitland, SA 5373, Australia</t>
  </si>
  <si>
    <t>GNS Science - New Zealand; University of Waikato; University of Bristol; University of Otago; Victoria University Wellington; Utrecht University; Texas A&amp;M University System; Texas A&amp;M University College Station; University System Of New Hampshire; University of New Hampshire</t>
  </si>
  <si>
    <t>Hollis, CJ (corresponding author), GNS Sci, POB 30-368, Lower Hutt, New Zealand.</t>
  </si>
  <si>
    <t>c.hollis@gns.cri.nz</t>
  </si>
  <si>
    <t>Crouch, Erica M/C-2820-2013; Wilson, Gary S/B-3803-2010; Huber, Matthew/A-7677-2008; Lurcock, Pontus/M-1470-2014; Crampton, James/G-1381-2012</t>
  </si>
  <si>
    <t>Huber, Matthew/0000-0002-2771-9977; Kulhanek, Denise/0000-0002-2156-6383; Lurcock, Pontus/0000-0001-6994-071X; Wilson, Gary/0000-0003-0025-3641; Pancost, Richard/0000-0003-0298-4026; Hollis, Christopher John/0000-0001-8840-9852; Crampton, James/0000-0003-3270-9981; Andrew, Benjamin/0000-0001-9121-7827; Bijl, Peter/0000-0002-1710-4012</t>
  </si>
  <si>
    <t>Netherlands Organisation for Scientific Research (NWO - VENI) [863.13.002]; Biotechnology and Biological Sciences Research Council [1239307] Funding Source: researchfish; Office Of The Director; EPSCoR [1101245] Funding Source: National Science Foundation</t>
  </si>
  <si>
    <t>Netherlands Organisation for Scientific Research (NWO - VENI)(Netherlands Organization for Scientific Research (NWO)); Biotechnology and Biological Sciences Research Council(UK Research &amp; Innovation (UKRI)Biotechnology and Biological Sciences Research Council (BBSRC)); Office Of The Director; EPSCoR(National Science Foundation (NSF)NSF - Office of the Director (OD)NSF - Office of Integrative Activities (OIA))</t>
  </si>
  <si>
    <t>We thank Sonja Fry, Randall McDonnell, Karyne Rogers, Marianna Terezow and Roger Tremain (all GNS Science) for technical assistance; Graeme Wilson for dinocyst data for Te Hoe River; GNS colleagues, Dominic Strogen and Kyle Bland provided helpful advice on stratigraphy. This research used samples and data provided by the Integrated Ocean Drilling Program (IODP). Funding for this research was provided by the New Zealand Marsden Fund and the GNS Global Change through Time Programme. PKB acknowledges funding from the Netherlands Organisation for Scientific Research (NWO - VENI Grant No. 863.13.002).</t>
  </si>
  <si>
    <t>10.1016/j.earscirev.2014.03.006</t>
  </si>
  <si>
    <t>AJ7CW</t>
  </si>
  <si>
    <t>WOS:000337855800004</t>
  </si>
  <si>
    <t>Leaper, R; Dunstan, PK; Foster, SD; Barrett, NS; Edgar, GJ</t>
  </si>
  <si>
    <t>Leaper, Rebecca; Dunstan, Piers K.; Foster, Scott D.; Barrett, Neville S.; Edgar, Graham J.</t>
  </si>
  <si>
    <t>Do communities exist? Complex patterns of overlapping marine species distributions</t>
  </si>
  <si>
    <t>Clements; community; composition; Gleason; grouping; prediction; species archetype; structure; subtidal rocky reefs</t>
  </si>
  <si>
    <t>BIODIVERSITY; DISSIMILARITY; PREDICTIONS; TRAITS; MODELS</t>
  </si>
  <si>
    <t>Understanding the way in which species are associated in communities is a fundamental question in ecology. Yet there remains a tension between communities as highly structured units or as coincidental collections of individualistic species. We explored these ideas using a new statistical approach that clusters species based on their environmental response: a species archetype, rather than clustering sites based on their species composition. We found groups of species that are consistently highly correlated, but that these groups are not unique to any set of locations and overlap spatially. The species present at a. single site are a realization of species from the (multiple) archetype groups that are likely to be present at that location based on their response to the environment.</t>
  </si>
  <si>
    <t>[Leaper, Rebecca; Barrett, Neville S.; Edgar, Graham J.] Univ Tasmania, Inst Marine &amp; Antarctic Studies, Hobart, Tas 7001, Australia; [Dunstan, Piers K.; Foster, Scott D.] CSIRO Wealth Oceans Flagship, Hobart, Tas 7001, Australia</t>
  </si>
  <si>
    <t>University of Tasmania; Commonwealth Scientific &amp; Industrial Research Organisation (CSIRO)</t>
  </si>
  <si>
    <t>Dunstan, PK (corresponding author), CSIRO Wealth Oceans Flagship, GPO Box 1538, Hobart, Tas 7001, Australia.</t>
  </si>
  <si>
    <t>Piers.Dunstan@csiro.au</t>
  </si>
  <si>
    <t>Edgar, Graham/C-8341-2013; Edgar, Graham/AAY-3797-2020; Dunstan, Piers K/B-7309-2016; Foster, Scott/E-9311-2010; Barrett, Neville/J-7593-2014</t>
  </si>
  <si>
    <t>Edgar, Graham/0000-0003-0833-9001; Edgar, Graham/0000-0003-0833-9001; Foster, Scott/0000-0002-6719-8002; Barrett, Neville/0000-0002-6167-1356</t>
  </si>
  <si>
    <t>Commonwealth Environment Research Facilities (CERF) program, an Australian Government initiative</t>
  </si>
  <si>
    <t>Commonwealth Environment Research Facilities (CERF) program, an Australian Government initiative(Australian Government)</t>
  </si>
  <si>
    <t>We dedicate this manuscript to Rebecca Leaper, who passed away before publication. She will be missed. This work has been funded through the Commonwealth Environment Research Facilities (CERF) program, an Australian Government initiative supporting world class, public-good research. The CERF Marine Biodiversity Hub is a collaborative partnership between the University of Tasmania, CSIRO Wealth from Oceans Flagship, Geoscience Australia, Australian Institute of Marine Science and Museum Victoria. R. Leaper initiated the idea of this study. N. S. Barrett and G. J. Edgar collected the field data. P. K. Dunstan and S. D. Foster developed the modeling approach. R. Leaper formatted the data and performed the modeling work. R. Leaper, N. S. Barrett, and G. J. Edgar analyzed output data. R. Leaper and P. K. Dunstan wrote the first draft of the manuscript. All authors substantially contributed to revisions.</t>
  </si>
  <si>
    <t>10.1890/13-0789.1</t>
  </si>
  <si>
    <t>WOS:000339470500028</t>
  </si>
  <si>
    <t>O'Brien, JD; Didelot, X; Iqbal, Z; Amenga-Etego, L; Ahiska, B; Falush, D</t>
  </si>
  <si>
    <t>O'Brien, John D.; Didelot, Xavier; Iqbal, Zamin; Amenga-Etego, Lucas; Ahiska, Bartu; Falush, Daniel</t>
  </si>
  <si>
    <t>A Bayesian Approach to Inferring the Phylogenetic Structure of Communities from Metagenomic Data</t>
  </si>
  <si>
    <t>GENETICS</t>
  </si>
  <si>
    <t>MAXIMUM-LIKELIHOOD; NEISSERIA-MENINGITIDIS; POPULATION; INFERENCE; INFECTIONS; ALIGNMENTS; COALESCENT; PLACEMENT; EVOLUTION; SEQUENCES</t>
  </si>
  <si>
    <t>Metagenomics provides a powerful new tool set for investigating evolutionary interactions with the environment. However, an absence of model-based statistical methods means that researchers are often not able to make full use of this complex information. We present a Bayesian method for inferring the phylogenetic relationship among related organisms found within metagenomic samples. Our approach exploits variation in the frequency of taxa among samples to simultaneously infer each lineage haplotype, the phylogenetic tree connecting them, and their frequency within each sample. Applications of the algorithm to simulated data show that our method can recover a substantial fraction of the phylogenetic structure even in the presence of high rates of migration among sample sites. We provide examples of the method applied to data from green sulfur bacteria recovered from an Antarctic lake, plastids from mixed Plasmodium falciparum infections, and virulent Neisseria meningitidis samples.</t>
  </si>
  <si>
    <t>[O'Brien, John D.] Bowdoin Coll, Dept Math, Brunwswick, ME 04011 USA; [Didelot, Xavier] Univ London Imperial Coll Sci Technol &amp; Med, Sch Publ Hlth, London W2 1PG, England; [Iqbal, Zamin] Univ Oxford, Wellcome Trust Ctr Human Genet, Oxford OX3 7BN, England; [Ahiska, Bartu] Univ Oxford, Dept Stat, Oxford OX1 3TG, England; [Falush, Daniel] Max Planck Inst Evolutionary Anthropol, D-04103 Leipzig, Germany</t>
  </si>
  <si>
    <t>Bowdoin College; Imperial College London; University of Oxford; Wellcome Centre for Human Genetics; University of Oxford; Max Planck Society</t>
  </si>
  <si>
    <t>O'Brien, JD (corresponding author), Bowdoin Coll, Dept Math, 8600 Coll Stn, Brunwswick, ME 04011 USA.</t>
  </si>
  <si>
    <t>jobrien@bowdoin.edu; daniel_falush@eva.mpg.de</t>
  </si>
  <si>
    <t>Didelot, Xavier/P-4282-2019</t>
  </si>
  <si>
    <t>Didelot, Xavier/0000-0003-1885-500X; Iqbal, Zamin/0000-0001-8466-7547</t>
  </si>
  <si>
    <t>MRC [MR/K010174/1] Funding Source: UKRI; Medical Research Council [MR/K010174/1, MR/K010174/1B] Funding Source: researchfish</t>
  </si>
  <si>
    <t>MRC(UK Research &amp; Innovation (UKRI)Medical Research Council UK (MRC)); Medical Research Council(UK Research &amp; Innovation (UKRI)Medical Research Council UK (MRC))</t>
  </si>
  <si>
    <t>GENETICS SOCIETY AMERICA</t>
  </si>
  <si>
    <t>9650 ROCKVILLE AVE, BETHESDA, MD 20814 USA</t>
  </si>
  <si>
    <t>0016-6731</t>
  </si>
  <si>
    <t>1943-2631</t>
  </si>
  <si>
    <t>Genetics</t>
  </si>
  <si>
    <t>10.1534/genetics.114.161299</t>
  </si>
  <si>
    <t>AL8MA</t>
  </si>
  <si>
    <t>Green Submitted, Green Published, Bronze</t>
  </si>
  <si>
    <t>WOS:000339391900011</t>
  </si>
  <si>
    <t>Ferreras, ER; De Maayer, P; Makhalanyane, TP; Guerrero, LD; Aislabie, JM; Cowan, DA</t>
  </si>
  <si>
    <t>Ferreras, Eloy R.; De Maayer, Pieter; Makhalanyane, Thulani P.; Guerrero, Leandro D.; Aislabie, Jackie M.; Cowan, Don A.</t>
  </si>
  <si>
    <t>Draft Genome Sequence of Microbacterium sp. Strain CH12i, Isolated from Shallow Groundwater in Cape Hallett, Antarctica</t>
  </si>
  <si>
    <t>GENOME ANNOUNCEMENTS</t>
  </si>
  <si>
    <t>The Antarctic continent is largely covered by an expansive ice sheet, but it harbors diverse terrestrial and aquatic habitats in the coastal ice-free continental margins. Here we present the draft genome of Microbacterium sp. CH12i, which was isolated from hypersaline, alkaline, and nutrient-rich groundwater from Cape Hallett, northern Victoria Land, Antarctica.</t>
  </si>
  <si>
    <t>[Ferreras, Eloy R.; De Maayer, Pieter; Makhalanyane, Thulani P.; Guerrero, Leandro D.; Cowan, Don A.] Univ Pretoria, Dept Genet, Ctr Microbial Ecol &amp; Genom, Pretoria, South Africa; [Aislabie, Jackie M.] Landcare Res, Hamilton, New Zealand</t>
  </si>
  <si>
    <t>University of Pretoria; Landcare Research - New Zealand</t>
  </si>
  <si>
    <t>Cowan, DA (corresponding author), Univ Pretoria, Dept Genet, Ctr Microbial Ecol &amp; Genom, Pretoria, South Africa.</t>
  </si>
  <si>
    <t>don.cowan@up.ac.za</t>
  </si>
  <si>
    <t>Makhalanyane, Thulani P./C-6815-2012; Cowan, Donald A/E-3991-2012; De Maayer, Pieter/AAC-2732-2020</t>
  </si>
  <si>
    <t>Makhalanyane, Thulani P./0000-0002-8173-1678; Cowan, Donald A/0000-0001-8059-861X;</t>
  </si>
  <si>
    <t>Ministry of Business Innovation and Employment, New Zealand [C09X0307, C09X1001]; Department of Science and Technology of South Africa; New Zealand Ministry of Business, Innovation &amp; Employment (MBIE) [C09X1001] Funding Source: New Zealand Ministry of Business, Innovation &amp; Employment (MBIE)</t>
  </si>
  <si>
    <t>Ministry of Business Innovation and Employment, New Zealand(New Zealand Ministry of Business, Innovation and Employment (MBIE)); Department of Science and Technology of South Africa; New Zealand Ministry of Business, Innovation &amp; Employment (MBIE)(New Zealand Ministry of Business, Innovation and Employment (MBIE))</t>
  </si>
  <si>
    <t>We gratefully acknowledge the South African National Research Foundation and the Genomics Research Institute of the University of Pretoria, the Ministry of Business Innovation and Employment, New Zealand (projects C09X0307 and C09X1001), Antarctica-New Zealand, for field and logistics support, the University of Pretoria DNA Sequencing Facility for sequencing support, and the Centre for High Performance Computing (CHPC), an initiative supported by the Department of Science and Technology of South Africa.</t>
  </si>
  <si>
    <t>2169-8287</t>
  </si>
  <si>
    <t>Genom. Ann.</t>
  </si>
  <si>
    <t>e00789-14</t>
  </si>
  <si>
    <t>10.1128/genomeA.00789-14</t>
  </si>
  <si>
    <t>VI1CS</t>
  </si>
  <si>
    <t>WOS:000460598400124</t>
  </si>
  <si>
    <t>Koo, H; Ptacek, T; Crowley, M; Swain, AK; Osborne, JD; Bej, AK; Andersen, DT</t>
  </si>
  <si>
    <t>Koo, Hyunmin; Ptacek, Travis; Crowley, Michael; Swain, Ashit K.; Osborne, John D.; Bej, Asim K.; Andersen, Dale T.</t>
  </si>
  <si>
    <t>Draft Genome Sequence of Hymenobacter sp. Strain IS2118, Isolated from a Freshwater Lake in Schirmacher Oasis, Antarctica, Reveals Diverse Genes for Adaptation to Cold Ecosystems</t>
  </si>
  <si>
    <t>Hymenobacter sp. IS2118, isolated from a freshwater lake in Schirmacher Oasis, Antarctica, produces extracellular polymeric substance (EPS) and manifests tolerance to cold, UV radiation (UVR), and oxidative stress. We report the 5.26-Mb draft genome of strain IS2118, which will help us to understand its adaptation and survival mechanisms in Antarctic extreme ecosystems.</t>
  </si>
  <si>
    <t>[Koo, Hyunmin; Bej, Asim K.] Univ Alabama Birmingham, Dept Biol, Birmingham, AL 35294 USA; [Ptacek, Travis; Osborne, John D.] Univ Alabama Birmingham, Dept Microbiol, Birmingham, AL 35294 USA; [Crowley, Michael] Univ Alabama Birmingham, Heflin Ctr Genom Sci, Birmingham, AL USA; [Swain, Ashit K.] Geol Survey India, Antarctic Div, Faridabad, India; [Andersen, Dale T.] SETI Inst, Carl Sagan Ctr, Mountain View, CA USA</t>
  </si>
  <si>
    <t>University of Alabama System; University of Alabama Birmingham; University of Alabama System; University of Alabama Birmingham; University of Alabama System; University of Alabama Birmingham; Geological Survey India</t>
  </si>
  <si>
    <t>Koo, H (corresponding author), Univ Alabama Birmingham, Dept Biol, Birmingham, AL 35294 USA.</t>
  </si>
  <si>
    <t>khmkhm87@uab.edu</t>
  </si>
  <si>
    <t>Andersen, Dale T/B-4816-2013; Osborne, John/F-3445-2016</t>
  </si>
  <si>
    <t>Andersen, Dale T/0000-0001-8827-1259; Koo, Hyunmin/0000-0001-6630-2165; Osborne, John/0000-0002-0851-1150</t>
  </si>
  <si>
    <t>Tawani Foundation of Chicago; NASA's Exobiology and Astrobiology Programs; Lorne Trottier of the Trottier Family Foundation; Arctic and Antarctic Research Institute, Russian Antarctic Expedition; National Center for Advancing Translational Sciences of the National Institutes of Health [UL1TR00165]</t>
  </si>
  <si>
    <t>Tawani Foundation of Chicago; NASA's Exobiology and Astrobiology Programs; Lorne Trottier of the Trottier Family Foundation; Arctic and Antarctic Research Institute, Russian Antarctic Expedition; National Center for Advancing Translational Sciences of the National Institutes of Health(United States Department of Health &amp; Human ServicesNational Institutes of Health (NIH) - USANIH National Center for Advancing Translational Sciences (NCATS))</t>
  </si>
  <si>
    <t>The Antarctic expedition was supported by the Tawani Foundation of Chicago, NASA's Exobiology and Astrobiology Programs, Lorne Trottier of the Trottier Family Foundation, and the Arctic and Antarctic Research Institute, Russian Antarctic Expedition. This research was also supported by the National Center for Advancing Translational Sciences of the National Institutes of Health under award number UL1TR00165.</t>
  </si>
  <si>
    <t>e00739-14</t>
  </si>
  <si>
    <t>10.1128/genomeA.00739-14</t>
  </si>
  <si>
    <t>WOS:000460598400095</t>
  </si>
  <si>
    <t>Kemp, DB; Robinson, SA; Crame, JA; Francis, JE; Ineson, J; Whittle, RJ; Bowman, V; O'Brien, C</t>
  </si>
  <si>
    <t>Kemp, David B.; Robinson, Stuart A.; Crame, J. Alistair; Francis, Jane E.; Ineson, Jon; Whittle, Rowan J.; Bowman, Vanessa; O'Brien, Charlotte</t>
  </si>
  <si>
    <t>A cool temperate climate on the Antarctic Peninsula through the latest Cretaceous to early Paleogene</t>
  </si>
  <si>
    <t>TETRAETHER MEMBRANE-LIPIDS; SOUTHWEST PACIFIC-OCEAN; TERTIARY BOUNDARY; SEYMOUR-ISLAND; NEW-ZEALAND; TERRESTRIAL; PROXY; SOILS; CALIBRATION; EXTINCTION</t>
  </si>
  <si>
    <t>Constraining past fluctuations in global temperatures is central to our understanding of the Earth's climatic evolution. Marine proxies dominate records of past temperature reconstructions, whereas our understanding of continental climate is relatively poor, particularly in high-latitude areas such as Antarctica. The recently developed MBT/CBT (methylation index of branched tetraethers/cyclization ratio of branched tetraethers) paleothermometer offers an opportunity to quantify ancient continental climates at temporal resolutions typically not afforded by terrestrial macrofloral proxies. Here, we have extended the application of the MBT/CBT proxy into the Cretaceous by presenting paleotemperatures through an expanded sedimentary succession from Seymour Island, Antarctica, spanning the latest Maastrichtian and Paleocene. Our data indicate the existence of a relatively stable, persistently cool temperate climate on the Antarctic Peninsula across the Cretaceous-Paleogene boundary. These new data help elucidate the climatic evolution of Antarctica across one of the Earth's most pronounced biotic reorganizations at the Cretaceous-Paleogene boundary, prior to major ice-sheet development in the late Paleogene. Our work emphasizes the likely existence of temporal and/or spatial heterogeneities in climate of the southern high latitudes during the early Paleogene.</t>
  </si>
  <si>
    <t>[Kemp, David B.] Open Univ, Ctr Earth &amp; Planetary Sci, Milton Keynes MK7 6AA, Bucks, England; [Robinson, Stuart A.; O'Brien, Charlotte] Univ Oxford, Dept Earth Sci, Oxford OX1 3AN, England; [Crame, J. Alistair; Francis, Jane E.; Whittle, Rowan J.; Bowman, Vanessa] British Antarctic Survey, Cambridge CB3 0ET, England; [Ineson, Jon] Geol Survey Denmark &amp; Greenland, DK-1350 Copenhagen, Denmark</t>
  </si>
  <si>
    <t>Open University - UK; University of Oxford; UK Research &amp; Innovation (UKRI); Natural Environment Research Council (NERC); NERC British Antarctic Survey; Geological Survey Of Denmark &amp; Greenland</t>
  </si>
  <si>
    <t>Kemp, DB (corresponding author), Open Univ, Ctr Earth &amp; Planetary Sci, Walton Hall, Milton Keynes MK7 6AA, Bucks, England.</t>
  </si>
  <si>
    <t>david.kemp@open.ac.uk</t>
  </si>
  <si>
    <t>Kemp, David B/D-7288-2012; Robinson, Stuart/C-4808-2011; Ineson, Jon/G-9800-2018</t>
  </si>
  <si>
    <t>Bowman, Vanessa/0000-0002-4887-3949; Kemp, David/0000-0002-5116-5046; Robinson, Stuart/0000-0003-4329-1058; Ineson, Jon/0000-0003-0017-3705; O'Brien, Charlotte/0000-0003-3579-144X</t>
  </si>
  <si>
    <t>Natural Environment Research Council (UK) [NE/I005803/1, NE/I00582X/1, NE/I005501/1, NE/I02089X/1]; Royal Society; NERC [bas0100026, NE/I005501/1, NE/I005803/1, NE/I00582X/2, NE/I005501/2, NE/I00582X/1] Funding Source: UKRI; Natural Environment Research Council [bas0100026, NE/I005501/1, NE/I005501/2, NE/I00582X/2, NE/I00582X/1, NE/I005803/1] Funding Source: researchfish</t>
  </si>
  <si>
    <t>Natural Environment Research Council (UK)(UK Research &amp; Innovation (UKRI)Natural Environment Research Council (NERC)); Royal Society(Royal Society); NERC(UK Research &amp; Innovation (UKRI)Natural Environment Research Council (NERC)); Natural Environment Research Council(UK Research &amp; Innovation (UKRI)Natural Environment Research Council (NERC))</t>
  </si>
  <si>
    <t>This work was funded by Natural Environment Research Council (UK) grants NE/I005803/1, NE/I00582X/1, NE/I005501/1, and NE/I02089X/1, and a Royal Society University Research Fellowship (Robinson). Support for fieldwork (Ineson) from the Carlsberg Foundation is gratefully acknowledged. We thank Jorg Pross for kindly sharing his brGDGT data from Site U1356. We are grateful for discussion with Rich Pancost and the constructive comments of the reviewers.</t>
  </si>
  <si>
    <t>10.1130/G35512.1</t>
  </si>
  <si>
    <t>AM6GJ</t>
  </si>
  <si>
    <t>WOS:000339961400009</t>
  </si>
  <si>
    <t>Huang, XX; Gohl, K; Jokat, W</t>
  </si>
  <si>
    <t>Huang, Xiaoxia; Gohl, Karsten; Jokat, Wilfried</t>
  </si>
  <si>
    <t>Variability in Cenozoic sedimentation and paleo-water depths of the Weddell Sea basin related to pre-glacial and glacial conditions of Antarctica</t>
  </si>
  <si>
    <t>seismic reflection; seismostratigraphy; glaciomarine sedimentation; bacicstripping; paleobathymetry</t>
  </si>
  <si>
    <t>TROUGH-MOUTH FAN; ICE-SHEET; CRUSTAL STRUCTURE; SCOTIA SEA; HISTORY; MIOCENE; EOCENE; PALEOBATHYMETRY; CIRCULATION; PENINSULA</t>
  </si>
  <si>
    <t>The Weddell Sea basin is of particular significance for understanding climate processes, including the generation of ocean water masses and their influence on ocean circulation as well as the dynamics of the Antarctic ice sheets. The sedimentary record, preserved below the basin floor, serves as an archive of the pre-glacial to glacial development of these processes, which were accompanied by tectonic processes in its early glacial phase. Three multichannel seismic reflection transects, in total nearly 5000 km long, are used to interpret horizons and define a seismostratigraphic model for the basin. We expand this initial stratigraphic model to the greater Weddell Sea region through a network of more than 200 additional seismic lines. Information from few boreholes is used to constrain sediment ages in this stratigraphy, supported by magnetic anomalies indicating decreasing oceanic basement ages from southeast to northwest. Using these constraints, we calculate grids to depict the depths, thicknesses and sedimentation rates of pre-glacial (145-34 Ma), transitional (34-15 Ma) and full-glacial (15 Ma to present) units. These grids allow us to compare the sedimentary regimes of the pre-glacially dominated and glacially dominated stages of Weddell Sea history. The pre-glacial deposition with thicknesses of up to 5 km was controlled by the tectonic evolution and sea-floor spreading history interacting with terrigenous sediment supply. The transitional unit shows a relatively high sedimentation rate and has thicknesses of up to 3 km, which may attribute to an early formation of the East Antarctic Ice Sheet, which was partly advanced to the coast or even inner shelf. The main deposition center of the full-glacial unit lies in front of the Filchner-Ronne Ice Shelf and has sedimentation rates of up to 140-200 m/Myr, which infers that ice sheets grounded on the middle to the outer shelf and that bottom-water currents strongly impacted the sedimentation. We further calculate paleobathymetric grids at 15 Ma, 34 Ma, and 120 Ma by using a backstripping technique. Our results provide constraints for an improved understanding of the paleo-ice sheet dynamics and paleodimate conditions of the Weddell Sea region. (C) 2014 Elsevier B.V. All rights reserved.</t>
  </si>
  <si>
    <t>[Huang, Xiaoxia; Gohl, Karsten; Jokat, Wilfried] Helmholtz Ctr Polar &amp; Marine Res, Alfred Wegener Inst, D-27568 Bremerhaven, Germany</t>
  </si>
  <si>
    <t>Huang, XX (corresponding author), Helmholtz Ctr Polar &amp; Marine Res, Alfred Wegener Inst, Alten Hafen 26, D-27568 Bremerhaven, Germany.</t>
  </si>
  <si>
    <t>xiaoxia.huang@awi.de</t>
  </si>
  <si>
    <t>Jokat, Wilfried/0000-0002-7793-5854; Huang, Xiaoxia/0000-0002-9978-5404; Gohl, Karsten/0000-0002-9558-2116; Huang, Xiaoxia/0000-0002-0771-9005</t>
  </si>
  <si>
    <t>Chinese Scholarship Council</t>
  </si>
  <si>
    <t>Chinese Scholarship Council(China Scholarship Council)</t>
  </si>
  <si>
    <t>The authors would like to thank the masters, crews and seismic teams of the many ship expeditions to the Weddell Sea who made the acquisition of the data used in this study possible. The British Antarctic Survey (BAS), the German Federal Institute of Geosciences and Resources (BGR) as well as research institutes in Norway and Spain are gratefully acknowledged for their contribution of the used seismic data to the Antarctic Seismic Data Library System (SDLS). We used the GMT graphics software (Smith and Wessel, 1990) for gridding routines and map productions. Many thanks to Graeme Eagles for his careful reading of the manuscript before submission. X.H. has been receiving a PhD scholarship from the Chinese Scholarship Council. This study has primarily been supported through institutional funds of the Alfred Wegener Institute through Work Package 3.2 of its research program PACES.</t>
  </si>
  <si>
    <t>10.1016/j.gloplacha.2014.03.010</t>
  </si>
  <si>
    <t>WOS:000337875900003</t>
  </si>
  <si>
    <t>Chust, G; Allen, JI; Bopp, L; Schrum, C; Holt, J; Tsiaras, K; Zavatarelli, M; Chifflet, M; Cannaby, H; Dadou, I; Daewel, U; Wakelin, SL; Machu, E; Pushpadas, D; Butenschon, M; Artioli, Y; Petihakis, G; Smith, C; Garçon, V; Goubanova, K; Le Vu, B; Fach, BA; Salihoglu, B; Clementi, E; Irigoien, X</t>
  </si>
  <si>
    <t>Chust, Guillem; Allen, J. Icarus; Bopp, Laurent; Schrum, Corinna; Holt, Jason; Tsiaras, Kostas; Zavatarelli, Marco; Chifflet, Marina; Cannaby, Heather; Dadou, Isabelle; Daewel, Ute; Wakelin, Sarah L.; Machu, Eric; Pushpadas, Dhanya; Butenschon, Momme; Artioli, Yuri; Petihakis, George; Smith, Chris; Garcon, Veronique; Goubanova, Katerina; Le Vu, Briac; Fach, Bettina A.; Salihoglu, Baris; Clementi, Emanuela; Irigoien, Xabier</t>
  </si>
  <si>
    <t>Biomass changes and trophic amplification of plankton in a warmer ocean</t>
  </si>
  <si>
    <t>ecosystem model; food web; plankton; primary production; sea warming; trophic amplification</t>
  </si>
  <si>
    <t>EUROPEAN CONTINENTAL-SHELF; MODEL DESCRIPTION; CLIMATE-CHANGE; GLOBAL OCEAN; NORTH-SEA; PART I; ECOSYSTEM; WATER; VARIABILITY; DYNAMICS</t>
  </si>
  <si>
    <t>Ocean warming can modify the ecophysiology and distribution of marine organisms, and relationships between species, with nonlinear interactions between ecosystem components potentially resulting in trophic amplification. Trophic amplification (or attenuation) describe the propagation of a hydroclimatic signal up the food web, causing magnification (or depression) of biomass values along one or more trophic pathways. We have employed 3-D coupled physical-biogeochemical models to explore ecosystem responses to climate change with a focus on trophic amplification. The response of phytoplankton and zooplankton to global climate-change projections, carried out with the IPSL Earth System Model by the end of the century, is analysed at global and regional basis, including European seas (NE Atlantic, Barents Sea, Baltic Sea, Black Sea, Bay of Biscay, Adriatic Sea, Aegean Sea) and the Eastern Boundary Upwelling System (Benguela). Results indicate that globally and in Atlantic Margin and North Sea, increased ocean stratification causes primary production and zooplankton biomass to decrease in response to a warming climate, whilst in the Barents, Baltic and Black Seas, primary production and zooplankton biomass increase. Projected warming characterized by an increase in sea surface temperature of 2.29 +/- 0.05 degrees C leads to a reduction in zooplankton and phytoplankton biomasses of 11% and 6%, respectively. This suggests negative amplification of climate driven modifications of trophic level biomass through bottom-up control, leading to a reduced capacity of oceans to regulate climate through the biological carbon pump. Simulations suggest negative amplification is the dominant response across 47% of the ocean surface and prevails in the tropical oceans; whilst positive trophic amplification prevails in the Arctic and Antarctic oceans. Trophic attenuation is projected in temperate seas. Uncertainties in ocean plankton projections, associated to the use of single global and regional models, imply the need for caution when extending these considerations into higher trophic levels.</t>
  </si>
  <si>
    <t>[Chust, Guillem; Chifflet, Marina; Clementi, Emanuela] AZTI Tecnalia, Div Marine Res, Pasaia 20110, Spain; [Allen, J. Icarus; Butenschon, Momme; Artioli, Yuri] PML, Plymouth PL1 3DH, Devon, England; [Bopp, Laurent] IPSL, LSCE, F-91191 Gif Sur Yvette, France; [Schrum, Corinna; Daewel, Ute; Pushpadas, Dhanya] Univ Bergen GFI UIB, Inst Geophys, N-5007 Bergen, Norway; [Holt, Jason; Cannaby, Heather; Wakelin, Sarah L.] Natl Oceanog Ctr, Liverpool L3 5DA, Merseyside, England; [Tsiaras, Kostas; Petihakis, George; Smith, Chris] HCMR, Mavro Lithari 19013, Anavyssos, Greece; [Zavatarelli, Marco] Alma Mater Studiorum Univ Bologna, Dipartimento Fis &amp; Astron, I-40127 Bologna, Italy; [Zavatarelli, Marco; Clementi, Emanuela] Alma Mater Studiorum Univ Bologna Sede Ravenna, Ctr Interdipartimentale Ric Sci Ambientali, I-48123 Ravenna, Italy; [Cannaby, Heather; Fach, Bettina A.; Salihoglu, Baris] METU, Inst Marine Sci, TR-33731 Erdemli Mersin, Turkey; [Dadou, Isabelle; Garcon, Veronique; Le Vu, Briac; Fach, Bettina A.] UPS, CNRS, CNES, LEGOS,IRD,OMP,UMR5566, F-31400 Toulouse, France; [Daewel, Ute] Nansen Environm &amp; Remote Sensing Ctr, N-5006 Bergen, Norway; [Machu, Eric] UBO, IRD, IFREMER, CNRS,Lab Phys Oceans,UMR6523, F-29280 Plouzane, France; [Irigoien, Xabier] KAUST, Red Sea Res Ctr, Thuwal 239556900, Saudi Arabia</t>
  </si>
  <si>
    <t>AZTI; Plymouth Marine Laboratory; Universite Paris Cite; CEA; Centre National de la Recherche Scientifique (CNRS); Universite Paris Saclay; University of Bergen; NERC National Oceanography Centre; Hellenic Centre for Marine Research; University of Bologna; University of Bologna; Middle East Technical University;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Nansen Environmental &amp; Remote Sensing Center (NERSC); Centre National de la Recherche Scientifique (CNRS); Ifremer; Institut de Recherche pour le Developpement (IRD); Universite de Bretagne Occidentale; Institut Universitaire Europeen de la Mer (IUEM); CNRS - National Institute for Earth Sciences &amp; Astronomy (INSU); King Abdullah University of Science &amp; Technology</t>
  </si>
  <si>
    <t>Chust, G (corresponding author), AZTI Tecnalia, Div Marine Res, Herrera Kaia Portualdea Z-G, Pasaia 20110, Spain.</t>
  </si>
  <si>
    <t>gchust@azti.es</t>
  </si>
  <si>
    <t>Fach, Bettina A/JCE-6687-2023; Irigoien, Xabier/B-8171-2009; Chust, Guillem/C-1112-2008; Machu, Eric/L-2572-2016; Clementi, Emanuela/AAB-4952-2022; Fach, Bettina A/B-6003-2016; Artioli, Yuri/J-1524-2015; Schrum, Corinna/JVZ-1967-2024; Wakelin, Sarah/AAG-9040-2020; Artioli, Yuri/AFV-9331-2022; bopp, laurent/ABF-5302-2020; Salihoglu, Baris/D-1376-2010; Butenschoen, Momme/AAJ-7615-2021; Schrum, Corinna/KAM-1374-2024; Petihakis, George/C-4534-2011; Holt, Jason/B-6323-2012; Irigoien, Xabier/L-7909-2014</t>
  </si>
  <si>
    <t>Chust, Guillem/0000-0003-3471-9729; Clementi, Emanuela/0000-0002-5752-1849; Fach, Bettina A/0000-0003-4688-1918; Artioli, Yuri/0000-0002-5498-4223; Wakelin, Sarah/0000-0002-2081-2693; bopp, laurent/0000-0003-4732-4953; Salihoglu, Baris/0000-0002-7510-7713; Butenschoen, Momme/0000-0002-4592-9927; Schrum, Corinna/0000-0003-3251-4551; Goubanova, Katerina/0009-0002-2143-0352; Petihakis, George/0000-0002-4290-3588; Holt, Jason/0000-0002-3298-8477; Daewel, Ute/0000-0003-2380-8427; Irigoien, Xabier/0000-0002-5411-6741; Smith, Christopher/0000-0002-3031-5316</t>
  </si>
  <si>
    <t>European Commission [212085, 264933]; NERC [pml010006, noc010010, pml010010] Funding Source: UKRI; Natural Environment Research Council [pml010010, noc010010, pml010006] Funding Source: researchfish</t>
  </si>
  <si>
    <t>European Commission(European Union (EU)European Commission Joint Research Centre); NERC(UK Research &amp; Innovation (UKRI)Natural Environment Research Council (NERC)); Natural Environment Research Council(UK Research &amp; Innovation (UKRI)Natural Environment Research Council (NERC))</t>
  </si>
  <si>
    <t>This research was funded by the European Commission (Contract no. 212085, MEECE: Marine Ecosystem Evolution in a Changing Environment, and Contract no. 264933, EURO-BASIN: European Union Basin-scale Analysis, Synthesis and Integration). We also thank the three anonymous reviewers for their careful assessment of our manuscript. This is contribution 665 from AZTI-Tecnalia Marine Research Division.</t>
  </si>
  <si>
    <t>10.1111/gcb.12562</t>
  </si>
  <si>
    <t>WOS:000337680700010</t>
  </si>
  <si>
    <t>Burrett, C; Zaw, K; Meffre, S; Lai, CK; Khositanont, S; Chaodumrong, P; Udchachon, M; Ekins, S; Halpin, J</t>
  </si>
  <si>
    <t>Burrett, Clive; Zaw, Khin; Meffre, Sebastien; Lai, Chun Kit; Khositanont, Somboon; Chaodumrong, Pol; Udchachon, Mongkol; Ekins, Samuel; Halpin, Jacqueline</t>
  </si>
  <si>
    <t>The configuration of Greater Gondwana-Evidence from LA ICPMS, U-Pb geochronology of detrital zircons from the Palaeozoic and Mesozoic of Southeast Asia and China</t>
  </si>
  <si>
    <t>Continental reconstruction; Tectonics; Provenance; Zircon geochronology; Palaeogeography</t>
  </si>
  <si>
    <t>PLASMA-MASS SPECTROMETRY; NORTH CHINA; TECTONIC EVOLUTION; HF-ISOTOPES; SEDIMENTARY PROVENANCE; ORDOVICIAN CONODONTS; WESTERN-AUSTRALIA; EAST ANTARCTICA; VOLCANIC BELTS; LHASA TERRANE</t>
  </si>
  <si>
    <t>Detrital zircons from samples of Palaeozoic to Mesozoic sedimentary rocks have been collected in Malaysia, Thailand, Laos, Vietnam, Cambodia and China, dated by the LA ICPMS, U-Pb technique and assigned to tectonic terranes or regions within terranes. The combined results from each region or terrane are compared with published detrital zircon age data from Australia, Asia and elsewhere using Kolmogorov-Smirnov (K-S) statistics. Generally low P-values (probability values) are found when comparing terranes, possibly because each large terrane sourced zircons from different areas. However, very high P-values obtained in this study suggest that the Indochina terranes (Truong Son, Loei and Central Vietnam), southern China terranes (Ailaoshan, NE Vietnam, Yangtze) and the Tethyan Himalayas may have been close to similar source areas. This supports models that place South China and the Indochina terranes close to the western Himalayas. The Early Palaeozoic palaeobiogeographic data and single sample K-S comparisons from the Himalayas and from Australia suggest that North China was close to Gondwana, but our K-S inter-terrane comparisons do not support this hypothesis. High Kolmogorov-Smirnov P-values of 0.895 are found between the Late Cambrian-Early Ordovician Tarutao Formation of Sibumasu and the Ordovician Tumblagooda Sandstone Fm of Western Australia High P values of 0.925 and 0.958 are also found between the Tethyan Himalaya and the Tarutao Formation. Visual comparisons of probability plots of zircons from quartzite clasts from the Tarutao Formation and from quartzite and granite clasts in Permian glacimarine mudstones (Kaeng Krachan Group, Sibumasu) have age spectra in common with terranes of western and northern Australia particularly the Meso-Neoproterozoic-age Pinjarra-East Antarctic-Eastern Ghats Orogen and the northern Australian area affected by the c.1850 Ma Barramundi Orogeny. A characteristic widespread assemblage of zircons previously recognized along the length of the Himalayas by Myrow et al. (2010) with a dominant peak at 950 Ma and other peaks at 600 Ma (Pan African Orogeny), at 1200-1000 Ma (Grenvillian Orogeny) and at 2500 Ma are also found in the peri-Gondwana Terranes of Truong Son, South China, Qjangtang, Lhasa and Sibumasu and suggest a common distal source region in the Pinjarra-East Antarctic-Eastern Ghats Orogen. The formations of the Triassic Lampang and Song Groups of northern Thailand are dated using zircons and their detrital zircons suggest probable sources from the Indochina terranes for basins of the Sukhothai Terrane. (C) 2013 International Association for Gondwana Research. Published by Elsevier BY. All rights reserved.</t>
  </si>
  <si>
    <t>[Burrett, Clive; Zaw, Khin; Meffre, Sebastien; Lai, Chun Kit; Halpin, Jacqueline] Univ Tasmania, CODES ARC Ctr Excellence Ore Deposits, Hobart, Tas 7001, Australia; [Khositanont, Somboon; Chaodumrong, Pol] Bur Geol Survey, Royal Thai Dept Mineral Resources, Bangkok 10400, Thailand; [Ekins, Samuel] Predrill Stresses Int Pty Ltd, Newstead, Qld 4006, Australia; [Burrett, Clive] Mahasarakham Univ, Palaeontol Res &amp; Educ Ctr, Maha Sarakham 44150, Thailand; [Udchachon, Mongkol] Mahasarakham Univ, Fac Sci, Maha Sarakham 44150, Thailand</t>
  </si>
  <si>
    <t>University of Tasmania; Department of Mineral Resources - Thailand; Mahasarakham University; Mahasarakham University</t>
  </si>
  <si>
    <t>Burrett, C (corresponding author), Mahasarakham Univ, Palaeontol Res &amp; Educ Ctr, Maha Sarakham 44150, Thailand.</t>
  </si>
  <si>
    <t>cfburrett@gmail.com</t>
  </si>
  <si>
    <t>Meffre, Sebastien/J-8700-2014; Zaw, Khin/A-1406-2014; Lai, Chun-Kit/AAF-3109-2021; Halpin, Jacqueline A/A-3776-2014; Meffre, Sebastien/O-6896-2019</t>
  </si>
  <si>
    <t>Meffre, Sebastien/0000-0003-2741-6076; Lai, Chun-Kit/0000-0003-2245-4014; Halpin, Jacqueline A/0000-0002-4992-8681; Meffre, Sebastien/0000-0003-2741-6076; Zaw, Khin/0000-0003-0503-3461</t>
  </si>
  <si>
    <t>Australian Research Council (ARC); University of Tasmania (CODES); University of Tasmania (School of Earth Science); Australian Mineral Industry Research Association (AMIRA); Oxiana Pty Ltd.</t>
  </si>
  <si>
    <t>Australian Research Council (ARC)(Australian Research Council); University of Tasmania (CODES); University of Tasmania (School of Earth Science); Australian Mineral Industry Research Association (AMIRA); Oxiana Pty Ltd.</t>
  </si>
  <si>
    <t>We thank Sangad Bunopas, Thanis Wongwanich, Tim Akerman, John Shergold, Sam Moloney and John Hills for their help in Thailand, Stuart Smith, Dan Olberg and James Cannell in Laos, Charles Makoundi in Malaysia, Hai Thanh Tran in Vietnam and Ron Berry and Keith Sircombe in Australia. Funding for this project was provided by the Australian Research Council (ARC), the University of Tasmania (CODES and the School of Earth Science), the Australian Mineral Industry Research Association (AMIRA) and Oxiana Pty Ltd. The Royal Thai Department of Mineral Resources provided logistic support. We thank Ian Metcalfe and an anonymous reviewer for their very helpful comments.</t>
  </si>
  <si>
    <t>10.1016/j.gr.2013.05.020</t>
  </si>
  <si>
    <t>AH7TM</t>
  </si>
  <si>
    <t>WOS:000336338100003</t>
  </si>
  <si>
    <t>Thiebot, JB; Cherel, Y; Acqueberge, M; Prudor, A; Trathan, PN; Bost, CA</t>
  </si>
  <si>
    <t>Thiebot, Jean-Baptiste; Cherel, Yves; Acqueberge, Manon; Prudor, Aurelien; Trathan, Philip N.; Bost, Charles-Andre</t>
  </si>
  <si>
    <t>Adjustment of pre-moult foraging strategies in Macaroni Penguins Eudyptes chrysolophus according to locality, sex and breeding status</t>
  </si>
  <si>
    <t>IBIS</t>
  </si>
  <si>
    <t>Crested Penguins; light-based geolocation; marine habitat; marine resources; non-breeding; Southern Ocean; specialization; stable isotopes</t>
  </si>
  <si>
    <t>ROCKHOPPER PENGUINS; FOOD-CONSUMPTION; STABLE-ISOTOPES; SOUTH GEORGIA; HABITAT USE; PREDATORS; ENERGETICS; ENERGY; GEOLOCATION; NICHES</t>
  </si>
  <si>
    <t>The annual moult creates the highest physiological stress during a penguin's breeding-cycle and is preceded by a period of hyperphagia at sea. Although crucial to individual survival, foraging strategies before moult have been little investigated in keystone marine consumers in the Southern Ocean. The Macaroni Penguin Eudyptes chrysolophus demonstrates how individuals may adjust their foraging strategies during this period in line with constraints such as potential intraspecific competition between localities, foraging ability between dimorphic sexes and timing at sea between breeding and non-breeding population components. We recorded pre-moult behaviour at sea for 22 Macaroni Penguins from Crozet and Kerguelen Islands (southern Indian Ocean) during 2009 and 2011, using light-based geolocation and stable isotope analysis. Penguins were distributed in population-specific oceanic areas with similar surface temperatures (3.5 degrees C) south of the archipelagos, where they foraged at comparable trophic levels based on stable isotopes of their blood. Bayesian broken stick' modelling with concurrent analysis of seawater temperature records from the animal-borne devices showed that within each population, females remained 6days longer than males in the colder waters before heading back towards their colonies. Finally, 17 other non-breeding individuals that moulted earlier had a higher mean blood 15N value than did post-breeding birds, meaning that early moulters probably fed more on fish than did late moulters. Our findings of such adjustments in foraging strategies developed across locality, sex and breeding status help understanding of the species' contrasted pre-moult biology across its range and its ecology in the non-breeding period.</t>
  </si>
  <si>
    <t>[Thiebot, Jean-Baptiste; Cherel, Yves; Acqueberge, Manon; Prudor, Aurelien; Bost, Charles-Andre] CNRS, Ctr Etud Biol Chize, UPR 1934, F-79360 Villiers En Bois, France; [Trathan, Philip N.] British Antarctic Survey, Nat Environm Res Council, Cambridge CB3 0ET, England</t>
  </si>
  <si>
    <t>Centre National de la Recherche Scientifique (CNRS); UK Research &amp; Innovation (UKRI); Natural Environment Research Council (NERC); NERC British Antarctic Survey</t>
  </si>
  <si>
    <t>Thiebot, JB (corresponding author), Natl Inst Polar Res, 10-3 Midoricho Tachikawa, Tokyo 1908518, Japan.</t>
  </si>
  <si>
    <t>jbthiebot@yahoo.fr</t>
  </si>
  <si>
    <t>ANR 07 Biodiv 'GLIDES'; Zone Atelier Antarctique (INSU-CNRS); Institut Polaire Francais Paul-Emile Victor (IPEV) [394, 109]; Terres Australes et Antarctiques Francaises administration; Grants-in-Aid for Scientific Research [26840153] Funding Source: KAKEN; Natural Environment Research Council [bas0100025] Funding Source: researchfish; NERC [bas0100025] Funding Source: UKRI</t>
  </si>
  <si>
    <t>ANR 07 Biodiv 'GLIDES'(Agence Nationale de la Recherche (ANR)); Zone Atelier Antarctique (INSU-CNRS); Institut Polaire Francais Paul-Emile Victor (IPEV); Terres Australes et Antarctiques Francaises administration;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</si>
  <si>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The Ethics Committee of Institut Polaire Francais Paul-Emile Victor approved all field procedures. The authors thank two anonymous reviewers for their constructive comments, K. Coustaud and Thomas Gouello for help in the field, M. Authier, G. Guillou and P. Richard for stable isotopes analysis and A. Goarant for helping with trip analyses. The present work was supported financially and logistically by the ANR 07 Biodiv 'GLIDES', the Zone Atelier Antarctique (INSU-CNRS), the Institut Polaire Francais Paul-Emile Victor (IPEV, programmes no. 394 resp. C.-A. Bost and 109 resp. H. Weimeskirch) and the Terres Australes et Antarctiques Francaises administration.</t>
  </si>
  <si>
    <t>0019-1019</t>
  </si>
  <si>
    <t>1474-919X</t>
  </si>
  <si>
    <t>Ibis</t>
  </si>
  <si>
    <t>10.1111/ibi.12151</t>
  </si>
  <si>
    <t>AJ3LO</t>
  </si>
  <si>
    <t>WOS:000337568100002</t>
  </si>
  <si>
    <t>Dehnhard, N; Poisbleau, M; Demongin, L; Ludynia, K; Quillfeldt, P</t>
  </si>
  <si>
    <t>Dehnhard, Nina; Poisbleau, Maud; Demongin, Laurent; Ludynia, Katrin; Quillfeldt, Petra</t>
  </si>
  <si>
    <t>High juvenile annual survival probabilities in Southern Rockhopper Penguins Eudyptes chrysocome are independent of individual fledging traits</t>
  </si>
  <si>
    <t>capture-mark-recapture; fledging; MARK; return rate</t>
  </si>
  <si>
    <t>POSTFLEDGING SURVIVAL; INTERANNUAL VARIATION; POPULATION-DYNAMICS; C.-CHRYSOCOME; EGG-SIZE; GROWTH; SEX; AGE; RECRUITMENT; REPRODUCTION</t>
  </si>
  <si>
    <t>Juvenile survival is an important demographic parameter. Southern Rockhopper Penguins Eudyptes chrysocome have undergone a dramatic population decline in the past century across their distribution, but the demographic processes are poorly understood. To estimate juvenile annual survival probabilities, Rockhopper Penguin chicks from two cohorts on New Island, Falkland Islands, were marked with transponders and recorded in subsequent years using an automated gateway. We first estimated annual survival and detection probabilities using a Cormack-Jolly-Seber (CJS) model, and found that both probabilities were extremely high (81% in the first and 98% in the second, third and fourth years of life), even in comparison with adult birds. Because detection probability after 3years was effectively 1, and our sample size (n=114) was too small to explore the effects of individual traits on survival in a CJS model, we assessed whether sex, cohort, body mass and laying sequence affected whether juveniles returned to the colony during their first 3years of life using a simple generalized linear model that assumed perfect detection. Juveniles from the first cohort and males showed a higher return probability than juveniles from the second cohort and females. There was no clear effect of fledging body mass on return rate, probably related to the favourable environmental conditions during the study period. The laying sequence did not markedly affect the return probability of chicks, indicating that, once fledged, first-laid A-chicks have the same probability to return as second-laid B-chicks despite a much larger initial maternal investment in B-eggs in this species. This study demonstrates extraordinarily high juvenile survival probabilities and will help to understand the recent changes in the population dynamics of the Falkland Islands Southern Rockhopper Penguins.</t>
  </si>
  <si>
    <t>[Dehnhard, Nina; Poisbleau, Maud; Demongin, Laurent; Quillfeldt, Petra] Max Planck Inst Ornithol, D-78315 Radolfzell am Bodensee, Germany; [Dehnhard, Nina; Poisbleau, Maud; Demongin, Laurent] Univ Antwerp, Dept Biol Ethol, B-2610 Antwerp, Belgium; [Ludynia, Katrin] Univ Cape Town, Dept Biol Sci, Anim Demog Unit, ZA-7701 Cape Town, South Africa</t>
  </si>
  <si>
    <t>Max Planck Society; University of Antwerp; University of Cape Town</t>
  </si>
  <si>
    <t>Dehnhard, N (corresponding author), Max Planck Inst Ornithol, Obstberg 1, D-78315 Radolfzell am Bodensee, Germany.</t>
  </si>
  <si>
    <t>nina.dehnhard@uantwerpen.be</t>
  </si>
  <si>
    <t>Dehnhard, Nina/H-6160-2016; Poisbleau, Maud/B-9968-2014; Quillfeldt, Petra/A-9549-2009</t>
  </si>
  <si>
    <t>Dehnhard, Nina/0000-0002-4182-2698; Quillfeldt, Petra/0000-0002-4450-8688; Ludynia, Katrin/0000-0002-0353-1929</t>
  </si>
  <si>
    <t>Deutsche Forschungsgemeinschaft (DFG) [Qu 148/201-ff]; OTEP (Overseas Territories Environment Programme) [FAL 603]; University of Antwerp; FWO Flanders [1.2.619.10.N.00, 1.5.020.11.N.00]; Environmental Studies Budget grant from the Falkland Islands Government</t>
  </si>
  <si>
    <t>Deutsche Forschungsgemeinschaft (DFG)(German Research Foundation (DFG)); OTEP (Overseas Territories Environment Programme); University of Antwerp; FWO Flanders(FWO); Environmental Studies Budget grant from the Falkland Islands Government</t>
  </si>
  <si>
    <t>We are grateful to the New Island Conservation Trust for permission to work on the island. We thank Ian, Maria and Georgina Strange, Dan Birch, Charles Swift and George Guille for their support during the field season. Riek van Noordwijk helped in the field and did the sexing analysis. We would further like to thank Miguel Lecoq and Juan F. Masello for checking transponder-marked penguins in 2011/12 and Melanie Marx for helping to run the gateway system in 2012/13. Thanks also to Helen Otley and Nick Rendell, Falkland Islands Government, and British Antarctic Survey for their logistic help. RFID Components Ltd. (Bedford, UK) and Fairweigh Ltd. (Hertfordshire, UK), especially Jeremy Sage, provided technical support to set up the gateway system. We would like to thank Norman Ratcliffe and Anja Matuszak for helpful ideas while discussing our data. Thanks to Kyle W. Morrison, Steffen Oppel, the editorial board of Ibis and two anonymous reviewers for constructive comments on the manuscript. This study was funded by a grant provided by the Deutsche Forschungsgemeinschaft (DFG) (Qu 148/201-ff), OTEP (Overseas Territories Environment Programme: FAL 603), the University of Antwerp, the FWO Flanders (grant numbers: 1.2.619.10.N.00 and 1.5.020.11.N.00) and an Environmental Studies Budget grant from the Falkland Islands Government. All work was approved by the Falkland Islands Government (Environmental Planning Office).</t>
  </si>
  <si>
    <t>10.1111/ibi.12167</t>
  </si>
  <si>
    <t>WOS:000337568100005</t>
  </si>
  <si>
    <t>Armitage, TWK; Wingham, DJ; Ridout, AL</t>
  </si>
  <si>
    <t>Armitage, Thomas W. K.; Wingham, Duncan J.; Ridout, Andy L.</t>
  </si>
  <si>
    <t>Meteorological Origin of the Static Crossover Pattern Present in Low-Resolution-Mode CryoSat-2 Data Over Central Antarctica</t>
  </si>
  <si>
    <t>IEEE GEOSCIENCE AND REMOTE SENSING LETTERS</t>
  </si>
  <si>
    <t>CryoSat-2; ice sheets; radar altimetry</t>
  </si>
  <si>
    <t>ERS ALTIMETER MEASUREMENTS; ICE SHEETS; SCATTEROMETER; FLUCTUATIONS</t>
  </si>
  <si>
    <t>The most effective way of determining the rate of elevation change of the Earth's large ice sheets using radar altimeters is to examine the difference in the elevation measured on ascending and descending orbits. This crossover difference has a static and time-varying component, and by isolating the time-varying part, one can construct a time series of the ice sheet elevation change. The static component of the crossover difference arises as a result of an anisotropic dependence of the extinction coefficient on the angle between the radar polarization and wind-induced features of the firn. Here, the static crossover difference observed by CryoSat-2 over the Antarctic ice sheet is examined, and a simple model is developed to explain the observed pattern. There is an excellent agreement between the modeled results and the observations, calling into question the results of previous studies of the same phenomenon with different radar altimeters.</t>
  </si>
  <si>
    <t>[Armitage, Thomas W. K.; Wingham, Duncan J.; Ridout, Andy L.] UCL, Ctr Polar Observat &amp; Modelling, London WC1E 6BT, England</t>
  </si>
  <si>
    <t>Armitage, TWK (corresponding author), UCL, Ctr Polar Observat &amp; Modelling, Mortimer St, London WC1E 6BT, England.</t>
  </si>
  <si>
    <t>t.armitage@ucl.ac.uk</t>
  </si>
  <si>
    <t>Natural Environment Research Council Ph.D. studentship; Natural Environment Research Council [1214401, cpom30001] Funding Source: researchfish; NERC [cpom30001] Funding Source: UKRI</t>
  </si>
  <si>
    <t>Natural Environment Research Council Ph.D. studentship; Natural Environment Research Council(UK Research &amp; Innovation (UKRI)Natural Environment Research Council (NERC)); NERC(UK Research &amp; Innovation (UKRI)Natural Environment Research Council (NERC))</t>
  </si>
  <si>
    <t>This work was supported by a Natural Environment Research Council Ph.D. studentship.</t>
  </si>
  <si>
    <t>1545-598X</t>
  </si>
  <si>
    <t>1558-0571</t>
  </si>
  <si>
    <t>IEEE GEOSCI REMOTE S</t>
  </si>
  <si>
    <t>IEEE Geosci. Remote Sens. Lett.</t>
  </si>
  <si>
    <t>10.1109/LGRS.2013.2292821</t>
  </si>
  <si>
    <t>AD2VN</t>
  </si>
  <si>
    <t>WOS:000333094000025</t>
  </si>
  <si>
    <t>Quillfeldt, P; Phillips, RA; Marx, M; Masello, JF</t>
  </si>
  <si>
    <t>Quillfeldt, Petra; Phillips, Richard A.; Marx, Melanie; Masello, Juan F.</t>
  </si>
  <si>
    <t>Colony attendance and at-sea distribution of thin-billed prions during the early breeding season</t>
  </si>
  <si>
    <t>JOURNAL OF AVIAN BIOLOGY</t>
  </si>
  <si>
    <t>WHITE-CHINNED PETRELS; PACHYPTILA-BELCHERI; ROUND DISTRIBUTION; HALOBAENA-CAERULEA; SEABIRDS; PROCELLARIIFORM; INCUBATION; PATTERNS; EGG</t>
  </si>
  <si>
    <t>Procellariiform seabirds have extreme life histories; they are very long-lived, first breed when relatively old, lay single egg clutches, both incubation and chick-rearing are prolonged and chicks exhibit slow growth. The early part of the breeding season is crucial, when pair bonds are re-established and partners coordinate their breeding duties, but is a difficult period to study in burrow-nesting species. Miniature geolocators (Global Location Sensors or GLS loggers) now off er a way to collect data on burrow attendance, as well as determine at-sea movements. We studied the early breeding season in thin-billed prions Pachyptila belcheri breeding at New Island, Falkland Islands. Males and females arrived back at the colony at similar times, with peak arrival in the last days of September. However, males spent more time on land during the pre-laying period, presumably defending and maintaining the burrow and maximising mating opportunities. Males departed later than females, and carried out a significantly shorter pre-laying exodus. Males took on the first long incubation shift, whereas females returned to sea soon after egg laying. During the pre-laying exodus and incubation, males and females travelled at similar speeds (&gt;250 km d(-1)) and were widely distributed over large areas of the Patagonian Shelf. Inter-annual differences in oceanographic conditions were stronger during the incubation than during the pre-laying exodus and were matched by stronger differences in distribution. The study thus suggests that extended trips and flexible distribution enable thin-billed prions to meet the high energy demands of egg production and incubation despite low productivity in waters around the colony during the early summer.</t>
  </si>
  <si>
    <t>[Quillfeldt, Petra; Marx, Melanie; Masello, Juan F.] Univ Giessen, Dept Anim Ecol &amp; Systemat, DE-35392 Giessen, Germany; [Phillips, Richard A.] British Antarctic Survey, Nat Environm Res Council, Cambridge CB3 0ET, England</t>
  </si>
  <si>
    <t>Justus Liebig University Giessen; UK Research &amp; Innovation (UKRI); Natural Environment Research Council (NERC); NERC British Antarctic Survey</t>
  </si>
  <si>
    <t>Quillfeldt, P (corresponding author), Univ Giessen, Dept Anim Ecol &amp; Systemat, DE-35392 Giessen, Germany.</t>
  </si>
  <si>
    <t>petra.quillfeldt@bio.uni-giessen.de</t>
  </si>
  <si>
    <t>Quillfeldt, Petra/A-9549-2009; Masello, Juan Francisco/C-7133-2009</t>
  </si>
  <si>
    <t>Quillfeldt, Petra/0000-0002-4450-8688; Masello, Juan Francisco/0000-0002-6826-4016</t>
  </si>
  <si>
    <t>German Science Foundation DFG [Qu 148/1ff]; Natural Environment Research Council [bas0100025] Funding Source: researchfish; NERC [bas0100025] Funding Source: UKRI</t>
  </si>
  <si>
    <t>German Science Foundation DFG(German Research Foundation (DFG)); Natural Environment Research Council(UK Research &amp; Innovation (UKRI)Natural Environment Research Council (NERC)); NERC(UK Research &amp; Innovation (UKRI)Natural Environment Research Council (NERC))</t>
  </si>
  <si>
    <t>Fieldwork at New Island was supported by the New Island Conservation Trust with assistance from Ian, Maria and Georgina Strange. The work was approved by the Falkland Islands Government (Environmental Planning Office), and funded by grants provided by the German Science Foundation DFG (Qu 148/1ff). We are grateful to Hendrika van Noordwijk for assistance in the field, and Ina Hampel and Lisa Kleemann for assistance with data analyses.</t>
  </si>
  <si>
    <t>0908-8857</t>
  </si>
  <si>
    <t>1600-048X</t>
  </si>
  <si>
    <t>J AVIAN BIOL</t>
  </si>
  <si>
    <t>J. Avian Biol.</t>
  </si>
  <si>
    <t>10.1111/jav.00307</t>
  </si>
  <si>
    <t>AL9TV</t>
  </si>
  <si>
    <t>WOS:000339485600002</t>
  </si>
  <si>
    <t>Morley, SA; Lai, CH; Clarke, A; Tan, KS; Thorne, MAS; Peck, LS</t>
  </si>
  <si>
    <t>Morley, Simon A.; Lai, Chien-Hsiang; Clarke, Andrew; Tan, Koh Siang; Thorne, Michael A. S.; Peck, Lloyd S.</t>
  </si>
  <si>
    <t>Limpet feeding rate and the consistency of physiological response to temperature</t>
  </si>
  <si>
    <t>Thermal reaction norm; Radula; Rasping rate; Tropical; Antarctic; Nacella concinna</t>
  </si>
  <si>
    <t>THERMAL LIMITS DEPEND; HEAT TOLERANCE; SOUTHERN-OCEAN; SIZE; RELEVANCE; TENACITY; FISHES</t>
  </si>
  <si>
    <t>Thermal reaction norms are fundamental relationships for geographic comparisons of organism response to temperature. They are shaped by an organism's environmental history and provide insights into both the global patterns of thermal sensitivity and the physiological mechanisms underlying temperature response. In this study we conducted the first measure of the thermal reaction norm for feeding, comparing the radula rasping rate of two tropical and one polar limpet species. The consistency of thermal response was tested through comparisons with limpet duration tenacity. Feeding and duration tenacity of limpets are ecologically important muscular mechanisms that rely on very different aspects of muscle physiology, repeated concentric (shortening) and isometric (fixed length) contraction of muscles, respectively. In these limpets the thermal reaction norms of feeding limpets were best described by a single break point at a maximum temperature with linear declines at higher (Siphonaria atra) or lower temperatures (Nacella concinna and Cellana radiata) rather than a bell-shaped curve. The thermal reaction norms for duration tenacity were similar in the two tropical limpets. However, the rasping rate in Antarctic N. concinna increased linearly with temperature up to a maximum at 12.3 A degrees C (maximal range 8.5-12.3 A degrees C) when feeding stopped. In contrast, duration tenacity in N. concinna was maximal at 1.0 A degrees C (-0.6 to 3.8 A degrees C) and linearly decreased with increasing temperature. The thermal reaction norms of muscular activity were, therefore, inconsistent within and between species, indicating that different mechanisms likely underlie different aspects of species sensitivities to temperature.</t>
  </si>
  <si>
    <t>[Morley, Simon A.; Clarke, Andrew; Thorne, Michael A. S.; Peck, Lloyd S.] British Antarctic Survey, NERC, Cambridge, England; [Lai, Chien-Hsiang; Tan, Koh Siang] Natl Univ Singapore, Trop Marine Sci Inst, Singapore 117548, Singapore</t>
  </si>
  <si>
    <t>UK Research &amp; Innovation (UKRI); Natural Environment Research Council (NERC); NERC British Antarctic Survey; National University of Singapore</t>
  </si>
  <si>
    <t>Morley, SA (corresponding author), British Antarctic Survey, NERC, Cambridge, England.</t>
  </si>
  <si>
    <t>smor@bas.ac.uk</t>
  </si>
  <si>
    <t>, Tan KS/HLW-4582-2023; Tan, Koh Siang/GOH-0321-2022</t>
  </si>
  <si>
    <t>Tan, Koh Siang/0000-0002-4599-9482; Thorne, Michael/0000-0001-7759-612X</t>
  </si>
  <si>
    <t>NERC; Singapore Research Council [0821010024]; NERC Scientific Diving Facility; NERC [bas0100025, dml011000] Funding Source: UKRI; Natural Environment Research Council [dml011000, bas0100025] Funding Source: researchfish</t>
  </si>
  <si>
    <t>NERC(UK Research &amp; Innovation (UKRI)Natural Environment Research Council (NERC)); Singapore Research Council; NERC Scientific Diving Facility(UK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</si>
  <si>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funded by NERC funding to the British Antarctic Survey's Polar Science for Planet Earth, Adaptations and physiology work package and Singapore Research Council grant 0821010024. The authors acknowledge the support of the Rothera marine team and the NERC Scientific Diving Facility.</t>
  </si>
  <si>
    <t>10.1007/s00360-014-0814-3</t>
  </si>
  <si>
    <t>AK3AW</t>
  </si>
  <si>
    <t>WOS:000338295600002</t>
  </si>
  <si>
    <t>Hu, XZ</t>
  </si>
  <si>
    <t>Hu, Xiaozhong</t>
  </si>
  <si>
    <t>Ciliates in Extreme Environments</t>
  </si>
  <si>
    <t>JOURNAL OF EUKARYOTIC MICROBIOLOGY</t>
  </si>
  <si>
    <t>Aquatic environment; ciliated protozoan; extremophiles; free-living; heterotroph; terrestrial habitat</t>
  </si>
  <si>
    <t>ANAEROBIC CILIATE; RIBOSOMAL-RNA; HETEROTROPHIC PROTISTS; ACIDIC ENVIRONMENTS; MICROBIAL DIVERSITY; ANTARCTIC LAKES; VALLEY LAKES; SALINE LAKES; WEDDELL SEA; MONO LAKE</t>
  </si>
  <si>
    <t>As eukaryotic microbial life, ciliated protozoan may be found actively growing in some extreme condition where there is a sufficient energy source to sustain it because they are exceedingly adaptable and not notably less adaptable than the prokaryotes. However, a crucial problem in the study of ciliates in extreme environments is the lack of reliable cultivation techniques. To our knowledge, only a tiny fraction of ciliates can be cultured in the laboratory, even for a very limited period, which can partly explain the paucity of our understanding about ciliates diversity in various extremes although the interest in the biodiversity of extremophiles increased significantly during the past three decades. This mini-review aims to compile the knowledge of several groups of free-living ciliates that can be microscopically observed in extreme environmental samples, although most habitats have not been sufficiently well explored for sound generalizations.</t>
  </si>
  <si>
    <t>[Hu, Xiaozhong] Ocean Univ China, Lab Protozool, Inst Evolut &amp; Marine Biodivers, Qingdao 266003, Peoples R China; [Hu, Xiaozhong] Ocean Univ China, Coll Fisheries, Qingdao 266003, Peoples R China</t>
  </si>
  <si>
    <t>Ocean University of China; Ocean University of China</t>
  </si>
  <si>
    <t>Hu, XZ (corresponding author), Ocean Univ China, Lab Protozool, Inst Evolut &amp; Marine Biodivers, Qingdao 266003, Peoples R China.</t>
  </si>
  <si>
    <t>xiaozhonghu@ouc.edu.cn</t>
  </si>
  <si>
    <t>Natural Science Foundation of China [41176119, 41376141]; Direct For Biological Sciences; Division Of Environmental Biology [1136580] Funding Source: National Science Foundation</t>
  </si>
  <si>
    <t>Natural Science Foundation of China(National Natural Science Foundation of China (NSFC)); Direct For Biological Sciences; Division Of Environmental Biology(National Science Foundation (NSF)NSF - Directorate for Biological Sciences (BIO))</t>
  </si>
  <si>
    <t>I thank Prof. Roberto Docampo and two anonymous reviewers for helpful suggestions and comments. This study was supported by the Natural Science Foundation of China (Project numbers: 41176119, 41376141). I specially acknowledge Prof. J. Clamp for kindly inviting me to give a symposium talk on this topic in the ICOP XIV, Vancouver.</t>
  </si>
  <si>
    <t>1066-5234</t>
  </si>
  <si>
    <t>1550-7408</t>
  </si>
  <si>
    <t>J EUKARYOT MICROBIOL</t>
  </si>
  <si>
    <t>J. Eukaryot. Microbiol.</t>
  </si>
  <si>
    <t>10.1111/jeu.12120</t>
  </si>
  <si>
    <t>AL4PQ</t>
  </si>
  <si>
    <t>WOS:000339115300010</t>
  </si>
  <si>
    <t>Wilmes, SB; Green, JAM</t>
  </si>
  <si>
    <t>Wilmes, S-B; Green, J. A. M.</t>
  </si>
  <si>
    <t>The evolution of tides and tidal dissipation over the past 21,000 years</t>
  </si>
  <si>
    <t>ANTARCTIC ICE-SHEET; LAST GLACIAL MAXIMUM; PLEISTOCENE-HOLOCENE RETREAT; WEDDELL SEA; ROSS SEA; OCEAN TIDES; NORMAL-MODES; WORLD OCEAN; EXTENT; SHELF</t>
  </si>
  <si>
    <t>The 120 m sea-level drop during the Last Glacial Maximum (LGM; 18-22 kyr BP) had a profound impact on the global tides and lead to an increased tidal dissipation rate, especially in the North Atlantic. Here, we present new simulations of the evolution of the global tides from the LGM to present for the dominating diurnal and semidiurnal constituents. The simulations are undertaken in time slices spanning 5001000 years. Due to uncertainties in the location of the grounding line of the Antarctic ice sheets during the last glacial, simulations are carried out for two different grounding line scenarios. Our results replicate previously reported enhancements in dissipation and amplitudes of the semidiurnal tide during LGM and subsequent deglaciation, and they provide a detailed picture of the large global changes in M-2 tidal dynamics occurring over the deglaciation period. We show that Antarctic ice dynamics and the associated grounding line location have a large influence on global semidiurnal tides, whereas the diurnal tides mainly experience regional changes and are not impacted by grounding line shifts in Antarctica.</t>
  </si>
  <si>
    <t>[Wilmes, S-B; Green, J. A. M.] Bangor Univ, Sch Ocean Sci, Coll Nat Sci, Menai Bridge, Gwynedd, Wales</t>
  </si>
  <si>
    <t>Bangor University</t>
  </si>
  <si>
    <t>Wilmes, SB (corresponding author), Bangor Univ, Sch Ocean Sci, Coll Nat Sci, Menai Bridge, Gwynedd, Wales.</t>
  </si>
  <si>
    <t>s.wilmes@bangor.ac.uk</t>
  </si>
  <si>
    <t>Natural Environmental Research Council [NE/F014821/1]; Climate Change Consortium for Wales; Fujitsu through HPC Wales; NERC [NE/F014821/1] Funding Source: UKRI; Natural Environment Research Council [NE/F014821/1] Funding Source: researchfish</t>
  </si>
  <si>
    <t>Natural Environmental Research Council(UK Research &amp; Innovation (UKRI)Natural Environment Research Council (NERC)); Climate Change Consortium for Wales; Fujitsu through HPC Wales; NERC(UK Research &amp; Innovation (UKRI)Natural Environment Research Council (NERC)); Natural Environment Research Council(UK Research &amp; Innovation (UKRI)Natural Environment Research Council (NERC))</t>
  </si>
  <si>
    <t>J.A.M.G. acknowledges funding from the Natural Environmental Research Council through grant NE/F014821/1 and from the Climate Change Consortium for Wales. S. B. W. received a PhD studentship from Fujitsu through HPC Wales, who also provided computer facilities. Discussions with John Simpson, James Scourse, and Adam Wainwright improved the manuscript and Ade Fewings at HPC Wales provided invaluable technical support.</t>
  </si>
  <si>
    <t>10.1002/2013JC009605</t>
  </si>
  <si>
    <t>WOS:000340415500004</t>
  </si>
  <si>
    <t>Kwok, R; Maksym, T</t>
  </si>
  <si>
    <t>Kwok, R.; Maksym, T.</t>
  </si>
  <si>
    <t>Snow depth of the Weddell and Bellingshausen sea ice covers from IceBridge surveys in 2010 and 2011: An examination</t>
  </si>
  <si>
    <t>AMUNDSEN SEAS; LATE WINTER; THICKNESS; RADAR; FREEBOARD; VARIABILITY; ANTARCTICA; ALTIMETRY; IMPACT; MODEL</t>
  </si>
  <si>
    <t>We examine the snow radar data from the Weddell and Bellingshausen Seas acquired by eight IceBridge (OIB) flightlines in October of 2010 and 2011. In snow depth retrieval, the sidelobes from the stronger scattering snow-ice (s-i) interfaces could be misidentified as returns from the weaker air-snow (a-s) interfaces. In this paper, we first introduce a retrieval procedure that accounts for the structure of the radar system impulse response followed by a survey of the snow depths in the Weddell and Bellingshausen Seas. Limitations and potential biases in our approach are discussed. Differences between snow depth estimates from a repeat survey of one Weddell Sea track separated by 12 days, without accounting for variability due to ice motion, is -0.7 +/- 13.6 cm. Average snow depth is thicker in coastal northwestern Weddell and thins toward Cape Norvegia, a decrease of &gt; 30 cm. In the Bellingshausen, the thickest snow is found nearshore in both Octobers and is thickest next to the Abbot Ice Shelf. Snow depth is linearly related to freeboard when freeboards are low but diverge as the freeboard increases especially in the thicker/rougher ice of the western Weddell. We find correlations of 0.71-0.84 between snow depth and surface roughness suggesting preferential accumulation over deformed ice. Retrievals also seem to be related to radar backscatter through surface roughness. Snow depths reported here, generally higher than those from in situ records, suggest dissimilarities in sample populations. Implications of these differences on Antarctic sea ice thickness are discussed.</t>
  </si>
  <si>
    <t>[Kwok, R.] CALTECH, Jet Prop Lab, Pasadena, CA 91125 USA; [Maksym, T.] Woods Hole Oceanog Inst, Woods Hole, MA 02543 USA</t>
  </si>
  <si>
    <t>California Institute of Technology; National Aeronautics &amp; Space Administration (NASA); NASA Jet Propulsion Laboratory (JPL); Woods Hole Oceanographic Institution</t>
  </si>
  <si>
    <t>Kwok, R (corresponding author), CALTECH, Jet Prop Lab, Pasadena, CA 91125 USA.</t>
  </si>
  <si>
    <t>ronald.kwok@jpl.nasa.gov</t>
  </si>
  <si>
    <t>Kwok, Ron/A-9762-2008; Kwok, Ronald/L-3968-2019</t>
  </si>
  <si>
    <t>Kwok, Ron/0000-0003-4051-5896; Kwok, Ronald/0000-0003-4051-5896</t>
  </si>
  <si>
    <t>10.1002/2014JC009943</t>
  </si>
  <si>
    <t>WOS:000340415500007</t>
  </si>
  <si>
    <t>Murphy, EJ; Clarke, A; Abram, NJ; Turner, J</t>
  </si>
  <si>
    <t>Murphy, E. J.; Clarke, A.; Abram, N. J.; Turner, J.</t>
  </si>
  <si>
    <t>Variability of sea-ice in the northern Weddell Sea during the 20th century</t>
  </si>
  <si>
    <t>SOUTHERN-HEMISPHERE CLIMATE; WHALING RECORDS; ANNULAR MODE; PART II; EXTENT; ECOSYSTEM; TRENDS; SAM; TEMPERATURE; ATMOSPHERE</t>
  </si>
  <si>
    <t>The record of winter fast-ice in the South Orkney Islands, northern Weddell Sea, Antarctica, is over a century long and provides the longest observational record of sea-ice variability in the Southern Hemisphere. Here we present analyses of the series of fast-ice formation and breakout dates from 1903 to 2008. We show that over the satellite era (post-1979), the timing of both final autumn formation and complete spring breakout of fast-ice is representative of the regional sea-ice concentrations (SIC) in the northern Weddell Sea, and associated with atmospheric conditions in the Amundsen Sea region to the west of the Antarctic Peninsula. Variation in the fast-ice breakout date is influenced by the intensity of the westerly/north-westerly winds associated with the Southern Annular Mode (SAM). In contrast, the date of ice formation displays correlations with regional oceanic and sea-ice conditions over the previous 18 months, which indicate a preconditioning during the previous summer and winter, and exhibits variability associated with variation in tropical Pacific sea-surface temperature (i.e., the El Nino-Southern Oscillation, ENSO). A reduction in fast-ice duration at the South Orkney Islands around the 1950s was associated with both later formation and earlier breakout. However, there were marked changes in variability (with periodicities of 3-5, 7-9, and 20 years) in each of the series and in their relationships with ENSO and SAM, indicating the need for caution in interpreting changes in ice conditions based on shorter-term satellite series.</t>
  </si>
  <si>
    <t>[Murphy, E. J.; Clarke, A.; Abram, N. J.; Turner, J.] British Antarctic Survey, NERC, Cambridge, England; [Clarke, A.] Univ E Anglia, Sch Environm Sci, Norwich NR4 7TJ, Norfolk, England; [Abram, N. J.] Australian Natl Univ, Res Sch Earth Sci, Canberra, ACT, Australia</t>
  </si>
  <si>
    <t>UK Research &amp; Innovation (UKRI); Natural Environment Research Council (NERC); NERC British Antarctic Survey; University of East Anglia; Australian National University</t>
  </si>
  <si>
    <t>Murphy, EJ (corresponding author), British Antarctic Survey, NERC, Cambridge, England.</t>
  </si>
  <si>
    <t>e.murphy@bas.ac.uk</t>
  </si>
  <si>
    <t>Abram, Nerilie/AAT-5171-2021; murphy, eugene/GZL-1620-2022</t>
  </si>
  <si>
    <t>Abram, Nerilie/0000-0003-1246-2344; Turner, John/0000-0002-6111-5122</t>
  </si>
  <si>
    <t>BAS Polar Science for Planet Earth Programme - Natural Environment Research Council, UK; Australian Research Council [DP110101161]; Natural Environment Research Council [bas0100024, bas0100025, bas0100023] Funding Source: researchfish; NERC [bas0100025, bas0100024, bas0100023] Funding Source: UKRI</t>
  </si>
  <si>
    <t>BAS Polar Science for Planet Earth Programme - Natural Environment Research Council, UK; Australian Research Council(Australian Research Council); Natural Environment Research Council(UK Research &amp; Innovation (UKRI)Natural Environment Research Council (NERC)); NERC(UK Research &amp; Innovation (UKRI)Natural Environment Research Council (NERC))</t>
  </si>
  <si>
    <t>We thank the members of BAS and other scientists who have supported and maintained the fast-ice data collection. We would like to thank three anonymous referees for their comments, which greatly improved the manuscript. The study was supported through the BAS Polar Science for Planet Earth Programme funded by the Natural Environment Research Council, UK. N.J.A. is supported by a Queen Elizabeth II fellowship awarded by the Australian Research Council (DP110101161). This study was aided by the use of the KNMI Climate Explorer web resource provided by G. J. van Oldenborgh. J. Forcada is gratefully acknowledged for advice and undertaking the multivariate time series analyses, T. Phillips for processing the ERA-INTERIM data and preparation of selected figures, J. Wilkinson for discussion of the controls on fast-ice, and P. Fretwell for producing the map figure. The SOFI series data shown in Figure 2 are available through the BAS Polar Data Centre, http://dx.doi.org/tqw.</t>
  </si>
  <si>
    <t>10.1002/2013JC009511</t>
  </si>
  <si>
    <t>WOS:000340415500033</t>
  </si>
  <si>
    <t>Meredith, NP; Horne, RB; Kersten, T; Fraser, BJ; Grew, RS</t>
  </si>
  <si>
    <t>Meredith, Nigel P.; Horne, Richard B.; Kersten, Tobias; Fraser, Brian J.; Grew, Russell S.</t>
  </si>
  <si>
    <t>Global morphology and spectral properties of EMIC waves derived from CRRES observations</t>
  </si>
  <si>
    <t>ION-CYCLOTRON WAVES; RELATIVISTIC ELECTRON-PRECIPITATION; PITCH-ANGLE SCATTERING; GEOMAGNETIC STORMS; OUTER MAGNETOSPHERE; MAGNETIC PULSATIONS; SYNCHRONOUS ORBIT; RADIATION; ACCELERATION; SPACECRAFT</t>
  </si>
  <si>
    <t>Gyroresonant wave-particle interactions with electromagnetic ion cyclotron (EMIC) waves are a potentially important loss process for relativistic electrons in the Earth's radiation belts. Here we perform a statistical analysis of the EMIC waves observed by the Combined Release and Radiation Effects Satellite (CRRES) to determine the global morphology and spectral properties of the waves and to help assess their role in radiation belt dynamics. Helium band EMIC waves, with intensities, B-w(2), greater than 0.1 nT(2), are most prevalent during active conditions (AE &gt; 300 nT), from 4 &lt; L* &lt; 7 in the afternoon sector, with an average percentage occurrence of 2.7%. Hydrogen band EMIC wave events, with intensities greater than 0.1 nT(2), are also most prevalent in the afternoon sector during active conditions in the same region, but they are less frequent with an average percentage occurrence of 0.6%. The average intensity of the helium and hydrogen band EMIC waves in the region 4 &lt; L* &lt; 7 in the afternoon sector during active conditions is 2 nT(2) and 0.5 nT(2), respectively, and suggests that the waves can cause strong diffusion. However, the time-averaged properties are very different, being a factor of 30-50 lower for helium and hydrogen band EMIC waves, respectively, suggesting that the overall effect will be correspondingly weaker. Nevertheless, the moderate and strong EMIC wave events with B-w(2) &gt; 0.1 nT(2) reported on here will contribute to relativistic electron loss in the Earth's radiation belts and should be included in radiation belt models.</t>
  </si>
  <si>
    <t>[Meredith, Nigel P.; Horne, Richard B.; Kersten, Tobias] British Antarctic Survey, Nat Environm Res Council, Cambridge CB3 0ET, England; [Fraser, Brian J.; Grew, Russell S.] Univ Newcastle, Ctr Space Phys, Newcastle, NSW 2300, Australia</t>
  </si>
  <si>
    <t>UK Research &amp; Innovation (UKRI); Natural Environment Research Council (NERC); NERC British Antarctic Survey; University of Newcastle</t>
  </si>
  <si>
    <t>Meredith, NP (corresponding author), British Antarctic Survey, Nat Environm Res Council, Cambridge CB3 0ET, England.</t>
  </si>
  <si>
    <t>nmer@bas.ac.uk</t>
  </si>
  <si>
    <t>Natural Environment Research Council; European Union [262468, 284520]; Australian Research Council [DP0222505, LX0882515]; Natural Environment Research Council [bas0100023] Funding Source: researchfish; NERC [bas0100023] Funding Source: UKRI; Australian Research Council [LX0882515] Funding Source: Australian Research Council</t>
  </si>
  <si>
    <t>Natural Environment Research Council(UK Research &amp; Innovation (UKRI)Natural Environment Research Council (NERC)); European Union(European Union (EU)); Australian Research Council(Australian Research Council); Natural Environment Research Council(UK Research &amp; Innovation (UKRI)Natural Environment Research Council (NERC)); NERC(UK Research &amp; Innovation (UKRI)Natural Environment Research Council (NERC)); Australian Research Council(Australian Research Council)</t>
  </si>
  <si>
    <t>We would like to thank Roger R. Anderson for providing the plasma frequencies used in this study. We also thank the NSSDC Omniweb for the provision of the geomagnetic activity indices used in this report. This study is part of the British Antarctic Survey Polar Science for Planet Earth Programme. The research leading to these results has received funding from the Natural Environment Research Council, the European Union Seventh Framework Programme (FP7/2007-2013) under grant agreements 262468 (SPACECAST) and 284520 (MAARBLE) and the Australian Research Council under project grant DP0222505 and linkage grant LX0882515. The data used to generate the plots in this paper are stored at the BAS Polar Data Centre and are available on request.</t>
  </si>
  <si>
    <t>10.1002/2014JA020064</t>
  </si>
  <si>
    <t>AN4HT</t>
  </si>
  <si>
    <t>WOS:000340549000018</t>
  </si>
  <si>
    <t>Jackman, CM; Slavin, JA; Kivelson, MG; Southwood, DJ; Achilleos, N; Thomsen, MF; DiBraccio, GA; Eastwood, JP; Freeman, MP; Dougherty, MK; Vogt, MF</t>
  </si>
  <si>
    <t>Jackman, C. M.; Slavin, J. A.; Kivelson, M. G.; Southwood, D. J.; Achilleos, N.; Thomsen, M. F.; DiBraccio, G. A.; Eastwood, J. P.; Freeman, M. P.; Dougherty, M. K.; Vogt, M. F.</t>
  </si>
  <si>
    <t>Saturn's dynamic magnetotail: A comprehensive magnetic field and plasma survey of plasmoids and traveling compression regions and their role in global magnetospheric dynamics</t>
  </si>
  <si>
    <t>FLUX-TRANSFER EVENTS; CLUSTER OBSERVATIONS; EARTHS MAGNETOTAIL; CURRENT SHEET; ROPES; ISEE-3; TAIL; RECONNECTION; JUPITERS; FLOWS</t>
  </si>
  <si>
    <t>We present a comprehensive study of the magnetic field and plasma signatures of reconnection events observed with the Cassini spacecraft during the tail orbits of 2006. We examine their local properties in terms of magnetic field reconfiguration and changing plasma flows. We also describe the global impact of reconnection in terms of the contribution to mass loss, flux closure, and large-scale tail structure. The signatures of 69 plasmoids, 17 traveling compression regions (TCRs), and 13 planetward moving structures have been found. The direction of motion is inferred from the sign of the change in the B. component of the magnetic field in the first instance and confirmed through plasma flow data where available. The plasmoids are interpreted as detached structures, observed by the spacecraft tailward of the reconnection site, and the TCRs are interpreted as the effects of the draping and compression of lobe magnetic field lines around passing plasmoids. We focus on the analysis and interpretation of the tailward moving (south-to-north field change) plasmoids and TCRs in this work, considering the planetward moving signatures only from the point of view of understanding the reconnection x-line position and recurrence rates. We discuss the location spread of the observations, showing that where spacecraft coverage is symmetric about midnight, reconnection signatures are observed more frequently on the dawn flank than on the dusk flank. We show an example of a chain of two plasmoids and two TCRs over 3 hours and suggest that such a scenario is associated with a single-reconnection event, ejecting multiple successive plasmoids. Plasma data reveal that one of these plasmoids contains H+ at lower energy and W+ at higher energy, consistent with an inner magnetospheric source, and the total flow speed inside the plasmoid is estimated with an upper limit of 170 km/s. We probe the interior structure of plasmoids and find that the vast majority of examples at Saturn show a localized decrease in field magnitude as the spacecraft passes through the structure. We take the trajectory of Cassini into account, as, during 2006, the spacecraft's largely equatorial position beneath the hinged current sheet meant that it rarely traversed the center of plasmoids. We present an innovative method of optimizing the window size for minimum variance analysis (MVA) and apply this MVA across several plasmoids to explore their interior morphology in more detail, finding that Saturn's tail contains both loop-like and flux rope-like plasmoids. We estimate the mass lost downtail through reconnection and suggest that the apparent imbalance between mass input and observed plasmoid ejection may mean that alternative mass loss methods contribute to balancing Saturn's mass budget. We also estimate the rate of magnetic flux closure in the tail and find that when open field line closure is active, it plays a very significant role in flux cycling at Saturn.</t>
  </si>
  <si>
    <t>[Jackman, C. M.; Achilleos, N.] UCL, Dept Phys &amp; Astron, London, England; [Jackman, C. M.; Achilleos, N.] UCL Birkbeck, Ctr Planetary Sci, London, England; [Slavin, J. A.; Kivelson, M. G.; DiBraccio, G. A.] Univ Michigan, Dept Atmospher Ocean &amp; Space Sci, Ann Arbor, MI 48109 USA; [Kivelson, M. G.] Univ Calif Los Angeles, Dept Earth Planetary &amp; Space Sci, Los Angeles, CA USA; [Southwood, D. J.; Eastwood, J. P.; Dougherty, M. K.] Univ London Imperial Coll Sci Technol &amp; Med, Dept Phys, London, England; [Thomsen, M. F.] Planetary Sci Inst, Tucson, AZ USA; [Freeman, M. P.] British Antarctic Survey, Cambridge CB3 0ET, England; [Vogt, M. F.] Univ Leicester, Space Res Ctr, Leicester, Leics, England</t>
  </si>
  <si>
    <t>University of London; University College London; University of London; Birkbeck University London; University College London; University of Michigan System; University of Michigan; University of California System; University of California Los Angeles; Imperial College London; UK Research &amp; Innovation (UKRI); Natural Environment Research Council (NERC); NERC British Antarctic Survey; University of Leicester</t>
  </si>
  <si>
    <t>Jackman, CM (corresponding author), Univ Southampton, Dept Phys &amp; Astron, Southampton, Hants, England.</t>
  </si>
  <si>
    <t>Slavin, James A/H-3170-2012; Kivelson, Margaret G/I-9019-2012; Achilleos, Nicholas/C-1647-2008; DiBraccio, Gina A/C-5960-2014; Freeman, Mervyn/E-5687-2019; Vogt, Marissa/C-6237-2014</t>
  </si>
  <si>
    <t>Slavin, James A/0000-0002-9206-724X; Jackman, Caitriona/0000-0003-0635-7361; Achilleos, Nicholas/0000-0002-5886-3509; Freeman, Mervyn/0000-0002-8653-8279; Vogt, Marissa/0000-0003-4885-8615</t>
  </si>
  <si>
    <t>Leverhulme Trust; Royal Astronomical Society Fellowship; NASA Cassini program through JPL [1243218]; Southwest Research Institute; STFC Advanced Fellowship at ICL; NERC [bas0100023] Funding Source: UKRI; STFC [ST/K001000/1, ST/J001511/1, ST/L004399/1, ST/K001051/1, ST/G00725X/1] Funding Source: UKRI; Natural Environment Research Council [bas0100023] Funding Source: researchfish; Science and Technology Facilities Council [ST/K001051/1, ST/L004399/1, ST/K001000/1, ST/G00725X/1] Funding Source: researchfish; UK Space Agency [ST/M003094/1] Funding Source: researchfish</t>
  </si>
  <si>
    <t>Leverhulme Trust(Leverhulme Trust); Royal Astronomical Society Fellowship; NASA Cassini program through JPL; Southwest Research Institute; STFC Advanced Fellowship at ICL;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UK Space Agency</t>
  </si>
  <si>
    <t>C.M.J.'s work at UCL was supported by a Leverhulme Trust Early Career Fellowship and a Royal Astronomical Society Fellowship, and her work at Southampton was supported by a Royal Astronomical Society Fellowship until December 2013. C.M.J., J.A.S., and M. F. V. discussed this work within the International Space Science Institute team number 195 on Investigating the Dynamics of Planetary Magnetotails, led by C.M.J. M. F. T. was supported by the NASA Cassini program through JPL contract 1243218 with the Southwest Research Institute. The Cassini project is managed by the Jet Propulsion Laboratory for the NASA. J.P.E. is supported by an STFC Advanced Fellowship at ICL.</t>
  </si>
  <si>
    <t>10.1002/2013JA019388</t>
  </si>
  <si>
    <t>WOS:000340549000024</t>
  </si>
  <si>
    <t>Zhang, XJ; Angelopoulos, V; Ni, BB; Thorne, RM; Horne, RB</t>
  </si>
  <si>
    <t>Zhang, Xiaojia; Angelopoulos, Vassilis; Ni, Binbin; Thorne, Richard M.; Horne, Richard B.</t>
  </si>
  <si>
    <t>Extent of ECH wave emissions in the Earth's magnetotail</t>
  </si>
  <si>
    <t>AURORAL ELECTRON-PRECIPITATION; CYCLOTRON HARMONIC EMISSIONS; SUBSTORM INJECTIONS; THEMIS; MAGNETOSPHERE; FIELD; DISTRIBUTIONS; DIFFUSION</t>
  </si>
  <si>
    <t>The exact role of electrostatic electron cyclotron harmonic (ECH) waves in driving diffuse aurora has been controversial for many years. Using THEMIS observations from five magnetotail seasons, we investigate the occurrence rate distribution of ECH waves and the extent of individual wave intensifications under various plasma sheet conditions. Both are critical for modeling these waves' contributions to electron scattering and to diffuse auroral emissions. Single-spacecraft data analysis shows that ECH waves occur frequently in the midnight and postmidnight magnetotail and that their occurrence rates decrease with increasing radial distance from Earth. More than 50% of ECH wave events (continuous intervals of wave activity) occur during local plasma sheet activations, evidenced by energetic electron injections and dipolarization fronts. Excluding ECH wave emissions concurrent with such local plasma sheet activations (known to peak in occurrence rate near premidnight), we find that quiet plasma sheet ECH wave emissions exhibit preference for dawn. This preference suggests a close relationship between these waves and the drift paths of injected electrons. Dual-spacecraft data analysis shows that the Z-extent is similar to 0.5 R-E, the Y-extent is similar to 2 R-E, and the X-extent is at least 4 R-E. During locally quiet plasma sheet conditions, ECH waves exhibit a smaller Z- and X-extent, but the Y-extent is similar during all the conditions. In order to investigate the mechanism leading to the different Z-extents under various plasma sheet conditions, we use ray tracing to model the wave power distribution as a function of distance from the neutral sheet. We find a linear correlation between the wave Z-extent and field line curvature radius (R-c). A Z-extent of similar to 0.2 R-E (consistent with observations) corresponds to R-c similar to 0.9 R-E. Our results suggest that ECH intensification following dipolarizing flux bundles is in part due to increased R-c, which enables intensification to higher amplitudes over a larger volume, explaining the increased occurrence rate and extent of active-time wave events.</t>
  </si>
  <si>
    <t>[Zhang, Xiaojia; Angelopoulos, Vassilis] Univ Calif Los Angeles, Dept Earth Planetary &amp; Space Sci, Los Angeles, CA 90095 USA; [Zhang, Xiaojia; Angelopoulos, Vassilis] Univ Calif Los Angeles, Inst Geophys &amp; Space Phys, Los Angeles, CA USA; [Ni, Binbin] Wuhan Univ, Dept Space Phys, Sch Elect Informat, Wuhan 430072, Peoples R China; [Ni, Binbin; Thorne, Richard M.] Univ Calif Los Angeles, Dept Atmospher &amp; Ocean Sci, Los Angeles, CA USA; [Horne, Richard B.] British Antarctic Survey, NERC, Cambridge CB3 0ET, England</t>
  </si>
  <si>
    <t>University of California System; University of California Los Angeles; University of California System; University of California Los Angeles; Wuhan University; University of California System; University of California Los Angeles; UK Research &amp; Innovation (UKRI); Natural Environment Research Council (NERC); NERC British Antarctic Survey</t>
  </si>
  <si>
    <t>Zhang, XJ (corresponding author), Univ Calif Los Angeles, Dept Earth Planetary &amp; Space Sci, Los Angeles, CA 90095 USA.</t>
  </si>
  <si>
    <t>xjzhang@ucla.edu</t>
  </si>
  <si>
    <t>Horne, Richard B/U-3764-2019</t>
  </si>
  <si>
    <t>Horne, Richard B/0000-0002-0412-6407; Angelopoulos, Vassilis/0000-0001-7024-1561; Zhang, Xiao-Jia/0000-0002-4185-5465</t>
  </si>
  <si>
    <t>NASA [NAS5-02099, NNX12AD12G]; German Ministry for Economy and Technology; German Center for Aviation and Space (DLR) [50 OC 0302]; NASA [52875, NNX12AD12G] Funding Source: Federal RePORTER; Natural Environment Research Council [bas0100023] Funding Source: researchfish; NERC [bas0100023] Funding Source: UKRI</t>
  </si>
  <si>
    <t>NASA(National Aeronautics &amp; Space Administration (NASA)); German Ministry for Economy and Technology; German Center for Aviation and Space (DLR)(Helmholtz AssociationGerman Aerospace Centre (DLR)); NASA(National Aeronautics &amp; Space Administration (NASA)); Natural Environment Research Council(UK Research &amp; Innovation (UKRI)Natural Environment Research Council (NERC)); NERC(UK Research &amp; Innovation (UKRI)Natural Environment Research Council (NERC))</t>
  </si>
  <si>
    <t>We thank L. Chen for useful discussions and J. Hohl for her help with editing. We acknowledge the NASA contract NAS5-02099 for the use of data from the THEMIS Mission and the NASA grant NNX12AD12G. We thank J. W. Bonnell and F. S. Mozer for the use of EFI data; D. Larson and R. P. Lin for the use of SST data; C. W. Carlson and J. P. McFadden for the use of ESA data; A. Roux and O. LeContel for the use of SCM data; and K. 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t>
  </si>
  <si>
    <t>10.1002/2014JA019931</t>
  </si>
  <si>
    <t>WOS:000340549000030</t>
  </si>
  <si>
    <t>Dawson, M; Francis, J; Carpenter, R</t>
  </si>
  <si>
    <t>Dawson, Martin; Francis, Jane; Carpenter, Rosemary</t>
  </si>
  <si>
    <t>NEW VIEWS OF PLANT FOSSILS FROM ANTARCTICA: A COMPARISON OF X-RAY AND NEUTRON IMAGING TECHNIQUES</t>
  </si>
  <si>
    <t>JOURNAL OF PALEONTOLOGY</t>
  </si>
  <si>
    <t>SEYMOUR ISLAND; EOCENE; BASIN</t>
  </si>
  <si>
    <t>A fossil plant of Eocene age from Antarctica was studied using X-ray and neutron tomography to reveal the three-dimensional plant structures encased within carbonate nodules. The fossil was identified as a branch and leaves of an araucarian conifer, which grew on the volcanic highlands of the Antarctic Peninsula region approximately 50 million yr ago. Both X-ray and neutron imaging techniques successfully exposed the full three-dimensional structure of the fossil without destroying the original specimen, revealing that most of the fossil was present as voids in the concretion and little organic matter was present. However, neutron tomography was found to produce images with superior quality and detail.</t>
  </si>
  <si>
    <t>[Dawson, Martin] Univ Salford, Sch Comp Sci &amp; Engn, Salford M5 4WT, Lancs, England; [Francis, Jane; Carpenter, Rosemary] Univ Leeds, Sch Earth &amp; Environm, Leeds LS2 9JT, W Yorkshire, England; [Francis, Jane] British Antarctic Survey, Cambridge CB3 0ET, England</t>
  </si>
  <si>
    <t>University of Salford; University of Leeds; UK Research &amp; Innovation (UKRI); Natural Environment Research Council (NERC); NERC British Antarctic Survey</t>
  </si>
  <si>
    <t>Dawson, M (corresponding author), Univ Salford, Sch Comp Sci &amp; Engn, Salford M5 4WT, Lancs, England.</t>
  </si>
  <si>
    <t>m.n.dawson@salford.ac.uk; J.E.Francis@leeds.ac.uk</t>
  </si>
  <si>
    <t>U.K. Natural Environment Research Council (NERC); British Antarctic Survey (BAS); NERC [bas0100026, NE/I00582X/2] Funding Source: UKRI; Natural Environment Research Council [bas0100026, NE/I00582X/2] Funding Source: researchfish</t>
  </si>
  <si>
    <t>U.K. Natural Environment Research Council (NERC)(UK Research &amp; Innovation (UKRI)Natural Environment Research Council (NERC)); British Antarctic Survey (BAS); NERC(UK Research &amp; Innovation (UKRI)Natural Environment Research Council (NERC)); Natural Environment Research Council(UK Research &amp; Innovation (UKRI)Natural Environment Research Council (NERC))</t>
  </si>
  <si>
    <t>This work formed part of the Ph.D. project of R. Carpenter at the University of Leeds, funded by the U.K. Natural Environment Research Council (NERC) and the British Antarctic Survey (BAS). The fossil specimens were collected in the field by J. Francis, D. Cantrill, A. M. Tosolini and R. Smith with support from BAS. Initial work on neutron tomography was undertaken at Institut Laue Langevin (ILL) in Grenoble by A. van Overberghe.</t>
  </si>
  <si>
    <t>PALEONTOLOGICAL SOC INC</t>
  </si>
  <si>
    <t>810 EAST 10TH ST, LAWRENCE, KS 66044 USA</t>
  </si>
  <si>
    <t>0022-3360</t>
  </si>
  <si>
    <t>1937-2337</t>
  </si>
  <si>
    <t>J PALEONTOL</t>
  </si>
  <si>
    <t>J. Paleontol.</t>
  </si>
  <si>
    <t>10.1666/13-124</t>
  </si>
  <si>
    <t>AL6DP</t>
  </si>
  <si>
    <t>WOS:000339222800007</t>
  </si>
  <si>
    <t>Thompson, AF; Garabato, ACN</t>
  </si>
  <si>
    <t>Thompson, Andrew F.; Garabato, Alberto C. Naveira</t>
  </si>
  <si>
    <t>Equilibration of the Antarctic Circumpolar Current by Standing Meanders</t>
  </si>
  <si>
    <t>MERIDIONAL OVERTURNING CIRCULATION; SOUTHERN-OCEAN; STORM TRACKS; BAROCLINIC TURBULENCE; VORTICITY BALANCE; MOMENTUM BALANCE; EDDY DIFFUSIVITY; CLIMATE-CHANGE; WIND STRESS; FORM STRESS</t>
  </si>
  <si>
    <t>The insensitivity of the Antarctic Circumpolar Current (ACC)'s prominent isopycnal slope to changes in wind stress is thought to stem from the action of mesoscale eddies that counterbalance the wind-driven Ekman overturning-a framework verified in zonally symmetric circumpolar flows. Substantial zonal variations in eddy characteristics suggest that local dynamics may modify this balance along the path of the ACC. Analysis of an eddy-resolving ocean GCM shows that the ACC can be broken into broad regions of weak eddy activity, where surface winds steepen isopycnals, and a small number of standing meanders, across which the isopycnals relax. Meanders are coincident with sites of (i) strong eddy-induced modification of the mean flow and its vertical structure as measured by the divergence of the Eliassen-Palm flux and (ii) enhancement of deep eddy kinetic energy by up to two orders of magnitude over surrounding regions. Within meanders, the vorticity budget shows a balance between the advection of relative vorticity and horizontal divergence, providing a mechanism for the generation of strong vertical velocities and rapid changes in stratification. Temporal fluctuations in these diagnostics are correlated with variability in both the Eliassen-Palm flux and bottom speed, implying a link to dissipative processes at the ocean floor. At larger scales, bottom pressure torque is spatially correlated with the barotropic advection of planetary vorticity, which links to variations in meander structure. From these results, it is proposed that the flexing'' of standing meanders provides an alternative mechanism for reducing the sensitivity of the ACC's baroclinicity to changes in forcing, separate from an ACC-wide change in transient eddy characteristics.</t>
  </si>
  <si>
    <t>[Thompson, Andrew F.] CALTECH, Pasadena, CA 91125 USA; [Garabato, Alberto C. Naveira] Univ Southampton, Natl Oceanog Ctr, Southampton, Hants, England</t>
  </si>
  <si>
    <t>California Institute of Technology; NERC National Oceanography Centre; University of Southampton</t>
  </si>
  <si>
    <t>Thompson, AF (corresponding author), CALTECH, 1200 E Calif Blvd, Pasadena, CA 91125 USA.</t>
  </si>
  <si>
    <t>andrewt@caltech.edu</t>
  </si>
  <si>
    <t>Garabato, Alberto Naveira/AAQ-1114-2020</t>
  </si>
  <si>
    <t>Garabato, Alberto Naveira/0000-0001-6071-605X</t>
  </si>
  <si>
    <t>National Science Foundation [OCE-1235488]; Philip Leverhulme Prize; Directorate For Geosciences; Division Of Ocean Sciences [1235488] Funding Source: National Science Foundation; NERC [NE/E007058/1, NE/B503717/1] Funding Source: UKRI; Natural Environment Research Council [NE/E007058/1, NE/B503717/1] Funding Source: researchfish</t>
  </si>
  <si>
    <t>National Science Foundation(National Science Foundation (NSF)); Philip Leverhulme Prize(Leverhulme Trust); Directorate For Geosciences; Division Of Ocean Sciences(National Science Foundation (NSF)NSF - Directorate for Geosciences (GEO)); NERC(UK Research &amp; Innovation (UKRI)Natural Environment Research Council (NERC)); Natural Environment Research Council(UK Research &amp; Innovation (UKRI)Natural Environment Research Council (NERC))</t>
  </si>
  <si>
    <t>AFT gratefully acknowledges support from the National Science Foundation (OCE-1235488), and ACNG support from a Philip Leverhulme Prize. Development of the ideas in this study have benefited from conversations with Ryan Abernathey, Toby Bischoff, Stuart Bishop, Chris Hughes, Kurt Polzin, Andrew Stewart, and Jan Zika. We thank Andy Hogg and an anonymous reviewer for comments that significantly improved this manuscript.</t>
  </si>
  <si>
    <t>10.1175/JPO-D-13-0163.1</t>
  </si>
  <si>
    <t>WOS:000339183800008</t>
  </si>
  <si>
    <t>Teuber, L; Schukat, A; Hagen, W; Auel, H</t>
  </si>
  <si>
    <t>Teuber, Lena; Schukat, Anna; Hagen, Wilhelm; Auel, Holger</t>
  </si>
  <si>
    <t>Trophic interactions and life strategies of epi- to bathypelagic calanoid copepods in the tropical Atlantic Ocean</t>
  </si>
  <si>
    <t>plankton; lipids; fatty acids; stable isotopes; trophic markers; deep sea</t>
  </si>
  <si>
    <t>FATTY-ACID-COMPOSITION; DOMINANT ANTARCTIC COPEPODS; ANGOLA-BENGUELA FRONT; FOOD-WEB; CARBON ISOTOPES; MARINE COPEPODS; WAX ESTERS; ECOLOGICAL IMPLICATIONS; HERBIVOROUS COPEPODS; RHINCALANUS-NASUTUS</t>
  </si>
  <si>
    <t>Copepods play central roles in pelagic food webs linking primary production to higher trophic levels. Biomarkers (lipids, stable isotopes) provide modern approaches to study dietary preferences and trophic interactions. A cluster analysis based on the fatty acid (FA) and fatty alcohol compositions of calanoid copepods (copepodids C4/C5 and adult stages) from the southeastern tropical Atlantic identified five distinct groups according to lipid composition and storage strategy, coinciding with differences in vertical distribution from the surface to 1800 m depth. Most epipelagic species were characterized by low lipid levels (similar to 10% of dry mass, DM), low quantities of wax esters (WE) and low delta N-15 ratios indicating low trophic positions. In contrast, surface-dwelling Rhincalanus cornutus had higher lipid levels (&gt; 29% DM) and stored WE (&gt; 90% of total lipid), whereas vertically migrating Pleuromamma species did not store WE. Most mesopelagic copepods belonged to another cluster, defined by high lipid level (max. 47% DM), high amounts of the FA 18:1(n-9) and high delta N-15 ratios &gt; 9aEuro degrees indicating carnivorous feeding at a higher trophic level. Diapausing Calanoides carinatus (copepodids C5), collected at great depth, formed a separate cluster with low delta N-15 ratios and high amounts of herbivory markers. The latter were apparently accumulated during active feeding on phytoplankton in surface waters and transferred to the deep sea during ontogenetic vertical migrations. In conclusion, these tropical calanoid copepod species from the surface to the deep sea have adopted diverse feeding strategies and occupy a wide range of ecological niches, affecting energy flux and carbon cycling in the tropical Atlantic.</t>
  </si>
  <si>
    <t>[Teuber, Lena; Schukat, Anna; Hagen, Wilhelm; Auel, Holger] Univ Bremen, Bremare Bremen Marine Ecol, D-28334 Bremen, Germany</t>
  </si>
  <si>
    <t>University of Bremen</t>
  </si>
  <si>
    <t>Teuber, L (corresponding author), Univ Bremen, Bremare Bremen Marine Ecol, POB 330 440, D-28334 Bremen, Germany.</t>
  </si>
  <si>
    <t>teuber@uni-bremen.de</t>
  </si>
  <si>
    <t>Schukat, Anna/0000-0003-2703-1029; Ronn, Lena/0009-0009-9789-5763</t>
  </si>
  <si>
    <t>German Federal Ministry of Education and Research (BMBF) [03F0497E]; University of Bremen</t>
  </si>
  <si>
    <t>German Federal Ministry of Education and Research (BMBF)(Federal Ministry of Education &amp; Research (BMBF)); University of Bremen</t>
  </si>
  <si>
    <t>This work was supported in part by the German Federal Ministry of Education and Research (BMBF) in the framework of the GENUS Geochemistry and Ecology of the Namibian Upwelling System programme [03F0497E], and in part by the University of Bremen.</t>
  </si>
  <si>
    <t>10.1093/plankt/fbu030</t>
  </si>
  <si>
    <t>WOS:000339951300017</t>
  </si>
  <si>
    <t>Manan, FA; Ibrahim, Z; Shahir, S</t>
  </si>
  <si>
    <t>Manan, Fazilah Abd; Ibrahim, Zaharah; Shahir, Shafinaz</t>
  </si>
  <si>
    <t>Plants in Antarctica: Current and Future Phytoremediation Potential</t>
  </si>
  <si>
    <t>JURNAL TEKNOLOGI</t>
  </si>
  <si>
    <t>Antarctica; pollution; phytoremediation</t>
  </si>
  <si>
    <t>KING GEORGE ISLAND; TERRA-NOVA BAY; HEAVY-METALS; USNEA-AURANTIACOATRA; SHETLAND ISLANDS; LICHENS; MOSSES; CONTAMINATION; HYDROCARBONS; POLLUTION</t>
  </si>
  <si>
    <t>As an extremely cold, dry and windy part of the world, Antarctica is a unique continent that can only be inhabit by limited number of organisms. For a long time, Antarctica was a pristine area. But nowadays, it has been invaded with many kinds of pollutants derived from human activities such as solid, liquid and metal wastes. To prevent further deterioration in Antarctic environment, remediation process is strongly needed. Phytoremediation is an environmentally clean technique to remove pollutants using plants. This is an alternative to the current physical and chemical remediation method. The success of phytoremediation technique is influenced by plant species and various environmental parameters. Unlike in the temperate and tropical region, an extremely low temperature in Antarctica does not permit the growth of many types of vegetations. Thus, phytoremediation process is scarce. Despite this limitation, there are growing interests among scientists to investigate the potential of phytoremediation to occur in tremendously harsh condition. This paper reviews current pollution problems in the Antarctic region and the possibility of phytoremediation technique to be implemented in this continent.</t>
  </si>
  <si>
    <t>[Manan, Fazilah Abd; Ibrahim, Zaharah; Shahir, Shafinaz] Univ Teknol Malaysia, Fac Biosci &amp; Med Engn, Dept Biol &amp; Hlth Sci, Skudai 81310, Johor, Malaysia</t>
  </si>
  <si>
    <t>Universiti Teknologi Malaysia</t>
  </si>
  <si>
    <t>Manan, FA (corresponding author), Univ Teknol Malaysia, Fac Biosci &amp; Med Engn, Dept Biol &amp; Hlth Sci, Skudai 81310, Johor, Malaysia.</t>
  </si>
  <si>
    <t>fazilah@fbb.utm.my</t>
  </si>
  <si>
    <t>Shahir, Shafinaz/0000-0001-5711-5659</t>
  </si>
  <si>
    <t>UTM-Antarctica Research and Sustainability Research Alliance, UTM [Q.J130000.2445.00G98]</t>
  </si>
  <si>
    <t>UTM-Antarctica Research and Sustainability Research Alliance, UTM</t>
  </si>
  <si>
    <t>The authors would like to thank UTM-Antarctica Research and Sustainability Research Alliance, UTM for providing fund (Q.J130000.2445.00G98) and opportunity to study on biodiversity in Antarctica.</t>
  </si>
  <si>
    <t>PENERBIT UTM PRESS</t>
  </si>
  <si>
    <t>JOHOR</t>
  </si>
  <si>
    <t>PENERBIT UTM PRESS, SKUDAI, JOHOR, 81310, MALAYSIA</t>
  </si>
  <si>
    <t>0127-9696</t>
  </si>
  <si>
    <t>2180-3722</t>
  </si>
  <si>
    <t>J TEKNOL</t>
  </si>
  <si>
    <t>J. Teknol.</t>
  </si>
  <si>
    <t>Engineering, Multidisciplinary</t>
  </si>
  <si>
    <t>Engineering</t>
  </si>
  <si>
    <t>V3Q5Y</t>
  </si>
  <si>
    <t>WOS:000218496900009</t>
  </si>
  <si>
    <t>Baylis, AMM; Arnould, JPY; Staniland, IJ</t>
  </si>
  <si>
    <t>Baylis, Alastair M. M.; Arnould, John P. Y.; Staniland, Iain J.</t>
  </si>
  <si>
    <t>Diet of South American fur seals at the Falkland Islands</t>
  </si>
  <si>
    <t>PENGUINS PYGOSCELIS-PAPUA; LIONS OTARIA-FLAVESCENS; ARCTOCEPHALUS-GAZELLA; FORAGING BEHAVIOR; SCAT ANALYSIS; AUSTRALIS; ATLANTIC; GEORGIA; DIVERSITY; DIGESTION</t>
  </si>
  <si>
    <t>[Baylis, Alastair M. M.] Deakin Univ, Sch Life &amp; Environm Sci, Warrnambool, Vic 3280, Australia; [Baylis, Alastair M. M.] Falklands Conservat, Stanley FIQQ 1ZZ, Falkland Island, England; [Arnould, John P. Y.] Deakin Univ, Sch Life &amp; Environm Sci, Burwood, Vic 3125, Australia; [Staniland, Iain J.] British Antarctic Survey, NERC, Cambridge CB3 0ET, England</t>
  </si>
  <si>
    <t>Deakin University; Deakin University; UK Research &amp; Innovation (UKRI); Natural Environment Research Council (NERC); NERC British Antarctic Survey</t>
  </si>
  <si>
    <t>Baylis, AMM (corresponding author), Deakin Univ, Sch Life &amp; Environm Sci, POB 423, Warrnambool, Vic 3280, Australia.</t>
  </si>
  <si>
    <t>al_baylis@yahoo.com.au</t>
  </si>
  <si>
    <t>Baylis, Alastair/H-9471-2019; Staniland, Iain/I-4725-2012</t>
  </si>
  <si>
    <t>Baylis, Alastair/0000-0002-5167-0472; Staniland, Iain/0000-0003-2736-9134</t>
  </si>
  <si>
    <t>NERC [bas0100025] Funding Source: UKRI; Natural Environment Research Council [bas0100025] Funding Source: researchfish</t>
  </si>
  <si>
    <t>10.1111/mms.12090</t>
  </si>
  <si>
    <t>WOS:000339101800023</t>
  </si>
  <si>
    <t>Windisch, HS; Frickenhaus, S; John, U; Knust, R; Pörtner, HO; Lucassen, M</t>
  </si>
  <si>
    <t>Windisch, H. S.; Frickenhaus, S.; John, U.; Knust, R.; Poertner, H. -O.; Lucassen, M.</t>
  </si>
  <si>
    <t>Stress response or beneficial temperature acclimation: transcriptomic signatures in Antarctic fish (Pachycara brachycephalum)</t>
  </si>
  <si>
    <t>cDNA library; chronic thermal exposure; cold adaptation; ESTs; gene regulation; microarray</t>
  </si>
  <si>
    <t>THERMAL TOLERANCE; GENE-EXPRESSION; TREMATOMUS-BERNACCHII; PROTEIN EXPRESSION; CLIMATE-CHANGE; HEAT-STRESS; COLD; MICROARRAY; ZOARCIDAE; OXYGEN</t>
  </si>
  <si>
    <t>Research on the thermal biology of Antarctic marine organisms has increased awareness of their vulnerability to climate change, as a flipside of their adaptation to life in the permanent cold and their limited capacity to acclimate to variable temperatures. Here, we employed a species-specific microarray of the Antarctic eelpout, Pachycara brachycephalum, to identify long-term shifts in gene expression after 2 months of acclimation to six temperatures between -1 and 9 degrees C. Changes in cellular processes comprised signalling, post-translational modification, cytoskeleton remodelling, metabolic shifts and alterations in the transcription as well as translation machinery. The magnitude of transcriptomic responses paralleled the change in whole animal performance. Optimal growth at 3 degrees C occurred at a minimum in gene expression changes indicative of a balanced steady state. The up-regulation of ribosomal transcripts at 5 degrees C and above was accompanied by the transcriptomic activation of differential protein degradation pathways, from proteasome-based degradation in the cold towards lysosomal protein degradation in the warmth. From 7 degrees C upwards, increasing transcript levels representing heat-shock proteins and an acute inflammatory response indicate cellular stress. Such patterns may contribute to a warm-induced energy deficit and a strong weight loss at temperatures above 6 degrees C. Together, cold or warm acclimation led to specific cellular rearrangements and the progressive development of functional imbalances beyond the optimum temperature. The observed temperature-specific expression profiles reveal the molecular basis of thermal plasticity and refine present understanding of the shape and positioning of the thermal performance curve of ectotherms on the temperature scale.</t>
  </si>
  <si>
    <t>[Windisch, H. S.; Frickenhaus, S.; John, U.; Knust, R.; Poertner, H. -O.; Lucassen, M.] Helmholtz Ctr Polar &amp; Marine Res, Alfred Wegener Inst, D-27570 Bremerhaven, Germany; [Frickenhaus, S.] Hsch Bremerhaven, D-27568 Bremerhaven, Germany</t>
  </si>
  <si>
    <t>Windisch, HS (corresponding author), Helmholtz Ctr Polar &amp; Marine Res, Alfred Wegener Inst, Handelshafen 12, D-27570 Bremerhaven, Germany.</t>
  </si>
  <si>
    <t>heidrun.windisch@awi.de</t>
  </si>
  <si>
    <t>Lucassen, Magnus/ABA-8396-2021; Pörtner, Hans-O./ISU-9397-2023; Pörtner, Hans-O./K-9429-2016; Lucassen, Magnus/E-8433-2011; Windisch, Heidrun S/H-9505-2014; John, Uwe/S-3009-2016</t>
  </si>
  <si>
    <t>Lucassen, Magnus/0000-0003-4276-4781; Pörtner, Hans-O./0000-0001-6535-6575; John, Uwe/0000-0002-1297-4086; Frickenhaus, Stephan/0000-0002-0356-9791</t>
  </si>
  <si>
    <t>Deutsche Forschungsgemeinschaft [LU1463/1-2]; Helmholtz Association</t>
  </si>
  <si>
    <t>Deutsche Forschungsgemeinschaft(German Research Foundation (DFG)); Helmholtz Association(Helmholtz Association)</t>
  </si>
  <si>
    <t>The study was partly funded by Deutsche Forschungsgemeinschaft (LU1463/1-2). It is a contribution to the PACES research program (work package 1.6) of the Alfred Wegener Institute funded by the Helmholtz Association. The authors would like to thank the crew of RV Polarstern and Nils Koschnick for excellent technical support during expeditions. Nicole Hildebrand is acknowledged for taking care of the animals during the incubations. The authors are grateful to the anonymous referees for their comments and suggestions which helped to significantly improve the article.</t>
  </si>
  <si>
    <t>10.1111/mec.12822</t>
  </si>
  <si>
    <t>AL8LB</t>
  </si>
  <si>
    <t>WOS:000339389000008</t>
  </si>
  <si>
    <t>Abram, NJ; Mulvaney, R; Vimeux, F; Phipps, SJ; Turner, J; England, MH</t>
  </si>
  <si>
    <t>Abram, Nerilie J.; Mulvaney, Robert; Vimeux, Francoise; Phipps, Steven J.; Turner, John; England, Matthew H.</t>
  </si>
  <si>
    <t>Evolution of the Southern Annular Mode during the past millennium</t>
  </si>
  <si>
    <t>CLIMATE FORCING RECONSTRUCTIONS; LAST MILLENNIUM; PMIP SIMULATIONS; TRENDS; ICE; VARIABILITY; IMPACT; CMIP5</t>
  </si>
  <si>
    <t>The Southern Annular Mode (SAM) is the primary pattern of climate variability in the Southern Hemisphere(1,2), influencing latitudinal rainfall distribution and temperatures from the subtropics to Antarctica. The positive summer trend in the SAM over recent decades is widely attributed to stratospheric ozone depletion(2); however, the brevity of observational records from Antarctica(1)-one of the core zones that defines SAM variability-limits our understanding of long-term SAM behaviour. Here we reconstruct annual mean changes in the SAM since AD 1000 using, for the first time, proxy records that encompass the full mid-latitude to polar domain across the Drake Passage sector. We find that the SAM has undergone a progressive shift towards its positive phase since the fifteenth century, causing cooling of the main Antarctic continent at the same time that the Antarctic Peninsula has warmed. The positive trend in the SAM since similar to AD 1940 is reproduced by multimodel climate simulations forced with rising greenhouse gas levels and later ozone depletion, and the long-term average SAM index is now at its highest level for at least the past 1,000 years. Reconstructed SAM trends before the twentieth century are more prominent than those in radiative-forcing climate experiments and may be associated with a teleconnected response to tropical Pacific climate. Our findings imply that predictions of further greenhouse-driven increases in the SAM over the coming century(3) also need to account for the possibility of opposing effects from tropical Pacific climate changes.</t>
  </si>
  <si>
    <t>[Abram, Nerilie J.; Mulvaney, Robert; Turner, John] British Antarctic Survey, NERC, Cambridge CB3 0ET, England; [Abram, Nerilie J.] Australian Natl Univ, Res Sch Earth Sci, Canberra, ACT 0200, Australia; [Vimeux, Francoise] Inst Rech Dev, Lab HydroSci Montpellier, F-91191 Gif Sur Yvette, France; [Vimeux, Francoise] Lab Sci Climat &amp; Environm, F-91191 Gif Sur Yvette, France; [Phipps, Steven J.; England, Matthew H.] Univ New S Wales, Climate Change Res Ctr, Sydney, NSW 2052, Australia; [Phipps, Steven J.; England, Matthew H.] Univ New S Wales, ARC Ctr Excellence Climate Syst Sci, Sydney, NSW 2052, Australia</t>
  </si>
  <si>
    <t>UK Research &amp; Innovation (UKRI); Natural Environment Research Council (NERC); NERC British Antarctic Survey; Australian National University; Institut de Recherche pour le Developpement (IRD); CEA; Centre National de la Recherche Scientifique (CNRS); Universite Paris Saclay; University of New South Wales Sydney; University of New South Wales Sydney; ARC Centre of Excellence for Climate System Science</t>
  </si>
  <si>
    <t>Abram, NJ (corresponding author), British Antarctic Survey, NERC, Cambridge CB3 0ET, England.</t>
  </si>
  <si>
    <t>nerilie.abram@anu.edu.au</t>
  </si>
  <si>
    <t>Mulvaney, Robert/K-3929-2012; Abram, Nerilie/AAT-5171-2021; England, Matthew/A-7539-2011; Phipps, Steven/B-3135-2008</t>
  </si>
  <si>
    <t>England, Matthew/0000-0001-9696-2930; Abram, Nerilie/0000-0003-1246-2344; Turner, John/0000-0002-6111-5122; Phipps, Steven/0000-0001-5657-8782</t>
  </si>
  <si>
    <t>Queen Elizabeth II fellowship by Australian Research Council [ARC DP110101161]; ARC Discovery Project [DP140102059]; British Antarctic Survey's Polar Science for Planet Earth programme - Natural Environment Research Council; NCI National Facility through the National Computational Merit Allocation Scheme; ARC [FL100100214]; Natural Environment Research Council [bas0100024] Funding Source: researchfish; NERC [bas0100024] Funding Source: UKRI</t>
  </si>
  <si>
    <t>Queen Elizabeth II fellowship by Australian Research Council; ARC Discovery Project(Australian Research Council); British Antarctic Survey's Polar Science for Planet Earth programme - Natural Environment Research Council; NCI National Facility through the National Computational Merit Allocation Scheme(United States Department of Health &amp; Human ServicesNational Institutes of Health (NIH) - USANIH National Cancer Institute (NCI)); ARC(Australian Research Council); Natural Environment Research Council(UK Research &amp; Innovation (UKRI)Natural Environment Research Council (NERC)); NERC(UK Research &amp; Innovation (UKRI)Natural Environment Research Council (NERC))</t>
  </si>
  <si>
    <t>N.J.A. is supported by a Queen Elizabeth II fellowship awarded by the Australian Research Council (ARC DP110101161). This study contributes to ARC Discovery Project DP140102059 awarded to N.J.A. and R. M. and is part of the British Antarctic Survey's Polar Science for Planet Earth programme financially supported by the Natural Environment Research Council. Modelling work using CSIRO Mk3L was supported by an award to S.J.P. of computational resources on the NCI National Facility through the National Computational Merit Allocation Scheme. M. H. E. is supported by ARC Laureate Fellowship FL100100214. We thank E. Wolfor discussions that improved the paper and we gratefully acknowledge the efforts of the PAGES2k and CMIP5/PMIP3 communities in archiving the proxy synthesis and model products that were used in this study.</t>
  </si>
  <si>
    <t>10.1038/NCLIMATE2235</t>
  </si>
  <si>
    <t>AL0SP</t>
  </si>
  <si>
    <t>WOS:000338837400020</t>
  </si>
  <si>
    <t>Saba, GK; Fraser, WR; Saba, VS; Iannuzzi, RA; Coleman, KE; Doney, SC; Ducklow, HW; Martinson, DG; Miles, TN; Patterson-Fraser, DL; Stammerjohn, SE; Steinberg, DK; Schofield, OM</t>
  </si>
  <si>
    <t>Saba, Grace K.; Fraser, William R.; Saba, Vincent S.; Iannuzzi, Richard A.; Coleman, Kaycee E.; Doney, Scott C.; Ducklow, Hugh W.; Martinson, Douglas G.; Miles, Travis N.; Patterson-Fraser, Donna L.; Stammerjohn, Sharon E.; Steinberg, Deborah K.; Schofield, Oscar M.</t>
  </si>
  <si>
    <t>Winter and spring controls on the summer food web of the coastal West Antarctic Peninsula</t>
  </si>
  <si>
    <t>KRILL EUPHAUSIA-SUPERBA; SEA-ICE; CLIMATE-CHANGE; ANNULAR MODE; VARIABILITY; DISTRIBUTIONS; RECRUITMENT; PRODUCTIVITY; ECOSYSTEMS; PREDATORS</t>
  </si>
  <si>
    <t>Understanding the mechanisms by which climate variability affects multiple trophic levels in food webs is essential for determining ecosystem responses to climate change. Here we use over two decades of data collected by the Palmer Long Term Ecological Research program (PAL-LTER) to determine how large-scale climate and local physical forcing affect phytoplankton, zooplankton and an apex predator along the West Antarctic Peninsula (WAP). We show that positive anomalies in chlorophyll-a (chl-a) at Palmer Station, occurring every 4-6 years, are constrained by physical processes in the preceding winter/spring and a negative phase of the Southern Annular Mode (SAM). Favorable conditions for phytoplankton included increased winter ice extent and duration, reduced spring/summer winds, and increased water column stability via enhanced salinity-driven density gradients. Years of positive chl-a anomalies are associated with the initiation of a robust krill cohort the following summer, which is evident in Adelie penguin diets, thus demonstrating tight trophic coupling. Projected climate change in this region may have a significant, negative impact on phytoplankton biomass, krill recruitment and upper trophic level predators in this coastal Antarctic ecosystem.</t>
  </si>
  <si>
    <t>[Saba, Grace K.; Coleman, Kaycee E.; Miles, Travis N.; Schofield, Oscar M.] Rutgers State Univ, Inst Marine &amp; Coastal Sci, New Brunswick, NJ 08901 USA; [Fraser, William R.; Patterson-Fraser, Donna L.] Polar Oceans Res Grp, Sheridan, MT 59749 USA; [Saba, Vincent S.] Princeton Univ, Northeast Fisheries Sci Ctr, Natl Marine Fisheries Serv, Natl Ocean &amp; Atmospher Adm,Geophys Fluid Dynam La, Princeton, NJ 08540 USA; [Iannuzzi, Richard A.; Ducklow, Hugh W.; Martinson, Douglas G.] Lamont Doherty Earth Observ, New York, NY 10964 USA; [Doney, Scott C.] Woods Hole Oceanog Inst, Woods Hole, MA 02543 USA; [Stammerjohn, Sharon E.] Univ Calif Santa Cruz, Ocean Sci Dept, Santa Cruz, CA 95064 USA; [Stammerjohn, Sharon E.] Univ Colorado, Inst Arct &amp; Alpine Studies, Boulder, CO 80309 USA; [Steinberg, Deborah K.] Virginia Inst Marine Sci, Gloucester Point, VA 23062 USA</t>
  </si>
  <si>
    <t>Rutgers University System; Rutgers University New Brunswick; National Oceanic Atmospheric Admin (NOAA) - USA; Princeton University; Columbia University; Woods Hole Oceanographic Institution; University of California System; University of California Santa Cruz; University of Colorado System; University of Colorado Boulder; William &amp; Mary; Virginia Institute of Marine Science</t>
  </si>
  <si>
    <t>Saba, GK (corresponding author), Rutgers State Univ, Inst Marine &amp; Coastal Sci, 71 Dudley Rd, New Brunswick, NJ 08901 USA.</t>
  </si>
  <si>
    <t>saba@marine.rutgers.edu</t>
  </si>
  <si>
    <t>Doney, Scott/F-9247-2010; Saba, Vincent/A-3799-2010; Schofield, Oscar/H-4169-2018; Miles, Travis/L-7918-2013</t>
  </si>
  <si>
    <t>Doney, Scott/0000-0002-3683-2437; Saba, Vincent/0000-0002-2974-4826; Coleman, Kaycee/0000-0002-6935-2923; Schofield, Oscar/0000-0003-2359-4131; Steinberg, Deborah K./0000-0001-9884-4655; STAMMERJOHN, SHARON/0000-0002-1697-8244; Miles, Travis/0000-0003-1992-0248</t>
  </si>
  <si>
    <t>LTER Program of the US National Science Foundation [ANT-0823101]; NSF [OPP-9011927, OPP-9632763, OPP-0217282]; Directorate For Geosciences; Division Of Polar Programs [1344502] Funding Source: National Science Foundation; Directorate For Geosciences; Office of Polar Programs (OPP) [1326167] Funding Source: National Science Foundation</t>
  </si>
  <si>
    <t>LTER Program of the US National Science Foundation(National Science Foundation (NSF)); NSF(National Science Foundation (NSF)); Directorate For Geosciences; Division Of Polar Programs(National Science Foundation (NSF)NSF - Directorate for Geosciences (GEO)); Directorate For Geosciences; Office of Polar Programs (OPP)(National Science Foundation (NSF)NSF - Directorate for Geosciences (GEO))</t>
  </si>
  <si>
    <t>We thank Raytheon Polar Services and Lockheed Martin, the captain and crew of the R.V. Laurence M. Gould, and the Palmer Station crew for field assistance. We also acknowledge the many current and former PAL-LTER team members for their assistance with field sampling and processing and analysing samples. We thank Simon Wright and Udi Zelzion for assistance with CHEMTAX and data analysis, respectively. The research was supported by the LTER Program of the US National Science Foundation (ANT-0823101). Data from the PAL-LTER data repository were supported by Office of Polar Programs, NSF Grants OPP-9011927, OPP-9632763 and OPP-0217282.</t>
  </si>
  <si>
    <t>10.1038/ncomms5318</t>
  </si>
  <si>
    <t>AN5FI</t>
  </si>
  <si>
    <t>WOS:000340615500009</t>
  </si>
  <si>
    <t>Dionisi, H; Matos, M; Anselmino, L; Lozada, M; Mac Cormack, W; Carroll, J; Lundgren, L; Sjöling, S; Chavarría, K; Henrissat, B; Jansson, J</t>
  </si>
  <si>
    <t>Dionisi, Hebe; Matos, Marina; Anselmino, Luciano; Lozada, Mariana; Mac Cormack, Walter; Carroll, Jolynn; Lundgren, Leif; Sjoling, Sara; Chavarria, Krystle; Henrissat, Bernard; Jansson, Janet</t>
  </si>
  <si>
    <t>Mining alginate lyases in sediment metagenomes from four geographically distant cold coastal environments</t>
  </si>
  <si>
    <t>NEW BIOTECHNOLOGY</t>
  </si>
  <si>
    <t>[Dionisi, Hebe; Matos, Marina; Anselmino, Luciano; Lozada, Mariana] Patagonian Natl Res Ctr CENPAT CONICET, Buenos Aires, DF, Argentina; [Mac Cormack, Walter] Argentinean Antarctic Inst, Buenos Aires, DF, Argentina; [Mac Cormack, Walter] Natl Univ Buenos Aires, Buenos Aires, DF, Argentina; [Carroll, Jolynn] Univ Tromso, N-9001 Tromso, Norway; [Carroll, Jolynn] Akvaplan Niva AS, FRAM High North Res Ctr Climate &amp; Environm, Tromso, Norway; [Lundgren, Leif] Stockholm Univ, Stockholm, Sweden; [Sjoling, Sara] Sodertorn Univ, Huddinge, Sweden; [Chavarria, Krystle; Jansson, Janet] Lawrence Berkeley Natl Labs, Berkeley, CA USA; [Henrissat, Bernard] Ctr Natl Rech Sci, Marseille, France</t>
  </si>
  <si>
    <t>Centro Nacional Patagonico (CENPAT); UiT The Arctic University of Tromso; Akvaplan-niva; Stockholm University; Sodertorn University; United States Department of Energy (DOE); Lawrence Berkeley National Laboratory; Centre National de la Recherche Scientifique (CNRS)</t>
  </si>
  <si>
    <t>Carroll, JoLynn/AAH-5082-2021; Henrissat, Bernard/J-2475-2012</t>
  </si>
  <si>
    <t>Carroll, JoLynn/0000-0002-6598-0818; Henrissat, Bernard/0000-0002-3434-8588</t>
  </si>
  <si>
    <t>1871-6784</t>
  </si>
  <si>
    <t>1876-4347</t>
  </si>
  <si>
    <t>NEW BIOTECHNOL</t>
  </si>
  <si>
    <t>New Biotech.</t>
  </si>
  <si>
    <t>O18-3</t>
  </si>
  <si>
    <t>S69</t>
  </si>
  <si>
    <t>S70</t>
  </si>
  <si>
    <t>10.1016/j.nbt.2014.05.1771</t>
  </si>
  <si>
    <t>Biochemical Research Methods; Biotechnology &amp; Applied Microbiology</t>
  </si>
  <si>
    <t>Biochemistry &amp; Molecular Biology; Biotechnology &amp; Applied Microbiology</t>
  </si>
  <si>
    <t>AY0PJ</t>
  </si>
  <si>
    <t>WOS:000347298600158</t>
  </si>
  <si>
    <t>Uotila, P; Holland, PR; Vihma, T; Marsland, SJ; Kimura, N</t>
  </si>
  <si>
    <t>Uotila, P.; Holland, P. R.; Vihma, T.; Marsland, S. J.; Kimura, N.</t>
  </si>
  <si>
    <t>Is realistic Antarctic sea-ice extent in climate models the result of excessive ice drift?</t>
  </si>
  <si>
    <t>Thermodynamics; Divergence; Advection</t>
  </si>
  <si>
    <t>CMIP5; OCEAN; SIMULATIONS; TRENDS; CORE</t>
  </si>
  <si>
    <t>For the first time, we compute the sea-ice concentration budget of a fully coupled climate model, the Australian ACCESS model, in order to assess its realism in simulating the autumn-winter evolution of Antarctic sea ice. The sea-ice concentration budget consists of the local change, advection and divergence, and the residual component which represents the net effect of thermodynamics and ridging. Although the model simulates the evolution of sea-ice area reasonably well, its sea-ice concentration budget significantly deviates from the observed one. The modelled sea-ice budget components deviate from observed close to the Antarctic coast, where the modelled ice motion is more convergent, and near the ice edge, where the modelled ice is advected faster than observed due to inconsistencies between ice velocities. In the central ice pack the agreement between the model and observations is better. Based on this, we propose that efforts to simulate the observed Antarctic sea-ice trends should focus on improving the realism of modelled ice drift. (C) 2014 Elsevier Ltd. All rights reserved.</t>
  </si>
  <si>
    <t>[Uotila, P.; Marsland, S. J.] CSIRO Marine &amp; Atmospher Res, Aspendale, Vic, Australia; [Uotila, P.; Vihma, T.] Finnish Meteorol Inst, FIN-00101 Helsinki, Finland; [Holland, P. R.] British Antarctic Survey, Cambridge CB3 0ET, England; [Kimura, N.] Natl Inst Polar Res, Tachikawa, Tokyo, Japan</t>
  </si>
  <si>
    <t>Commonwealth Scientific &amp; Industrial Research Organisation (CSIRO); Finnish Meteorological Institute; UK Research &amp; Innovation (UKRI); Natural Environment Research Council (NERC); NERC British Antarctic Survey; Research Organization of Information &amp; Systems (ROIS); National Institute of Polar Research (NIPR) - Japan</t>
  </si>
  <si>
    <t>Uotila, P (corresponding author), Finnish Meteorol Inst, FIN-00101 Helsinki, Finland.</t>
  </si>
  <si>
    <t>petteri.uotila@fmi.fi</t>
  </si>
  <si>
    <t>Uotila, Petteri/A-1703-2012; Holland, Paul R/G-2796-2012; Vihma, Timo/ABC-9771-2020; Marsland, Simon J/A-1453-2012</t>
  </si>
  <si>
    <t>Uotila, Petteri/0000-0002-2939-7561; Marsland, Simon J/0000-0002-5664-5276</t>
  </si>
  <si>
    <t>Academy of Finland through the AMICO project [263918]; Australian Government Department of the Environment; Bureau of Meteorology and CSIRO through the Australian Climate Change Science Programme; NCI National Facility at the ANU; NERC [bas0100028] Funding Source: UKRI; Natural Environment Research Council [bas0100028] Funding Source: researchfish</t>
  </si>
  <si>
    <t>Academy of Finland through the AMICO project; Australian Government Department of the Environment(Australian Government); Bureau of Meteorology and CSIRO through the Australian Climate Change Science Programme; NCI National Facility at the ANU; NERC(UK Research &amp; Innovation (UKRI)Natural Environment Research Council (NERC)); Natural Environment Research Council(UK Research &amp; Innovation (UKRI)Natural Environment Research Council (NERC))</t>
  </si>
  <si>
    <t>This research was funded by the Academy of Finland through the AMICO project (Grant 263918) and by the Australian Government Department of the Environment, the Bureau of Meteorology and CSIRO through the Australian Climate Change Science Programme. This work was supported by the NCI National Facility at the ANU. We thank the ACCESS model development team for producing and making available their model output.</t>
  </si>
  <si>
    <t>10.1016/j.ocemod.2014.04.004</t>
  </si>
  <si>
    <t>AI2EE</t>
  </si>
  <si>
    <t>WOS:000336669400003</t>
  </si>
  <si>
    <t>Miller, J</t>
  </si>
  <si>
    <t>Miller, Johanna</t>
  </si>
  <si>
    <t>Trouble lies ahead for Antarctic ice</t>
  </si>
  <si>
    <t>10.1063/PT.3.2434</t>
  </si>
  <si>
    <t>WOS:000341448200008</t>
  </si>
  <si>
    <t>Figuerola, B; Núñez-Pons, L; Monleón-Getino, T; Avila, C</t>
  </si>
  <si>
    <t>Figuerola, Blanca; Nunez-Pons, Laura; Monleon-Getino, Toni; Avila, Conxita</t>
  </si>
  <si>
    <t>Chemo-ecological interactions in Antarctic bryozoans</t>
  </si>
  <si>
    <t>Cheirimedon femoratus; Cytotoxicity; Sterechinus neumayeri; Substrate preference; Repellence; Marine invertebrates</t>
  </si>
  <si>
    <t>WEDDELL SEA SHELF; CHEMICAL DEFENSE; SECONDARY METABOLITES; MARINE; DIVERSITY; PREDATION; AMPHIPODS; LARVAE; METAMORPHOSIS; ASSEMBLAGES</t>
  </si>
  <si>
    <t>The role of bioactive metabolites in ecological interactions involving Antarctic bryozoans has been scarcely studied. Bryozoans are one of the most abundant and diverse members of the Antarctic benthos and are preyed upon by diverse kinds of predators. They seem to be casual food items of the common Antarctic sea urchin Sterechinus neumayeri and the ubiquitous omnivorous amphipod Cheirimedon femoratus. In this study, the cytotoxic activity against embryos and sperm of the sea urchin S. neumayeri and the substrate preferences of the amphipod C. femoratus were assessed using organic extracts from Antarctic bryozoans, in order to determine the presence of chemical defenses. New adapted protocols were designed using a solidifying gel for simulating bryozoans' surface. We analyzed 32 organic extracts from 16 samples that belonged to 13 different bryozoan species. No cytotoxicity was detected against embryos of S. neumayeri, while 12 of the 13 bryozoan species were cytotoxic to sperm at natural concentrations. In the substrate preference assays, the amphipod C. femoratus was repelled by ten species. The variable bioactivities found in both types of organic partitions of extracts indicated the presence of both lipophilic and hydrophilic defenses. Inter- and intraspecific variability of chemical defenses was detected also, suggesting environmental-induced responses, symbiotic production, and/or genetic variability. Possible alternative defensive mechanisms are also discussed for species with low or no chemical defense. Our results clearly support the fact that chemically mediated bioactivity in Antarctic bryozoans is common, and there is a likely ecological role of cytotoxic and repellent compounds for their protection.</t>
  </si>
  <si>
    <t>[Figuerola, Blanca; Nunez-Pons, Laura; Avila, Conxita] Univ Barcelona, Fac Biol, Dept Anim Biol Invertebrates, E-08028 Barcelona, Spain; [Figuerola, Blanca; Nunez-Pons, Laura; Avila, Conxita] Univ Barcelona, Fac Biol, Biodivers Res Inst IrBIO, E-08028 Barcelona, Spain; [Monleon-Getino, Toni] Univ Barcelona, Fac Biol, Dept Stat, E-08028 Barcelona, Catalunya, Spain</t>
  </si>
  <si>
    <t>University of Barcelona; University of Barcelona; University of Barcelona</t>
  </si>
  <si>
    <t>Figuerola, B (corresponding author), Univ Barcelona, Fac Biol, Dept Anim Biol Invertebrates, Av Diagonal 643, E-08028 Barcelona, Spain.</t>
  </si>
  <si>
    <t>Figuerola, Blanca/C-6252-2015; Monleon-Getino, Toni/ABI-1245-2020; Avila, Conxita/B-9466-2008</t>
  </si>
  <si>
    <t>Figuerola, Blanca/0000-0003-4731-9337; Monleon-Getino, Toni/0000-0001-8214-3205; Avila, Conxita/0000-0002-5489-8376</t>
  </si>
  <si>
    <t>Spanish government [CGL2007-65453/ANT, CTM2010-17415/ANT]</t>
  </si>
  <si>
    <t>Spanish government(Spanish Government)</t>
  </si>
  <si>
    <t>We are thankful to J. Vazquez, J. Moles, C. Angulo, F. J. Cristobo, and S. Taboada for their laboratory and field work support. We are very grateful to Dr. A. O'Dea (Smithsonian Tropical Research Institute), who kindly reviewed the manuscript for English grammar. In this study, we used the extracts and isolated compounds from ECOQUIM and ACTIQUIM projects and for this reason, we want to thank W. Arntz, the R/V Polarstern, and the BIO-Hesperides crew. We would like to thank as well the Unidad de Tecnologia Marina (UTM) and the crew of Las Palmas vessel for all their logistic support. Special thanks are also given to the crew of the Gabriel de Castilla Antarctic Spanish Base (BAE) for their help. Reviewers' suggestions were very valuable to give a final shape to our work. This research was developed in the frame of the ACTIQUIM projects (CGL2007-65453/ANT, CTM2010-17415/ANT) financed by the Spanish government.</t>
  </si>
  <si>
    <t>10.1007/s00300-014-1497-7</t>
  </si>
  <si>
    <t>WOS:000338278300008</t>
  </si>
  <si>
    <t>Pope, A; Rees, WG; Fox, AJ; Fleming, A</t>
  </si>
  <si>
    <t>Pope, Allen; Rees, W. Gareth; Fox, Adrian J.; Fleming, Andrew</t>
  </si>
  <si>
    <t>Open Access Data in Polar and Cryospheric Remote Sensing</t>
  </si>
  <si>
    <t>polar; Arctic; Antarctic; cryosphere; glaciers; permafrost; snow; sea ice; data; open access; multispectral; SAR; passive microwave; airphot; scatterometry; DEMs; software</t>
  </si>
  <si>
    <t>DIGITAL ELEVATION MODEL; GLACIER VOLUME CHANGE; SEA-ICE EXTENT; MASS-BALANCE; ANTARCTIC PENINSULA; SATELLITE RADAR; LASER DATA; SURFACE; RESOLUTION; LANDSAT</t>
  </si>
  <si>
    <t>This paper aims to introduce the main types and sources of remotely sensed data that are freely available and have cryospheric applications. We describe aerial and satellite photography, satellite-borne visible, near-infrared and thermal infrared sensors, synthetic aperture radar, passive microwave imagers and active microwave scatterometers. We consider the availability and practical utility of archival data, dating back in some cases to the 1920s for aerial photography and the 1960s for satellite imagery, the data that are being collected today and the prospects for future data collection; in all cases, with a focus on data that are openly accessible. Derived data products are increasingly available, and we give examples of such products of particular value in polar and cryospheric research. We also discuss the availability and applicability of free and, where possible, open-source software tools for reading and processing remotely sensed data. The paper concludes with a discussion of open data access within polar and cryospheric sciences, considering trends in data discoverability, access, sharing and use.</t>
  </si>
  <si>
    <t>[Pope, Allen] Univ Colorado, Natl Snow &amp; Ice Data Ctr, Boulder, CO 80303 USA; [Pope, Allen] Dartmouth Coll, Dept Earth Sci, Hanover, NH 03755 USA; [Pope, Allen; Rees, W. Gareth] Univ Cambridge, Scott Polar Res Inst, Cambridge CB2 1ER, England; [Fox, Adrian J.; Fleming, Andrew] British Antarctic Survey, Cambridge CB3 0ET, England</t>
  </si>
  <si>
    <t>University of Colorado System; University of Colorado Boulder; Dartmouth College; University of Cambridge; UK Research &amp; Innovation (UKRI); Natural Environment Research Council (NERC); NERC British Antarctic Survey</t>
  </si>
  <si>
    <t>Pope, A (corresponding author), Univ Colorado, Natl Snow &amp; Ice Data Ctr, 1540 30th St, Boulder, CO 80303 USA.</t>
  </si>
  <si>
    <t>allen.pope@nsidc.org; wgr2@cam.ac.uk; ajfo@bas.ac.uk; ahf@bas.ac.uk</t>
  </si>
  <si>
    <t>Rees, William Gareth/AAM-9701-2020</t>
  </si>
  <si>
    <t>Rees, William Gareth/0000-0001-6020-1232; Pope, Allen/0000-0001-9699-7500</t>
  </si>
  <si>
    <t>Earth Observation Technology Cluster, a knowledge exchange project - Natural Environment Research Council (NERC) under its Technology Clusters Programme; U.S. National Science Foundation Graduate Research Fellowship Program; Trinity College (Cambridge); Dartmouth Visiting Young Scientist program - NASA New Hampshire Space Grant; Natural Environment Research Council [bas010011] Funding Source: researchfish; NERC [bas010011] Funding Source: UKRI</t>
  </si>
  <si>
    <t>Earth Observation Technology Cluster, a knowledge exchange project - Natural Environment Research Council (NERC) under its Technology Clusters Programme(UK Research &amp; Innovation (UKRI)Natural Environment Research Council (NERC)); U.S. National Science Foundation Graduate Research Fellowship Program(National Science Foundation (NSF)); Trinity College (Cambridge); Dartmouth Visiting Young Scientist program - NASA New Hampshire Space Grant; Natural Environment Research Council(UK Research &amp; Innovation (UKRI)Natural Environment Research Council (NERC)); NERC(UK Research &amp; Innovation (UKRI)Natural Environment Research Council (NERC))</t>
  </si>
  <si>
    <t>A. Pope would like to acknowledge support from the Earth Observation Technology Cluster, a knowledge exchange project, funded by the Natural Environment Research Council (NERC) under its Technology Clusters Programme, the U.S. National Science Foundation Graduate Research Fellowship Program, Trinity College (Cambridge) and the Dartmouth Visiting Young Scientist program sponsored by the NASA New Hampshire Space Grant. Thank you to four anonymous reviewers, David Long (Brigham Young University), Anna-Maria Trofaier (Scott Polar Research Institute, University of Cambridge), Amanda Plagge (Thayer School of Engineering, Dartmouth College) and Karen Alley, Donna Scott and Lynn Yarmey (National Snow and Ice Data Center, University of Colorado, Boulder) for many helpful comments, which improved the manuscript.</t>
  </si>
  <si>
    <t>10.3390/rs6076183</t>
  </si>
  <si>
    <t>AM7IE</t>
  </si>
  <si>
    <t>Green Submitted, Green Accepted, gold</t>
  </si>
  <si>
    <t>WOS:000340038700014</t>
  </si>
  <si>
    <t>Roth-Nebelsick, A; Oehm, C; Grein, M; Utescher, T; Kunzmann, L; Friedrich, JP; Konrad, W</t>
  </si>
  <si>
    <t>Roth-Nebelsick, Anita; Oehm, Christoph; Grein, Michaela; Utescher, Torsten; Kunzmann, Lutz; Friedrich, Jan-Peter; Konrad, Wilfried</t>
  </si>
  <si>
    <t>Stomatal density and index data of Platanus neptuni leaf fossils and their evaluation as a CO2 proxy for the Oligocene</t>
  </si>
  <si>
    <t>Oligocene; CO2; Platanus neptuni; Stomatal density; Stomatal index; Gas exchange</t>
  </si>
  <si>
    <t>ATMOSPHERIC CO2; CARBON-DIOXIDE; CLIMATE; CONDUCTANCE; EXTINCT; PALEOGENE; PHOTOSYNTHESIS; TRANSPIRATION; INDICATORS; TERTIARY</t>
  </si>
  <si>
    <t>Platanus neptuni (Ettingshausen) Buzek, Holy and Kvacek is a deciduous and preferentially azonal taxon of temperate to warm-temperate vegetation in Europe from the Late Eocene to the Late Miocene. The high fossilization potential of its leaves and easily identifiable stomata and epidermal cells make P. neptuni an excellent source of stomatal data that can be utilized as a CO2 proxy. Moreover, it was found in former studies that CO2 data based on stomatal frequency data of P. neptuni overlapped to a high degree with CO2 results which are provided by other, contemporaneous taxa. In this study, the stomatal CO2 signal of P. neptuni is expanded to include the early Oligocene and is analyzed in more detail with three aims: 1) to evaluate the CO2 signal of P. neptuni stomatal data, 2) to check SI and SD data of P. neptuni for consistency, and 3) to contribute additional terrestrial CO2 data to the Oligocene record. During the Oligocene, full scale Antarctic glaciation occurred, punctuated by various distinct glaciation events. There is evidence that Oligocene glaciation was coupled to atmospheric CO2 level. Presently, the main proxy sources for Oligocene CO2 levels are alkenones and boron-isotope data, both obtained from marine sediments. Since P. neptuni is an extinct taxon, CO2 was reconstructed by using an ecophysiological modeling approach to plant gas exchange which utilizes various other data in addition to stomatal density. Material was considered from sites which are dated to the following time intervals: early Oligocene -33.9 to 32 Ma, late Oligocene - 27 to 26.2 Ma and 25.3 to 23 Ma, and latest Oligocene - around 24 Ma. Comparison of raw SI and SD data of P. neptuni revealed partially conflicting results, with the SD data indicating a decrease in CO2 from the early to the late Oligocene whereas SI data indicate an increase. In contrast, CO2 results calculated with the gas exchange model indicate relatively stable CO2 for the considered time intervals, with levels of about 400 ppm. The reconstructed CO2 data points are similar to other proxy data and are consistent with the general climate development during the Oligocene. (C) 2014 Elsevier B.V. All rights reserved.</t>
  </si>
  <si>
    <t>[Roth-Nebelsick, Anita; Oehm, Christoph; Friedrich, Jan-Peter] State Museum Nat Hist Stuttgart, D-70191 Stuttgart, Germany; [Grein, Michaela] Ubersee Museum Bremen, D-28195 Bremen, Germany; [Utescher, Torsten] Univ Bonn, Steinmann Inst, D-53115 Bonn, Germany; [Utescher, Torsten] Senckenberg Res Inst, D-60325 Frankfurt, Germany; [Kunzmann, Lutz] Senckenberg Nat Hist Collect Dresden, D-01109 Dresden, Germany; [Konrad, Wilfried] Univ Tubingen, Dept Geosci, D-72074 Tubingen, Germany</t>
  </si>
  <si>
    <t>University of Bonn; Senckenberg Gesellschaft fur Naturforschung (SGN); Senckenberg Gesellschaft fur Naturforschung (SGN); Eberhard Karls University of Tubingen</t>
  </si>
  <si>
    <t>Roth-Nebelsick, A (corresponding author), State Museum Nat Hist Stuttgart, Rosenstein 1, D-70191 Stuttgart, Germany.</t>
  </si>
  <si>
    <t>anita.rothnebelsick@smns-bw.de</t>
  </si>
  <si>
    <t>Kunzmann, Lutz/AAA-5030-2021</t>
  </si>
  <si>
    <t>Kunzmann, Lutz/0000-0001-6445-3920</t>
  </si>
  <si>
    <t>German Science Foundation (within the ODP program) [RO1087_16-1]</t>
  </si>
  <si>
    <t>German Science Foundation (within the ODP program)</t>
  </si>
  <si>
    <t>This study was supported by a grant of the German Science Foundation to A. Roth-Nebelsick (within the ODP program) (RO1087_16-1). We thank James H. Nebelsick, University of Tubingen, for critically reading the English manuscript; Mareike Eberlein for technical assistance in sampling material for isotope measurements and Madeleine Streubig, both Senckenberg Natural History Collections Dresden, for a digital map of Saxony with fossil sites. We thank two anonymous reviewers and the editor for constructive comments.</t>
  </si>
  <si>
    <t>10.1016/j.revpalbo.2014.03.001</t>
  </si>
  <si>
    <t>AH8AG</t>
  </si>
  <si>
    <t>WOS:000336355900001</t>
  </si>
  <si>
    <t>Avilés, LA</t>
  </si>
  <si>
    <t>Arriagada Aviles, Leonardo</t>
  </si>
  <si>
    <t>VIRTUES AND PRESENT OF PILOTO PARDO</t>
  </si>
  <si>
    <t>Virtues; Spirit of Sacrifice; Ethics</t>
  </si>
  <si>
    <t>This article refers to the feat of the Piloto Pardo made early last century, his performance shows so heroic virtues that reflect humanity chilenidad and act according to the values of the institution of the Chilean Navy. It is the first mission of the Navy in the Antarctic continent. The article is based on historical texts, statutes of the navy and the fact contemporary journals.</t>
  </si>
  <si>
    <t>leonardoarriagada@santotomas.cl</t>
  </si>
  <si>
    <t>V36HX</t>
  </si>
  <si>
    <t>WOS:000215960400001</t>
  </si>
  <si>
    <t>Navarrete, JA; Cueto, DC</t>
  </si>
  <si>
    <t>Acevedo Navarrete, Juan; Carvajal Cueto, David</t>
  </si>
  <si>
    <t>FISHING ORDINANCE 1892: BACKGROUND AND DEVELOPMENT IN THE TERRITORY OF MAGALLANES, 1880-1902</t>
  </si>
  <si>
    <t>Fisheries Ordinance; Sea Lions; Territory of Magallanes</t>
  </si>
  <si>
    <t>This bibliographic and documentary research aims to approximate a description of the Fisheries Ordinance 1892, their background and the first decade of entry into force. That legislation was to regulate the industry so sea lions, in the territorial waters of the country. Fitting that the ordinance experienced during its first decade and determine public policy decisions made in relation to fishing or hunting of seals in the Territory of Magallanes and Antarctic seas. However, the inefficiency of the standard, ultimately led to the search for new mechanisms to strengthen it.</t>
  </si>
  <si>
    <t>jao.acevedo@gmail.cl; info.dcarvajal@gmail.com</t>
  </si>
  <si>
    <t>WOS:000215960400002</t>
  </si>
  <si>
    <t>Piña, EM</t>
  </si>
  <si>
    <t>Morales Pina, Eddie</t>
  </si>
  <si>
    <t>BRAVE BOYS. EXPERIENCES IN THE CHILEAN ANTARCTIC IN 1947</t>
  </si>
  <si>
    <t>Book Review</t>
  </si>
  <si>
    <t>[Morales Pina, Eddie] Univ Playa Ancha, Fac Humanidades, Avda Playa Ancha 850, Valparaiso, Chile</t>
  </si>
  <si>
    <t>Universidad de Playa Ancha</t>
  </si>
  <si>
    <t>Piña, EM (corresponding author), Univ Playa Ancha, Fac Humanidades, Avda Playa Ancha 850, Valparaiso, Chile.</t>
  </si>
  <si>
    <t>emorales@upla.cl</t>
  </si>
  <si>
    <t>WOS:000215960400004</t>
  </si>
  <si>
    <t>Xie AiHong; Allison, Ian; Xiao CunDe; Wang ShiMeng; Ren JiaWen; Qin DaHe</t>
  </si>
  <si>
    <t>Assessment of air temperatures from different meteorological reanalyses for the East Antarctic region between Zhongshan and Dome A</t>
  </si>
  <si>
    <t>SCIENCE CHINA-EARTH SCIENCES</t>
  </si>
  <si>
    <t>East Antarctica; reanalysis data; surface temperature; Zhongshan-Dome A; Automatic Weather stations (AWS)</t>
  </si>
  <si>
    <t>SNOW TEMPERATURES; SURFACE CLIMATE; ICE-SHEET; STATION; SUMMIT; PERFORMANCE; PLATEAU; PROJECT; ERA-40; CHAMP</t>
  </si>
  <si>
    <t>The accuracy of daily mean 2 meter air temperatures from five reanalyses are assessed against in-situ observations from Automatic Weather Stations in East Antarctica for 2005 to 2008. The five reanalyses all explain more than 70% of the average variance, and have annual root mean square errors (RMSE) between 3.4 and 6.9 degrees C. The NOAA reanalyses, NCEP-1, NCEP-2 and 20CRv2, have cool biases of 2.5, 1.4 and 1.5 degrees C, respectively. The ERA Interim and JCDAS reanalyses have warm biases of 1.7 and 2.0 degrees C. All reanalyses generally perform better in the austral spring and worse in winter and autumn. They also show the best performance at an inland plateau site at 2800 m elevation, but are worst at Dome A, the summit of the East Antarctic ice sheet. In general, ERA Interim is superior to the other reanalyses, probably because of its 4D assimilation scheme. The three NOAA reanalyses perform worst; Their assimilation scheme is more constrained by limited observations and 20CRv2 has less input data, assimilating only surface pressure observations. Despite deficiencies and limitations, the reanalyses are still powerful tools for climate studies in the Antarctic region. However, more in-situ observations are required, especially from the vast interior of Antarctica.</t>
  </si>
  <si>
    <t>[Xie AiHong; Xiao CunDe; Wang ShiMeng; Ren JiaWen; Qin DaHe] Chinese Acad Sci, State Key Lab Colospher Sci, Cold &amp; Arid Reg Environm &amp; Engn Res Inst, Lanzhou 730000, Peoples R China; [Allison, Ian] Cooperat Res Ctr, Hobart, Tas 7001, Australia; [Xiao CunDe] Chinese Acad Meteorol Sci, Beijing 100081, Peoples R China</t>
  </si>
  <si>
    <t>Xie, AH (corresponding author), Chinese Acad Sci, State Key Lab Colospher Sci, Cold &amp; Arid Reg Environm &amp; Engn Res Inst, Lanzhou 730000, Peoples R China.</t>
  </si>
  <si>
    <t>xieaih@lzb.ac.cn; cdxiao@lzb.ac.cn</t>
  </si>
  <si>
    <t>Allison, Ian F/I-4477-2015; Jiawen, Ren/K-7734-2012</t>
  </si>
  <si>
    <t>Allison, Ian F/0000-0001-9599-0251;</t>
  </si>
  <si>
    <t>Major State Basic Research Development Program of China [2013CBA01804]; National Natural Science Foundation of China [41121001, 40801027]; State Key Laboratory of Cryospheric Sciences [SKLCS-ZZ-2012-01-07]; Chinese Academy of Sciences [Y129N31001]</t>
  </si>
  <si>
    <t>Major State Basic Research Development Program of China(National Basic Research Program of China); National Natural Science Foundation of China(National Natural Science Foundation of China (NSFC)); State Key Laboratory of Cryospheric Sciences; Chinese Academy of Sciences(Chinese Academy of Sciences)</t>
  </si>
  <si>
    <t>This research was funded by the Major State Basic Research Development Program of China (Grant No. 2013CBA01804), the National Natural Science Foundation of China (Grant Nos. 41121001, 40801027) and the State Key Laboratory of Cryospheric Sciences (Grant No. SKLCS-ZZ-2012-01-07). Ian's contribution was supported by a Visiting Professorship for Senior International Scientists from the Chinese Academy of Sciences (Grant No. Y129N31001). Our sincere appreciation goes to Prof Lu Longhua for providing the meteorological data from Zhongshan, to Prof Lu Longhua, Bian Lingen and Zhang Dongqi for their insightful comments, to Dr. Ma Lijuan and Dr. Chao Zhenhua for assisting with access to the reanalysis data, to Dr. You Qinglong for helping make the Taylor diagrams, and to Dr. Ma Yongfeng for helping in correcting the observational temperatures for height change. The authors would like to acknowledge the National Oceanic and Atmospheric Administration (NOAA), the European Centre for Medium-Range Weather Forecasts (ECMWF) and Japan Meteorological Agency (JMA) for their operational reanalysis datasets.</t>
  </si>
  <si>
    <t>1674-7313</t>
  </si>
  <si>
    <t>1869-1897</t>
  </si>
  <si>
    <t>SCI CHINA EARTH SCI</t>
  </si>
  <si>
    <t>Sci. China-Earth Sci.</t>
  </si>
  <si>
    <t>10.1007/s11430-013-4684-4</t>
  </si>
  <si>
    <t>AK2SJ</t>
  </si>
  <si>
    <t>WOS:000338269500010</t>
  </si>
  <si>
    <t>Boger, SD; Hirdes, W; Ferreira, CAM; Schulte, B; Jenett, T; Fanning, CM</t>
  </si>
  <si>
    <t>Boger, S. D.; Hirdes, W.; Ferreira, C. A. M.; Schulte, B.; Jenett, T.; Fanning, C. M.</t>
  </si>
  <si>
    <t>From passive margin to volcano-sedimentary forearc: The Tonian to Cryogenian evolution of the Anosyen Domain of southeastern Madagascar</t>
  </si>
  <si>
    <t>Madagascar; Gondwana; Tectonics; Depositional ages; East African Orogen; Indo-Antarctic Craton</t>
  </si>
  <si>
    <t>U-PB GEOCHRONOLOGY; MALANI IGNEOUS SUITE; ULTRAHIGH-TEMPERATURE METAMORPHISM; NORTHWEST INDIA IMPLICATIONS; KERALA KHONDALITE BELT; EAST-AFRICAN OROGEN; ND-SR ISOTOPES; SOUTHERN INDIA; DETRITAL ZIRCON; TECTONIC EVOLUTION</t>
  </si>
  <si>
    <t>The Anosyen Domain of southeastern Madagascar represents a part of a vast sequence of predominantly siliciclastic and carbonaceous sedimentary and felsic volcanic rocks that can be traced from Madagascar through southern India, Sri Lanka, and into East Antarctica. We present new age and geochemical data from the Iakora and Horombe groups: units that represent the sedimentary and volcanogenic components of the Anosyen Domain. Our data demonstrate that the siliciclastic sedimentary rocks of the Iakora Group contain predominantly 2400-1600 Ma aged detrital zircon with a modal age peak at approximately 1850 Ma. This age spectrum is comparable to those reported from the majority of the other sedimentary rocks exposed in Madagascar. The felsic volcanic rocks of the Horombe Group are of both metaluminous and peraluminous composition and have a similar chemistry and the same age as the Imorona-Itsindro Suite (840-700 Ma), a voluminous suite of continental arc-related granitoids that intrude central and northern Madagascar. Taken together we interpret the strata of the Anosyen Domain to have been deposited in an expansive continent margin basin that existed on the western ocean-facing margin of the Indo-Antarctic Craton. We infer this basin records both passive margin and forearc phases of deposition and, on the basis of the regional similarities in detrital zircon spectra and cross-cutting relationships, suggest the older passive margin phase of deposition occurred after c. 980 Ma. The younger forearc phase of deposition occurred in the Cryogenian synchronous with the development of the Imorona-Itsindro magmatic arc (840-700 Ma). This suite reflects east-dipping subduction beneath the western margin of the Indo-Antarctic Craton and defines a linear belt of intrusions that, similar to the forearc sediments of the Anosyen Domain, can be traced from East Antarctica through Madagascar and potentially into East Africa, regions we take to have been continuous within the pre-Gondwana Indo-Antarctic plate. The volcanic and plutonic rocks of the Malani Igneous Suite (780-730 Ma) may represent the coeval backarc basin. (C) 2014 Elsevier B.V. All rights reserved.</t>
  </si>
  <si>
    <t>[Boger, S. D.] Univ Melbourne, Sch Earth Sci, Melbourne, Vic 3010, Australia; [Hirdes, W.] Bundesanstalt Geowissensch &amp; Rohstoffe, D-30655 Hannover, Germany; [Ferreira, C. A. M.] GaiaPix, ZA-2123 Pinegowrie, South Africa; [Boger, S. D.; Schulte, B.; Jenett, T.] GAF AG, D-80634 Munich, Germany; [Fanning, C. M.] Australian Natl Univ, Res Sch Earth Sci, Canberra, ACT 0200, Australia</t>
  </si>
  <si>
    <t>University of Melbourne; Melbourne Bioinformatics; Australian National University</t>
  </si>
  <si>
    <t>Boger, SD (corresponding author), Univ Melbourne, Sch Earth Sci, Melbourne, Vic 3010, Australia.</t>
  </si>
  <si>
    <t>sdboger@unimelb.edu.au</t>
  </si>
  <si>
    <t>Fanning, C. Mark/I-6449-2016</t>
  </si>
  <si>
    <t>Boger, Steven/0000-0003-0739-6266</t>
  </si>
  <si>
    <t>International Development Agency [3754 MAG]; Projet de Gouvernance des Ressources Minerales (PRGM - Madagascar)</t>
  </si>
  <si>
    <t>International Development Agency; Projet de Gouvernance des Ressources Minerales (PRGM - Madagascar)</t>
  </si>
  <si>
    <t>Our research was funded by the International Development Agency, Credit No. 3754 MAG. The project was undertaken under the auspices of the Projet de Gouvernance des Ressources Minerales (PRGM - Madagascar). SDB and WH gratefully acknowledge the hard work and cheerful companionship of Richard Dallwig and Ulrich Schwarz-Schampera members of the Carto Sud team not directly involved in this research. The authors also wish to acknowledge the efforts of the Malagasy geologic and support staff, in particular the efforts of Auguste Razafinjoelina and Dauphin Raharinoro, the drivers, mountain guides, and good friends of SDB. Alan Collins and an anonymous reviewer are also thanked for their constructive comments. Delia Rosel is thanked for thoroughly proof reading the final version of the manuscript.</t>
  </si>
  <si>
    <t>10.1016/j.precamres.2014.04.004</t>
  </si>
  <si>
    <t>AI4FO</t>
  </si>
  <si>
    <t>WOS:000336821300009</t>
  </si>
  <si>
    <t>Smith, KE; Callahan, MP; Gerakines, PA; Dworkin, JP; House, CH</t>
  </si>
  <si>
    <t>Smith, Karen E.; Callahan, Michael P.; Gerakines, Perry A.; Dworkin, Jason P.; House, Christopher H.</t>
  </si>
  <si>
    <t>Investigation of pyridine carboxylic acids in CM2 carbonaceous chondrites: Potential precursor molecules for ancient coenzymes</t>
  </si>
  <si>
    <t>NITROGEN-HETEROCYCLIC COMPOUNDS; AMINO-ACIDS; DIPHOSPHOPYRIDINE NUCLEOTIDE; NICOTINIC-ACID; ULTRAVIOLET PHOTOIRRADIATION; DEUTERIUM ENRICHMENT; MURCHISON METEORITE; ORGANIC-MATTER; IRRADIATION; ICE</t>
  </si>
  <si>
    <t>The distribution and abundances of pyridine carboxylic acids (including nicotinic acid) in eight CM2 carbonaceous chondrites (ALH 85013, DOM 03183, DOM 08003, EET 96016, LAP 02333, LAP 02336, LEW 85311, and WIS 91600) were investigated by liquid chromatography coupled to UV detection and high resolution Orbitrap mass spectrometry. We find that pyridine monocarboxylic acids are prevalent in CM2-type chondrites and their abundance negatively correlates with the degree of pre-terrestrial aqueous alteration that the meteorite parent body experienced. We also report the first detection of pyridine dicarboxylic acids in carbonaceous chondrites. Additionally, we carried out laboratory studies of proton-irradiated pyridine in carbon dioxide-rich ices (a 1: 1 mixture) to serve as a model of the interstellar ice chemistry that may have led to the synthesis of pyridine carboxylic acids. Analysis of the irradiated ice residue shows that a comparable suite of pyridine mono-and dicarboxylic acids was produced, although aqueous alteration may still play a role in the synthesis (and ultimate yield) of these compounds in carbonaceous meteorites. Nicotinic acid is a precursor to nicotinamide adenine dinucleotide, a likely ancient molecule used in cellular metabolism in all of life, and its common occurrence in CM2 chondrites may indicate that meteorites may have been a source of molecules for the emergence of more complex coenzymes on the early Earth. (C) 2014 Elsevier Ltd. All rights reserved.</t>
  </si>
  <si>
    <t>[Smith, Karen E.; House, Christopher H.] Penn State Univ, Dept Geosci, University Pk, PA 16802 USA; [Smith, Karen E.; House, Christopher H.] Penn State Univ, Penn State Astrobiol Res Ctr, University Pk, PA 16802 USA; [Callahan, Michael P.; Gerakines, Perry A.; Dworkin, Jason P.] NASA, Goddard Space Flight Ctr, Solar Syst Explorat Div, Greenbelt, MD 20771 USA; [Callahan, Michael P.; Gerakines, Perry A.; Dworkin, Jason P.] NASA, Goddard Space Flight Ctr, Goddard Ctr Astrobiol, Greenbelt, MD 20771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</si>
  <si>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National Aeronautics &amp; Space Administration (NASA); NASA Goddard Space Flight Center; National Aeronautics &amp; Space Administration (NASA); NASA Goddard Space Flight Center</t>
  </si>
  <si>
    <t>Smith, KE (corresponding author), Penn State Univ, Dept Geosci, 220 Deike Bldg, University Pk, PA 16802 USA.</t>
  </si>
  <si>
    <t>karen.e.smith@nasa.gov</t>
  </si>
  <si>
    <t>Gerakines, Perry A/D-2226-2012; Callahan, Michael P/D-3630-2012; Dworkin, Jason P./C-9417-2012</t>
  </si>
  <si>
    <t>Dworkin, Jason P./0000-0002-3961-8997</t>
  </si>
  <si>
    <t>NASA Astrobiology Institute via the Penn State Astrobiology Research Center [NNA09DA76A]; NASA Cosmochemistry Program; NASA Astrobiology Institute via the Goddard Center for Astrobiology; Goddard Center for Astrobiology; NASA Pennsylvania Space Grant Consortium</t>
  </si>
  <si>
    <t>NASA Astrobiology Institute via the Penn State Astrobiology Research Center; NASA Cosmochemistry Program(National Aeronautics &amp; Space Administration (NASA)); NASA Astrobiology Institute via the Goddard Center for Astrobiology; Goddard Center for Astrobiology; NASA Pennsylvania Space Grant Consortium</t>
  </si>
  <si>
    <t>The authors thank Kevin Righter and Cecilia Satterwhite (NASA Johnson Space Center, Houston, TX), and the Meteorite Working Group for providing the Antarctic meteorites. We thank Conel Alexander (Carnegie Institution for Science, Washington, DC) for helpful discussions regarding determination of aqueous alteration in meteorites. We thank Aaron Burton (NASA Johnson Space Center, Houston, TX) for his help with meteorite sample preparation. We also thank Steve Brown, Tom Ward, and Eugene Gerashchenko (Radiation Effects Facility, NASA Goddard Space Flight Center, Greenbelt, MD) for operation of the proton accelerator. K. E. S. acknowledges support from the NASA Pennsylvania Space Grant Consortium. K.E.S. and C.H.H. acknowledge support from the NASA Astrobiology Institute via the Penn State Astrobiology Research Center (cooperative agreement #NNA09DA76A). M.P.C. and J.P.D. acknowledge support from the NASA Cosmochemistry Program and the NASA Astrobiology Institute via the Goddard Center for Astrobiology. P.A.G acknowledges support from the Goddard Center for Astrobiology.</t>
  </si>
  <si>
    <t>10.1016/j.gca.2014.04.001</t>
  </si>
  <si>
    <t>AH9SG</t>
  </si>
  <si>
    <t>WOS:000336481800001</t>
  </si>
  <si>
    <t>Malinka, AV</t>
  </si>
  <si>
    <t>Malinka, Aleksey V.</t>
  </si>
  <si>
    <t>Light scattering in porous materials: Geometrical optics and stereological approach</t>
  </si>
  <si>
    <t>JOURNAL OF QUANTITATIVE SPECTROSCOPY &amp; RADIATIVE TRANSFER</t>
  </si>
  <si>
    <t>Geometrical optics; Stereology; Porous material; Random mixture; Non-spherical particles; Dense-packed media</t>
  </si>
  <si>
    <t>CHORD-LENGTH DISTRIBUTIONS; SNOW GRAIN-SIZE; SEMITRANSPARENT PARTICLES; POLLUTION AMOUNT; APPROXIMATION; RETRIEVAL; ALGORITHM; RELEVANT</t>
  </si>
  <si>
    <t>Porous Material has been considered from the point of view of stereology (geometrical statistics), as a two-phase random mixture of solid material and air. Considered are the materials having the refractive index with the real part that differs notably from unit and the imaginary part much less than unit. Light scattering in such materials has been described using geometrical optics. These two - the geometrical optics laws and the stereological approach - allow one to obtain the inherent optical properties of such a porous material, which are basic in the radiative transfer theory: the photon survival probability, the scattering phase function, and the polarization properties (Mueller matrix). In this work these characteristics are expressed through the refractive index of the material and the random chord length distribution. The obtained results are compared with the traditional approach, modeling the porous material as a pack of particles of different shapes. (c) 2014 Elsevier Ltd. All rights reserved.</t>
  </si>
  <si>
    <t>Natl Acad Sci Belarus, BI Stepanov Phys Inst, Minsk 220072, BELARUS</t>
  </si>
  <si>
    <t>National Academy of Sciences of Belarus (NASB); B.I. Stepanov Institute of Physics of the National Academy of Sciences of Belarus</t>
  </si>
  <si>
    <t>Malinka, AV (corresponding author), Natl Acad Sci Belarus, BI Stepanov Phys Inst, Pr Nezavisimosti 68, Minsk 220072, BELARUS.</t>
  </si>
  <si>
    <t>mal@light.basnet.by</t>
  </si>
  <si>
    <t>Malinka, Aleksey/AAW-3377-2021</t>
  </si>
  <si>
    <t>Malinka, Aleksey/0000-0002-0651-5115</t>
  </si>
  <si>
    <t>Project SIDARUS (Sea Ice Downstream services for Arctic and Antarctic Users and Stakeholders) - European Union within the 7th Framework Programme for Research and Development [262922]</t>
  </si>
  <si>
    <t>Project SIDARUS (Sea Ice Downstream services for Arctic and Antarctic Users and Stakeholders) - European Union within the 7th Framework Programme for Research and Development</t>
  </si>
  <si>
    <t>This work has been implemented under support of Project SIDARUS (Sea Ice Downstream services for Arctic and Antarctic Users and Stakeholders), financed by the European Union within the 7th Framework Programme for Research and Development (Grant agreement no. 262922).</t>
  </si>
  <si>
    <t>0022-4073</t>
  </si>
  <si>
    <t>1879-1352</t>
  </si>
  <si>
    <t>J QUANT SPECTROSC RA</t>
  </si>
  <si>
    <t>J. Quant. Spectrosc. Radiat. Transf.</t>
  </si>
  <si>
    <t>10.1016/j.jqsrt.2014.02.022</t>
  </si>
  <si>
    <t>Optics; Spectroscopy</t>
  </si>
  <si>
    <t>AH4QN</t>
  </si>
  <si>
    <t>WOS:000336113200003</t>
  </si>
  <si>
    <t>Fallon, CK; Panganiban, AR; Wohleber, R; Matthews, G; Kustubayeva, AM; Roberts, R</t>
  </si>
  <si>
    <t>Fallon, Corey K.; Panganiban, April Rose; Wohleber, Ryan; Matthews, Gerald; Kustubayeva, Almira M.; Roberts, Richard</t>
  </si>
  <si>
    <t>Emotional intelligence, cognitive ability and information search in tactical decision-making</t>
  </si>
  <si>
    <t>PERSONALITY AND INDIVIDUAL DIFFERENCES</t>
  </si>
  <si>
    <t>Emotional intelligence; Decision-making; Stress; Situational judgment test; Information search; Negative feedback; Mood</t>
  </si>
  <si>
    <t>PERSONALITY; PERFORMANCE; VALIDITY; STRESS</t>
  </si>
  <si>
    <t>Emotional intelligence (EI) may promote more effective decision-making under stress. In the present study, 167 participants completed a situation judgment test for EI, and performed a decision-making task based on an Antarctic rescue scenario. Participants were assigned to either a negative or neutral feedback group. Negative feedback significantly increased distress and impaired decision-making. EI failed to moderate the impacts of negative feedback, but higher EI was associated with greater information-search activity irrespective of feedback condition. It is concluded that ability EI may have a motivational component that may support more exhaustive analysis of both social and non-social stimuli. (C) 2014 Elsevier Ltd. All rights reserved.</t>
  </si>
  <si>
    <t>[Fallon, Corey K.; Panganiban, April Rose; Wohleber, Ryan] Univ Cincinnati, Cincinnati, OH 45221 USA; [Matthews, Gerald] Univ Cent Florida, Orlando, FL 32826 USA; [Kustubayeva, Almira M.] Al Farabi Kazakh Natl Univ, Alma Ata, Kazakhstan</t>
  </si>
  <si>
    <t>University System of Ohio; University of Cincinnati; State University System of Florida; University of Central Florida; Al-Farabi Kazakh National University</t>
  </si>
  <si>
    <t>Matthews, G (corresponding author), Univ Cent Florida, Inst Simulat &amp; Training, Orlando, FL 32826 USA.</t>
  </si>
  <si>
    <t>gmatthews@ist.ucf.edu</t>
  </si>
  <si>
    <t>Matthews, G/AAM-2968-2020; Kustubayeva, Almira/O-3664-2017</t>
  </si>
  <si>
    <t>Matthews, G/0000-0003-4869-338X; Kustubayeva, Almira/0000-0001-6575-6288</t>
  </si>
  <si>
    <t>0191-8869</t>
  </si>
  <si>
    <t>PERS INDIV DIFFER</t>
  </si>
  <si>
    <t>Pers. Individ. Differ.</t>
  </si>
  <si>
    <t>10.1016/j.paid.2014.01.029</t>
  </si>
  <si>
    <t>Psychology, Social</t>
  </si>
  <si>
    <t>Psychology</t>
  </si>
  <si>
    <t>AH5TG</t>
  </si>
  <si>
    <t>WOS:000336193400006</t>
  </si>
  <si>
    <t>Aulicino, G; Fusco, G; Kern, S; Budillon, G</t>
  </si>
  <si>
    <t>Aulicino, Giuseppe; Fusco, Giannetta; Kern, Stefan; Budillon, Giorgio</t>
  </si>
  <si>
    <t>Estimation of Sea-Ice Thickness in Ross and Weddell Seas from SSM/I Brightness Temperatures</t>
  </si>
  <si>
    <t>Antarctica; gradient and polarization ratios; Ross Sea; sea-ice thickness (SIT); snow depth; Special Sensor Microwave/Imager (SSM/I); Weddell Sea</t>
  </si>
  <si>
    <t>PASSIVE MICROWAVE OBSERVATIONS; COASTAL POLYNYAS; WATER; AREA; GHZ; ANTARCTICA; MINIMUM; OCEAN</t>
  </si>
  <si>
    <t>In polar regions, ocean-atmosphere interactions are strongly influenced by sea ice and its thickness. Since satellite passive microwave observations became available in the 1970s, significant progress has been made in the study of snow depth and sea ice concentration and extent in these regions. Estimating sea-ice thickness (SIT), instead, turned out to be considerably more difficult. We present a new empirical algorithm to estimate SIT in the Ross and Weddell Seas from Special Sensor Microwave/Imager brightness temperatures. This algorithm combines brightness temperature polarization difference and ratio values to obtain SIT for seasonal ice up to a thickness of about 90 cm during freezing conditions. A series of filters accounts for open water, new ice, and snow on sea ice. Our SIT estimates are consistent with colocated visual ship-based SIT observations made according to the Antarctic Sea Ice Processes and Climate project, showing linear correlation values between 0.73 and 0.96 and root-mean-square-error values between 14 and 24 cm. The seasonal development of the region average SIT derived with our approach agrees with the corresponding values derived from U.S. National Ice Center ice charts. Comparison with colocated polynya distribution maps suggests that the algorithm could be optimized for its performance with regard to SIT values around 50 cm and that a closer investigation of the snow impact on the SIT retrieval is required.</t>
  </si>
  <si>
    <t>[Aulicino, Giuseppe; Fusco, Giannetta; Budillon, Giorgio] Univ Napoli Parthenope, Dipartimento Sci &amp; Tecnol, I-80133 Naples, Italy; [Kern, Stefan] Univ Hamburg, D-20144 Hamburg, Germany</t>
  </si>
  <si>
    <t>Parthenope University Naples; University of Hamburg</t>
  </si>
  <si>
    <t>Aulicino, G (corresponding author), Univ Napoli Parthenope, Dipartimento Sci &amp; Tecnol, I-80133 Naples, Italy.</t>
  </si>
  <si>
    <t>giuseppe.aulicino@uniparthenope.it; giannetta.fusco@uniparthenope.it; stefan.kern@zmaw.de; giorgio.budillon@uniparthenope.it</t>
  </si>
  <si>
    <t>Budillon, Giorgio/O-5348-2014; Aulicino, Giuseppe/I-8981-2019; Fusco, Giannetta/J-5118-2019</t>
  </si>
  <si>
    <t>Budillon, Giorgio/0000-0003-1756-2221; Aulicino, Giuseppe/0000-0001-6406-8715; Fusco, Giannetta/0000-0003-1769-2456; Kern, Stefan/0000-0001-7281-3746</t>
  </si>
  <si>
    <t>10.1109/TGRS.2013.2279799</t>
  </si>
  <si>
    <t>AC5YO</t>
  </si>
  <si>
    <t>WOS:000332597100034</t>
  </si>
  <si>
    <t>Remund, QP; Long, DG</t>
  </si>
  <si>
    <t>Remund, Quinn P.; Long, David G.</t>
  </si>
  <si>
    <t>A Decade of QuikSCAT Scatterometer Sea Ice Extent Data</t>
  </si>
  <si>
    <t>Antarctica; Arctic; maximum likelihood (ML) detection; microwave sensors; microwave radiometry; QuikSCAT; radar remote sensing; sea ice; SeaWinds</t>
  </si>
  <si>
    <t>PASSIVE MICROWAVE; IDENTIFICATION; OCEAN; ALGORITHM</t>
  </si>
  <si>
    <t>Polar sea ice is an important input to global climate models and is considered to be a sensitive indicator of climate change. While originally designed only for wind estimation, radar backscatter measurements collected by wind scatterometers have proven useful for estimating the extent of sea ice. During the Quick Scatterometer (QuikSCAT) mission, SeaWinds data were used to operationally map the sea ice extent. The resulting sea ice maps were used to mask near-surface winds to support SeaWinds' primary mission of measuring near-surface winds over the ocean. This paper describes the operational SeaWinds sea ice extent mapping algorithm, provides validation comparisons, and presents results from the ten-year data product. Starting with enhanced resolution horizontal polarization and vertical polarization backscatter images, the algorithm employs an iterative maximum-likelihood classifier with fixed thresholds to segment sea ice and open ocean pixels. Residual classification errors are reduced through binary image processing techniques and sea ice growth/retreat constraint methods. The algorithm results are compared with sea ice concentrations derived from Special Sensor Microwave/Imager data and with RADARSAT synthetic aperture radar imagery. The results suggest differences in the sensitivities of active and passive products given their channel sets and specific algorithms. Derived sea ice extents over the full decade-long QuikSCAT mission data set are analyzed to show important trends in sea ice extent for the Antarctic and Arctic regions.</t>
  </si>
  <si>
    <t>[Remund, Quinn P.] Ball Aerosp &amp; Technol Corp, Boulder, CO 80301 USA; [Long, David G.] Brigham Young Univ, Dept Elect &amp; Comp Engn, Provo, UT 84602 USA</t>
  </si>
  <si>
    <t>Ball Aerospace &amp; Technologies; Brigham Young University</t>
  </si>
  <si>
    <t>Remund, QP (corresponding author), Ball Aerosp &amp; Technol Corp, Boulder, CO 80301 USA.</t>
  </si>
  <si>
    <t>qremund@ball.com; long@ee.byu.edu</t>
  </si>
  <si>
    <t>Long, David G./K-4908-2015</t>
  </si>
  <si>
    <t>Long, David G./0000-0002-1852-3972</t>
  </si>
  <si>
    <t>10.1109/TGRS.2013.2281056</t>
  </si>
  <si>
    <t>WOS:000332597100047</t>
  </si>
  <si>
    <t>Michael, KJ; Higgins, J</t>
  </si>
  <si>
    <t>Michael, Kelvin J.; Higgins, Jane</t>
  </si>
  <si>
    <t>Diffuse Attenuation Coefficients for East Antarctic Pack Ice and Snow at Ultraviolet and Visible Wavelengths</t>
  </si>
  <si>
    <t>Optical propagation in absorbing media; radiometry; solar radiation; ultraviolet (UV) radiometry</t>
  </si>
  <si>
    <t>SEA-ICE; OPTICAL-PROPERTIES; UVB-RADIATION; LIGHT; IRRADIANCE; ABSORPTION</t>
  </si>
  <si>
    <t>Declining stratospheric ozone concentrations have led to higher levels of ultraviolet (UV) B (UVB) radiation at the Earth's surface, particularly in Antarctic spring time. Increased exposure to UVB radiation can decrease the productivity of sea-ice algae, as well as cause damage to organisms living in the clear water beneath the Antarctic pack ice. Conversely, sea-ice algae and other photosynthetic organisms rely on photosynthetically active radiation (PAR) to drive and sustain growth. Field work performed during the 2007 Australian Antarctic Program Sea Ice Physics and Ecosystem eXperiment voyage to the East Antarctic sea-ice zone allowed the estimation of diffuse attenuation coefficients for pack ice and the overlying snow at UV wavelengths (305, 313, 320, 340, 380, and 395 nm) and for PAR. The UV attenuation coefficients were 9.6-12.7 m(-1) for snow and 1.57-2.05 m(-1) for pack ice. The PAR attenuation coefficients were 10.5 m(-1) (snow) and 1.52 m(-1) (pack ice). The attenuation coefficients for erythemally weighted UVB radiation were 11.3 m(-1) (snow) and 1.82 m(-1) (pack ice). The analysis also estimated the reflection coefficient (albedo) of snow as 0.67 for UV wavelengths and 0.68 for PAR, but the snow cover was not always optically thick.</t>
  </si>
  <si>
    <t>[Michael, Kelvin J.; Higgins, Jane] Univ Tasmania, Inst Marine &amp; Antarctic Studies, Hobart, Tas 7005, Australia; [Michael, Kelvin J.; Higgins, Jane] Antarctic Climate &amp; Ecosyst Cooperat Res Ctr, Hobart, Tas 7005, Australia</t>
  </si>
  <si>
    <t>University of Tasmania; Antarctic Climate &amp; Ecosystems Cooperative Research Centre (ACE CRC)</t>
  </si>
  <si>
    <t>Michael, KJ (corresponding author), Univ Tasmania, Inst Marine &amp; Antarctic Studies, Hobart, Tas 7005, Australia.</t>
  </si>
  <si>
    <t>Kelvin.Michael@utas.edu.au; Jane.Higgins@utas.edu.au</t>
  </si>
  <si>
    <t>Michael, Kelvin/J-7217-2014</t>
  </si>
  <si>
    <t>Michael, Kelvin/0000-0002-5427-7393</t>
  </si>
  <si>
    <t>Australian Antarctic Science [2210]; Australian Government's Cooperative Research Centres Program through the Antarctic Climate and Ecosystems Cooperative Research Centre</t>
  </si>
  <si>
    <t>Australian Antarctic Science; Australian Government's Cooperative Research Centres Program through the Antarctic Climate and Ecosystems Cooperative Research Centre(Australian GovernmentDepartment of Industry, Innovation and ScienceCooperative Research Centres (CRC) Programme)</t>
  </si>
  <si>
    <t>This work was supported in part by Australian Antarctic Science Grant 2210 and in part by the Australian Government's Cooperative Research Centres Program through the Antarctic Climate and Ecosystems Cooperative Research Centre.</t>
  </si>
  <si>
    <t>10.1109/TGRS.2013.2282158</t>
  </si>
  <si>
    <t>WOS:000332597100059</t>
  </si>
  <si>
    <t>Chen, G</t>
  </si>
  <si>
    <t>Chen, Ge</t>
  </si>
  <si>
    <t>Revisit to atmospheric oscillations over global oceans: a combined climatology/modality approach</t>
  </si>
  <si>
    <t>sea level pressure; atmospheric oscillation; climatology and modality</t>
  </si>
  <si>
    <t>NORTH-ATLANTIC OSCILLATION; ARCTIC OSCILLATION; GEOPOTENTIAL HEIGHT; ANNULAR MODE; VARIABILITY; TELECONNECTIONS; CIRCULATION; PATTERNS; CENTERS</t>
  </si>
  <si>
    <t>Low frequency atmospheric oscillations are among the most important climatic events related to global change. Using 144years (1854-1997) of extended reconstruction of monthly mean sea level pressure (SLP) data, a reinvestigation is carried out to further reveal and characterize the spatiotemporal patterns of major atmospheric oscillations over global oceans with a combined climatology/modality approach. In the space domain, 12 centres of SLP climatology have been identified, on the basis of which five significant atmospheric oscillations are observed, namely, the North Atlantic Oscillation (NAO), the North Pacific Oscillation (NPO), the Southern Oscillation (SO), the South Atlantic Oscillation (SAO), and the South Indian Oscillation (SIO). The first three of them confirm existing oscillations with additional findings while the last two are so named for the first time. Our analysis demonstrates that the validity of the so-called annular mode associated with the Arctic Oscillation (AO, or the northern annular mode, NAM) and the Antarctic Oscillation (AAO, or the southern annular mode, SAM) cannot be held as a whole. Instead, what can be found, poleward from 20 degrees N, is actually the coexistence of a strong NAO and a weak NPO which are partially and conditionally correlated. Poleward from 20 degrees S, the SIO and SAO show a certain degree of consistency and might therefore be treated as a semi-annular mode at most. In the time domain, it is revealed that even the two best defined atmospheric oscillations, i.e. the NAO and the SIO, exhibit considerable abnormal departures from their regular pattern on a decadal time scale, reflecting the unstable nature of the atmospheric oscillations. In the frequency domain, the intrinsic periodicities along with modal structures of leading SLP modes at major centres of high/low are derived for the first time. Most of the atmospheric oscillations are found to be frequency selective. The persistent NAO is the only wide-band oscillation which remains valid for periods ranging from semiannual to interdecadal. The SO, SAO, SIO, and NPO are all band sensitive in terms of dipole shape, location, and intensity. Therefore, the effect of frequency dispersion' is at least partially responsible for the observed instability in prominent atmospheric oscillations.</t>
  </si>
  <si>
    <t>[Chen, Ge] Ocean Univ China, Coll Informat Sci &amp; Engn, Qingdao Collaborat Innovat Ctr Marine Sci &amp; Techn, Qingdao 266100, Peoples R China</t>
  </si>
  <si>
    <t>Chen, G (corresponding author), Ocean Univ China, Dept Marine Technol, Coll Informat Sci &amp; Engn, 238 Songling Rd, Qingdao 266100, Peoples R China.</t>
  </si>
  <si>
    <t>gechen@ouc.edu.cn</t>
  </si>
  <si>
    <t>Natural Science Foundation of China [41331172, 41076115]; Global Change Research Program of China [2012CB955603]</t>
  </si>
  <si>
    <t>Natural Science Foundation of China(National Natural Science Foundation of China (NSFC)); Global Change Research Program of China</t>
  </si>
  <si>
    <t>This research was jointly supported by the Natural Science Foundation of China under Projects 41331172 and 41076115 and the Global Change Research Program of China under project 2012CB955603.</t>
  </si>
  <si>
    <t>JUN 30</t>
  </si>
  <si>
    <t>10.1002/joc.3870</t>
  </si>
  <si>
    <t>AJ4SU</t>
  </si>
  <si>
    <t>WOS:000337667100014</t>
  </si>
  <si>
    <t>Dewar, ML; Arnould, JPY; Krause, L; Trathan, P; Dann, P; Smith, SC</t>
  </si>
  <si>
    <t>Dewar, Meagan L.; Arnould, John P. Y.; Krause, Lutz; Trathan, Phil; Dann, Peter; Smith, Stuart C.</t>
  </si>
  <si>
    <t>Influence of Fasting during Moult on the Faecal Microbiota of Penguins</t>
  </si>
  <si>
    <t>GUT MICROBIOTA; EUDYPTULA-MINOR; KING PENGUINS; OBESITY; ENERGY; METABOLISM; ENERGETICS; DIVERSITY; ECOLOGY; CELLS</t>
  </si>
  <si>
    <t>Many seabirds including penguins are adapted to long periods of fasting, particularly during parts of the reproductive cycle and during moult. However, the influence of fasting on the gastrointestinal (GI) microbiota has not been investigated in seabirds. Therefore, the present study aimed to examine the microbial composition and diversity of the GI microbiota of fasting little (Eudyptula minor) and king penguins (Aptenodytes patagonicus) penguins during early and late moult. The results from this study indicated that there was little change in the abundance of the major phyla during moult, except for a significant increase in the level of Proteobacteria in king penguins. In king penguins the abundance of Fusobacteria increases from 1.73% during early moult to 33.6% by late moult, whilst the abundance of Proteobacteria (35.7% to 17.2%) and Bacteroidetes (19.5% to 11%) decrease from early to late moult. In little penguins, a decrease in the abundances of Firmicutes (44% to 29%) and an increase in the abundance of Bacteroidetes (11% to 20%) were observed from early to late moult respectively. The results from this study indicate that the microbial composition of both king and little penguins alters during fasting. However, it appears that the microbial composition of king penguins is more affected by fasting than little penguins with the length of fast the most probable cause for this difference.</t>
  </si>
  <si>
    <t>[Dewar, Meagan L.; Smith, Stuart C.] Deakin Univ, Sch Exercise &amp; Nutr Sci, Burwood, Australia; [Arnould, John P. Y.] Deakin Univ, Sch Life &amp; Environm Sci, Burwood, Australia; [Krause, Lutz] QIMR Berghofer Med Res Inst, Brisbane, Qld, Australia; [Trathan, Phil] British Antarctic Survey, Cambridge CB3 0ET, England; [Dann, Peter] Phillip Isl Nat Pk, Phillip Isl, Australia; [Smith, Stuart C.] Deakin Univ, Ctr Mol &amp; Med Res, Burwood, Australia</t>
  </si>
  <si>
    <t>Deakin University; Deakin University; QIMR Berghofer Medical Research Institute; UK Research &amp; Innovation (UKRI); Natural Environment Research Council (NERC); NERC British Antarctic Survey; Deakin University</t>
  </si>
  <si>
    <t>Smith, SC (corresponding author), Deakin Univ, Sch Exercise &amp; Nutr Sci, Burwood, Australia.</t>
  </si>
  <si>
    <t>stuart.smith@deakin.edu.au</t>
  </si>
  <si>
    <t>Krause, Lutz/M-7305-2015; Dewar, Meagan/AAI-3969-2021; Krause, Lutz/G-6283-2013</t>
  </si>
  <si>
    <t>Krause, Lutz/0000-0003-3806-0845; Dewar, Meagan/0000-0003-0581-2422</t>
  </si>
  <si>
    <t>Deakin University (Centre for Molecular and Medical Research, Life and Environmental Sciences); Holsworth Wildlife Research Endowment; Phillip Island Nature Parks; NERC [bas0100025] Funding Source: UKRI; Natural Environment Research Council [bas0100025] Funding Source: researchfish</t>
  </si>
  <si>
    <t>Deakin University (Centre for Molecular and Medical Research, Life and Environmental Sciences); Holsworth Wildlife Research Endowment; Phillip Island Nature Parks; NERC(UK Research &amp; Innovation (UKRI)Natural Environment Research Council (NERC)); Natural Environment Research Council(UK Research &amp; Innovation (UKRI)Natural Environment Research Council (NERC))</t>
  </si>
  <si>
    <t>This project was sponsored by Deakin University (Centre for Molecular and Medical Research, Life and Environmental Sciences), Holsworth Wildlife Research Endowment (http://www.anz.com.au/personal/private-bank-trustees/trustees/granting/granting-programs/small-grants/) and Phillip Island Nature Parks (http://www.penguins.org.au/conservation/research/). The sponsors had no role in study design, data collection and analysis, decision to publish, or preparation of this manuscript.</t>
  </si>
  <si>
    <t>e99996</t>
  </si>
  <si>
    <t>10.1371/journal.pone.0099996</t>
  </si>
  <si>
    <t>AK5ZO</t>
  </si>
  <si>
    <t>Green Published, Green Accepted, Green Submitted, gold</t>
  </si>
  <si>
    <t>WOS:000338506400014</t>
  </si>
  <si>
    <t>Berhanu, TA; Meusinger, C; Erbland, J; Jost, R; Bhattacharya, SK; Johnson, MS; Savarino, J</t>
  </si>
  <si>
    <t>Berhanu, Tesfaye A.; Meusinger, Carl; Erbland, Joseph; Jost, Remy; Bhattacharya, S. K.; Johnson, Matthew S.; Savarino, Joel</t>
  </si>
  <si>
    <t>Laboratory study of nitrate photolysis in Antarctic snow. II. Isotopic effects and wavelength dependence</t>
  </si>
  <si>
    <t>JOURNAL OF CHEMICAL PHYSICS</t>
  </si>
  <si>
    <t>ABSORPTION CROSS-SECTION; REACTIVE NITROGEN; ATMOSPHERIC NITRATE; DENITRIFIER METHOD; AQUEOUS NITRATE; NOX PRODUCTION; FRESH-WATER; ICE CORES; PART 1; EMISSIONS</t>
  </si>
  <si>
    <t>Atmospheric nitrate is preserved in Antarctic snow firn and ice. However, at low snow accumulation sites, post-depositional processes induced by sunlight obscure its interpretation. The goal of these studies (see also Paper I by Meusinger et al. [Laboratory study of nitrate photolysis in Antarctic snow. I. Observed quantum yield, domain of photolysis, and secondary chemistry, J. Chem. Phys. 140, 244305 (2014)]) is to characterize nitrate photochemistry and improve the interpretation of the nitrate ice core record. Naturally occurring stable isotopes in nitrate (N-15, O-17, and O-18) provide additional information concerning post-depositional processes. Here, we present results from studies of the wavelength-dependent isotope effects from photolysis of nitrate in a matrix of natural snow. Snow from Dome C, Antarctica was irradiated in selected wavelength regions using a Xe UV lamp and filters. The irradiated snow was sampled and analyzed for nitrate concentration and isotopic composition (delta N-15, delta O-18, and Delta O-17). From these measurements an average photolytic isotopic fractionation of (15)epsilon = (-15 +/- 1.2)parts per thousand was found for broadband Xe lamp photolysis. These results are due in part to excitation of the intense absorption band of nitrate around 200 nm in addition to the weaker band centered at 305 nm followed by photodissociation. An experiment with a filter blocking wavelengths shorter than 320 nm, approximating the actinic flux spectrum at Dome C, yielded a photolytic isotopic fractionation of (15)epsilon = (-47.9 +/- 6.8)parts per thousand in good agreement with fractionations determined by previous studies for the East Antarctic Plateau which range from -40 to -74.3 parts per thousand. We describe a new semi-empirical zero point energy shift model used to derive the absorption cross sections of (NO3-)-N-14 and (NO3-)-N-15 in snow at a chosen temperature. The nitrogen isotopic fractionations obtained by applying this model under the experimental temperature as well as considering the shift in width and center well reproduced the values obtained in the laboratory study. These cross sections can be used in isotopic models to reproduce the stable isotopic composition of nitrate found in Antarctic snow profiles. (C) 2014 Author(s). All article content, except where otherwise noted, is licensed under a Creative Commons Attribution 3.0 Unported License.</t>
  </si>
  <si>
    <t>[Berhanu, Tesfaye A.; Erbland, Joseph; Savarino, Joel] CNRS, Lab Glaciol &amp; Geophys Environm, F-38041 Grenoble, France; [Berhanu, Tesfaye A.; Erbland, Joseph; Savarino, Joel] Univ Grenoble Alpes, LGGE, F-38041 Grenoble, France; [Meusinger, Carl; Johnson, Matthew S.] Univ Copenhagen, Dept Chem, CCAR, DK-2100 Copenhagen, Denmark; [Jost, Remy] Univ Grenoble, Lab Interdisciplinaire Phys LIPHY, Grenoble, France; [Bhattacharya, S. K.] Acad Sinica, Res Ctr Environm Changes, Taipei 115, Taiwan</t>
  </si>
  <si>
    <t>Centre National de la Recherche Scientifique (CNRS); Communaute Universite Grenoble Alpes; Universite Grenoble Alpes (UGA); Communaute Universite Grenoble Alpes; Universite Grenoble Alpes (UGA); University of Copenhagen; Communaute Universite Grenoble Alpes; Universite Grenoble Alpes (UGA); Academia Sinica - Taiwan</t>
  </si>
  <si>
    <t>Berhanu, TA (corresponding author), CNRS, Lab Glaciol &amp; Geophys Environm, F-38041 Grenoble, France.</t>
  </si>
  <si>
    <t>Johnson, Matthew Stanley/AAS-7100-2021; Savarino, Joel/H-9730-2012; Meusinger, Carl/M-1802-2014</t>
  </si>
  <si>
    <t>Johnson, Matthew Stanley/0000-0002-3645-3955; Savarino, Joel/0000-0002-6708-9623; Meusinger, Carl/0000-0002-8218-1604</t>
  </si>
  <si>
    <t>European Community [237890]; INSU through its LEFE program; Agence nationale de la recherche (ANR) [NT09-451281]; Labex OSUG [ANR10 LABX56]; Institut Polaire Francaise Paul Emile Victor (IPEV) [1011]</t>
  </si>
  <si>
    <t>European Community; INSU through its LEFE program; Agence nationale de la recherche (ANR)(Agence Nationale de la Recherche (ANR)); Labex OSUG; Institut Polaire Francaise Paul Emile Victor (IPEV)</t>
  </si>
  <si>
    <t>The research leading to these results has received funding from the European Community's Seventh Framework Programme (FP7/2007-2013) under Grant Agreement No. 237890 (J.S., T. A. B., C. M., M.S.J.). We would like to thank INSU through its LEFE program for its financial support for lab experiments (J.S., T. A. B.). The Agence nationale de la recherche (ANR) is gratefully acknowledged for its financial support through the OPALE project (Contract No. NT09-451281) (J.S., T. A. B.). This work has been also supported by a grant from Labex OSUG@2020 (Investissements d'avenir - ANR10 LABX56) (J.S., T. A. B.). Access to the Dome C site was possible with the financial support of the Institut Polaire Francaise Paul Emile Victor (IPEV) through the program 1011 (SUNITEDC) (J.S., T. A. B.). We would like to thank Ghislan Picard and Quentin Libois for providing irradiance measurements at Dome C, Antarctica. Our gratitude also goes to Susanne Preunkert, Nicolas Caillon, Samo Tamse, Patrick Ginot, Dimitri Osmont, and Florent Domin for their significant contribution and help in this study.</t>
  </si>
  <si>
    <t>CIRCULATION &amp; FULFILLMENT DIV, 2 HUNTINGTON QUADRANGLE, STE 1 N O 1, MELVILLE, NY 11747-4501 USA</t>
  </si>
  <si>
    <t>0021-9606</t>
  </si>
  <si>
    <t>1089-7690</t>
  </si>
  <si>
    <t>J CHEM PHYS</t>
  </si>
  <si>
    <t>J. Chem. Phys.</t>
  </si>
  <si>
    <t>JUN 28</t>
  </si>
  <si>
    <t>10.1063/1.4882899</t>
  </si>
  <si>
    <t>Chemistry, Physical; Physics, Atomic, Molecular &amp; Chemical</t>
  </si>
  <si>
    <t>Chemistry; Physics</t>
  </si>
  <si>
    <t>AK7UW</t>
  </si>
  <si>
    <t>WOS:000338634200028</t>
  </si>
  <si>
    <t>Kitsios, V; Frederiksen, JS; Zidikheri, MJ</t>
  </si>
  <si>
    <t>Kitsios, V.; Frederiksen, J. S.; Zidikheri, M. J.</t>
  </si>
  <si>
    <t>Scaling laws for parametrizations of subgrid interactions in simulations of oceanic circulations</t>
  </si>
  <si>
    <t>general circulation model; ocean; stochastic modelling; subgrid parametrizations; large eddy simulation</t>
  </si>
  <si>
    <t>EDDY VISCOSITY; STOCHASTIC BACKSCATTER; ISOTROPIC TURBULENCE; GENERAL-CIRCULATION; SOUTHERN-OCEAN; KINETIC-ENERGY; PARAMETERIZATIONS; MODEL; FLOWS; RESOLUTION</t>
  </si>
  <si>
    <t>Parametrizations of the subgrid eddy-eddy and eddy-meanfield interactions are developed for the simulation of baroclinic ocean circulations representative of an idealized Antarctic Circumpolar Current. Benchmark simulations are generated using a spectral spherical harmonic quasi-geostrophic model with maximum truncation wavenumber of T = 504, which is equivalent to a resolution of 0.24 degrees globally. A stochastic parametrization is used for the eddy-eddy interactions, and a linear deterministic parametrization for the eddy-meanfield interactions. The parametrization coefficients are determined from the statistics of benchmark simulations truncated back to the large eddy simulation (LES) truncation wavenumber, T-R &lt; T. A stochastic technique is used to determine the eddy-eddy coefficients, and a new least-squares regression method for the eddy-meanfield terms. Truncations are repeated for various T-R, and the resolution dependence of the subgrid coefficients is identified. The mean jet structure and the kinetic and potential energy spectra resulting from the LESs closely agree with those from the benchmark simulations.</t>
  </si>
  <si>
    <t>[Kitsios, V.; Frederiksen, J. S.] CSIRO Marine &amp; Atmospher Res, Ctr Australian Weather &amp; Climate Res, Aspendale, Vic, Australia; [Kitsios, V.] Monash Univ, Dept Mech &amp; Aerosp Engn, Lab Turbulence Res Aerosp &amp; Combust, Clayton, Vic 3800, Australia; [Zidikheri, M. J.] Ctr AustralianWeather &amp; Climate Res, Bur Meteorol, Melbourne, Vic, Australia</t>
  </si>
  <si>
    <t>Commonwealth Scientific &amp; Industrial Research Organisation (CSIRO); Monash University; Melbourne Genomics Health Alliance; Bureau of Meteorology - Australia</t>
  </si>
  <si>
    <t>Kitsios, V (corresponding author), CSIRO Marine &amp; Atmospher Res, Ctr Australian Weather &amp; Climate Res, Aspendale, Vic, Australia.</t>
  </si>
  <si>
    <t>vassili.kitsios@csiro.au</t>
  </si>
  <si>
    <t>; Kitsios, Vassili/A-3141-2012</t>
  </si>
  <si>
    <t>Frederiksen, Jorgen/0000-0001-9449-0968; Kitsios, Vassili/0000-0002-2543-0264</t>
  </si>
  <si>
    <t>Commonwealth Scientific and Industrial Research Organisation; Australian Research Council</t>
  </si>
  <si>
    <t>Commonwealth Scientific and Industrial Research Organisation(Commonwealth Scientific &amp; Industrial Research Organisation (CSIRO)); Australian Research Council(Australian Research Council)</t>
  </si>
  <si>
    <t>The authors acknowledge the Commonwealth Scientific and Industrial Research Organisation and the Australian Research Council for funding the research.</t>
  </si>
  <si>
    <t>10.1098/rsta.2013.0285</t>
  </si>
  <si>
    <t>AI6HJ</t>
  </si>
  <si>
    <t>WOS:000336972400009</t>
  </si>
  <si>
    <t>Yagi, Y; Okuwaki, R; Enescu, B; Hirano, S; Yamagami, Y; Endo, S; Komoro, T</t>
  </si>
  <si>
    <t>Yagi, Yuji; Okuwaki, Ryo; Enescu, Bogdan; Hirano, Shiro; Yamagami, Yuta; Endo, Suguru; Komoro, Takuya</t>
  </si>
  <si>
    <t>Rupture process of the 2014 Iquique Chile Earthquake in relation with the foreshock activity</t>
  </si>
  <si>
    <t>SEISMIC NUCLEATION PHASE; TOHOKU-OKI EARTHQUAKE; FAULT SLIP; COSEISMIC SLIP; JAPAN TRENCH; INVERSION; UNCERTAINTY; PROPAGATION</t>
  </si>
  <si>
    <t>The rupture process of the 2014 Iquique, Chile earthquake is inverted from teleseismic P wave data applying a novel formulation that takes into account the uncertainty of Green's function, which has been a major error source in waveform inversion. The estimated seismic moment is 1.5 x 10(21) Nm (Mw=8.1), associated with a 140 km long and 140 km wide fault rupture along the plate interface. The source process is characterized by unilateral rupture propagation. During the first 20 s, the dynamic rupture front propagated from the hypocenter to the large asperity located about 50 km southward, crossing a remarkably active foreshock area at high velocity (of about 3.0 km/s), but small and irregular seismic moment release rate. Our result may suggest that the 20 s long initial phase was influenced by the stress drop due to the foreshock activity near the main shock hypocenter. Moreover, the 2 week long swarm-like foreshock activity migrating roughly at 5 km/day toward the main shock hypocenter, and possibly associated slow slip, contributed to the stress accumulation prior to the Mw 8.1 megaquake. The main shock initial rupture phase might have triggered the rupture of the large asperity, which had large fracture energy.</t>
  </si>
  <si>
    <t>[Yagi, Yuji; Enescu, Bogdan] Univ Tsukuba, Fac Life &amp; Environm Sci, Tsukuba, Ibaraki, Japan; [Okuwaki, Ryo; Yamagami, Yuta; Endo, Suguru; Komoro, Takuya] Univ Tsukuba, Grad Sch Life &amp; Environm Sci, Tsukuba, Ibaraki, Japan; [Hirano, Shiro] Univ Tsukuba, Fac Engn Informat &amp; Syst, Tsukuba, Ibaraki, Japan</t>
  </si>
  <si>
    <t>University of Tsukuba; University of Tsukuba; University of Tsukuba</t>
  </si>
  <si>
    <t>Yagi, Y (corresponding author), Univ Tsukuba, Fac Life &amp; Environm Sci, Tsukuba, Ibaraki, Japan.</t>
  </si>
  <si>
    <t>yagi-y@geol.tsukuba.ac.jp</t>
  </si>
  <si>
    <t>Yagi, Yuji/D-8301-2014; Okuwaki, Ryo/A-1601-2016; Enescu, Bogdan/J-6980-2012</t>
  </si>
  <si>
    <t>Yagi, Yuji/0000-0001-5327-9277; Okuwaki, Ryo/0000-0001-7149-4763; Enescu, Bogdan/0000-0003-2153-0097; Hirano, Shiro/0000-0001-8906-5983</t>
  </si>
  <si>
    <t>Japan Ministry of Education, Culture, Sports, Science, and Technology [24540450, 24101012, 24310133]; Science and Technology Research Partnership for Sustainable Development (SATREPS), Japan Science and Technology Agency (JST)/Japan International Cooperation Agency (JICA); Grants-in-Aid for Scientific Research [24540450, 26240004, 24101012] Funding Source: KAKEN</t>
  </si>
  <si>
    <t>Japan Ministry of Education, Culture, Sports, Science, and Technology(Ministry of Education, Culture, Sports, Science and Technology, Japan (MEXT)); Science and Technology Research Partnership for Sustainable Development (SATREPS), Japan Science and Technology Agency (JST)/Japan International Cooperation Agency (JICA); Grants-in-Aid for Scientific Research(Ministry of Education, Culture, Sports, Science and Technology, Japan (MEXT)Japan Society for the Promotion of ScienceGrants-in-Aid for Scientific Research (KAKENHI))</t>
  </si>
  <si>
    <t>Waveform data obtained by the Antarctic Seismographic Argentinean Italian Network (ASAIN), Alaska Tsunami Warning Seismic System, Caribbean Network, Incorporated Research Institutions for Seismology (IRIS), China Digital Seismic Network, GEOSCOPE, Global Telemetered Southern Hemisphere Network, IRIS/IDA Network, and IRIS/USGS Global Seismograph Network (GSN) were supplied by IRIS. We used hypocenters determined by CSN and moment tensor solutions determined by the Global CMT project. We also used the topography and bathymetry from ETOPO1. We thank W. L. Ellsworth, A. Tassara, T. Takagawa, L. Meng, and C. Ji for useful comments. We also acknowledge the comments by anonymous reviewers in improving the manuscript. This study was supported by Grant-in-Aid for Scientific Research 24540450, 24101012, and 24310133 of the Japan Ministry of Education, Culture, Sports, Science, and Technology to YY. This research was also supported by the Science and Technology Research Partnership for Sustainable Development (SATREPS), Japan Science and Technology Agency (JST)/Japan International Cooperation Agency (JICA). Some of the figures were made using the public domain Generic Mapping Tools [Wessel and Smith, 1998].</t>
  </si>
  <si>
    <t>10.1002/2014GL060274</t>
  </si>
  <si>
    <t>AN0SM</t>
  </si>
  <si>
    <t>WOS:000340294300013</t>
  </si>
  <si>
    <t>Holland, PR</t>
  </si>
  <si>
    <t>Holland, Paul R.</t>
  </si>
  <si>
    <t>The seasonality of Antarctic sea ice trends</t>
  </si>
  <si>
    <t>SOUTHERN-OCEAN; VARIABILITY; IMPACTS</t>
  </si>
  <si>
    <t>Antarctic sea ice is experiencing a weak overall increase in area that is the residual of opposing regional trends. This study considers their seasonal pattern. In addition to traditional ice concentration and total ice area, temporal derivatives of these quantities are investigated (intensification and expansion, respectively). This is crucial to the attribution of trends, since changes in forcing directly affect ice areal change (rather than ice area). Diverse regional trends all contribute significantly to the overall increase. Trends in the Weddell and Amundsen-Bellingshausen regions compensate in magnitude and seasonality. The largest concentration trends, in autumn, are actually caused by intensification trends during spring. Autumn intensification trends directly oppose autumn concentration trends in most places, seemingly as a result of ice and ocean feedbacks. Springtime trends are reconcilable with wind trends, but further study of changes during the spring melting season is required to unravel the Antarctic sea ice increase.</t>
  </si>
  <si>
    <t>Holland, PR (corresponding author), British Antarctic Survey, Cambridge, England.</t>
  </si>
  <si>
    <t>p.holland@bas.ac.uk</t>
  </si>
  <si>
    <t>Holland, Paul R/G-2796-2012</t>
  </si>
  <si>
    <t>NERC [bas0100028] Funding Source: UKRI; Natural Environment Research Council [bas0100028] Funding Source: researchfish</t>
  </si>
  <si>
    <t>10.1002/2014GL060172</t>
  </si>
  <si>
    <t>WOS:000340294300017</t>
  </si>
  <si>
    <t>Meusinger, C; Berhanu, TA; Erbland, J; Savarino, J; Johnson, MS</t>
  </si>
  <si>
    <t>Meusinger, Carl; Berhanu, Tesfaye A.; Erbland, Joseph; Savarino, Joel; Johnson, Matthew S.</t>
  </si>
  <si>
    <t>Laboratory study of nitrate photolysis in Antarctic snow. I. Observed quantum yield, domain of photolysis, and secondary chemistry</t>
  </si>
  <si>
    <t>REACTIVE NITROGEN; AQUEOUS-SOLUTIONS; ARTIFICIAL SNOW; SURFACE-AREA; NITRIC-ACID; GAS-PHASE; ICE CORES; GREENLAND; HNO3; PHOTOCHEMISTRY</t>
  </si>
  <si>
    <t>Post-depositional processes alter nitrate concentration and nitrate isotopic composition in the top layers of snow at sites with low snow accumulation rates, such as Dome C, Antarctica. Available nitrate ice core records can provide input for studying past atmospheres and climate if such processes are understood. It has been shown that photolysis of nitrate in the snowpack plays a major role in nitrate loss and that the photolysis products have a significant influence on the local troposphere as well as on other species in the snow. Reported quantum yields for the main reaction spans orders of magnitude -apparently a result of whether nitrate is located at the air-ice interface or in the ice matrix constituting the largest uncertainty in models of snowpack NOx emissions. Here, a laboratory study is presented that uses snow from Dome C and minimizes effects of desorption and recombination by flushing the snow during irradiation with UV light. A selection of UV filters allowed examination of the effects of the 200 and 305 nm absorption bands of nitrate. Nitrate concentration and photon flux were measured in the snow. The quantum yield for loss of nitrate was observed to decrease from 0.44 to 0.003 within what corresponds to days of UV exposure in Antarctica. The superposition of photolysis in two photochemical domains of nitrate in snow is proposed: one of photolabile nitrate, and one of buried nitrate. The difference lies in the ability of reaction products to escape the snow crystal, versus undergoing secondary (recombination) chemistry. Modeled NOx emissions may increase significantly above measured values due to the observed quantum yield in this study. The apparent quantum yield in the 200 nm band was found to be similar to 1%, much lower than reported for aqueous chemistry. A companion paper presents an analysis of the change in isotopic composition of snowpack nitrate based on the same samples as in this study. (C) 2014 Author(s). All article content, except where otherwise noted, is licensed under a Creative Commons Attribution 3.0 Unported License.</t>
  </si>
  <si>
    <t>[Meusinger, Carl; Johnson, Matthew S.] Univ Copenhagen, Dept Chem, DK-2100 Copenhagen, Denmark; [Berhanu, Tesfaye A.; Erbland, Joseph; Savarino, Joel] Univ Grenoble Alpes, LGGE, F-38000 Grenoble, France; [Berhanu, Tesfaye A.; Erbland, Joseph; Savarino, Joel] CNRS, LGGE, F-38000 Grenoble, France</t>
  </si>
  <si>
    <t>University of Copenhagen; Communaute Universite Grenoble Alpes; Universite Grenoble Alpes (UGA); Communaute Universite Grenoble Alpes; Universite Grenoble Alpes (UGA); Centre National de la Recherche Scientifique (CNRS)</t>
  </si>
  <si>
    <t>Meusinger, C (corresponding author), Univ Copenhagen, Dept Chem, DK-2100 Copenhagen, Denmark.</t>
  </si>
  <si>
    <t>jsavarino@lgge.obs.ujf-grenoble.fr</t>
  </si>
  <si>
    <t>Savarino, Joel/H-9730-2012; Johnson, Matthew Stanley/AAS-7100-2021; Meusinger, Carl/M-1802-2014</t>
  </si>
  <si>
    <t>Savarino, Joel/0000-0002-6708-9623; Johnson, Matthew Stanley/0000-0002-3645-3955; Meusinger, Carl/0000-0002-8218-1604</t>
  </si>
  <si>
    <t>European Community [237890]; University of Copenhagen; Agence Nationale de la Recherche (ANR) [NT09-451281]; LEFE-CHAT, a scientific program of the Institut National des Sciences de l'Univers (INSU/CNRS); SUNITEDC program [1011]; Labex OSUG [ANR10 LABX56]</t>
  </si>
  <si>
    <t>European Community; University of Copenhagen; Agence Nationale de la Recherche (ANR)(Agence Nationale de la Recherche (ANR)); LEFE-CHAT, a scientific program of the Institut National des Sciences de l'Univers (INSU/CNRS); SUNITEDC program; Labex OSUG</t>
  </si>
  <si>
    <t>The research has received funding from the European Community's Seventh Framework Programme (FP7/2007-2013) under Grant Agreement No. 237890 (J.S., T. A. B., C. M., and M.S.J.). C. M. and M.S.J. thank the University of Copenhagen for supporting this research. J.S. and T. A. B. gratefully acknowledge The Agence Nationale de la Recherche (ANR) for its financial support through the OPALE project (Contract No. NT09-451281). LEFE-CHAT, a scientific program of the Institut National des Sciences de l'Univers (INSU/CNRS), provided partial funding for this study (J.S., T. A. B., and J.E.). J.S., T. A. B., and J.E. acknowledge IPEV for providing access to Concordia station through funding the SUNITEDC program (1011). J.S. has been supported by a grant from Labex OSUG@2020 (Investissements d'avenir - ANR10 LABX56). J.S., T. A. B., C. M., and M.S.J. also thank IntraMIF. SSA measurements were performed together with Florent Domine, LGGE, now at Takuvik Joint International Laboratory, Universite Laval (Canada) and Samuel Morin, Meteo-France/CNRS, CNRM-GAME, Centre d'Etudes de la Neige / Snow Research Center. C. M. thanks Julia Lee-Taylor for her assistance with the TUV model.</t>
  </si>
  <si>
    <t>10.1063/1.4882898</t>
  </si>
  <si>
    <t>WOS:000338634200027</t>
  </si>
  <si>
    <t>Juricke, S; Jung, T</t>
  </si>
  <si>
    <t>Juricke, Stephan; Jung, Thomas</t>
  </si>
  <si>
    <t>Influence of stochastic sea ice parametrization on climate and the role of atmosphere-sea ice-ocean interaction</t>
  </si>
  <si>
    <t>stochastic parametrizations; sea ice models; sea ice strength; model uncertainty; atmospheric feedbacks</t>
  </si>
  <si>
    <t>ENSEMBLE PREDICTION SYSTEM; MERIDIONAL OVERTURNING CIRCULATION; CONVECTIVE PARAMETERIZATION; DEEP CONVECTION; MODEL; VARIABILITY; THICKNESS; IMPACT; PREDICTABILITY; UNCERTAINTIES</t>
  </si>
  <si>
    <t>The influence of a stochastic sea ice strength parametrization on the mean climate is investigated in a coupled atmosphere-sea ice-ocean model. The results are compared with an uncoupled simulation with a prescribed atmosphere. It is found that the stochastic sea ice parametrization causes an effective weakening of the sea ice. In the uncoupled model this leads to an Arctic sea ice volume increase of about 10-20% after an accumulation period of approximately 20-30 years. In the coupled model, no such increase is found. Rather, the stochastic perturbations lead to a spatial redistribution of the Arctic sea ice thickness field. A mechanism involving a slightly negative atmospheric feedback is proposed that can explain the different responses in the coupled and uncoupled system. Changes in integrated Antarctic sea ice quantities caused by the stochastic parametrization are generally small, as memory is lost during the melting season because of an almost complete loss of sea ice. However, stochastic sea ice perturbations affect regional sea ice characteristics in the Southern Hemisphere, both in the uncoupled and coupled model. Remote impacts of the stochastic sea ice parametrization on the mean climate of non-polar regions were found to be small.</t>
  </si>
  <si>
    <t>[Juricke, Stephan; Jung, Thomas] Helmholtz Ctr Polar &amp; Marine Res, Alfred Wegener Inst, Bremerhaven, Germany</t>
  </si>
  <si>
    <t>Juricke, S (corresponding author), Helmholtz Ctr Polar &amp; Marine Res, Alfred Wegener Inst, Bremerhaven, Germany.</t>
  </si>
  <si>
    <t>stephan.juricke@awi.de</t>
  </si>
  <si>
    <t>Jung, Thomas/J-5239-2012</t>
  </si>
  <si>
    <t>Jung, Thomas/0000-0002-2651-1293</t>
  </si>
  <si>
    <t>REKLIM; TORUS-MiKlip; German Federal Ministry of Education and Research (BMBF) [ba0771]; North-German Supercomputing Alliance (HLRN) [hbk00032]</t>
  </si>
  <si>
    <t>REKLIM; TORUS-MiKlip; German Federal Ministry of Education and Research (BMBF)(Federal Ministry of Education &amp; Research (BMBF)); North-German Supercomputing Alliance (HLRN)</t>
  </si>
  <si>
    <t>This study benefited from support of the REKLIM and TORUS-MiKlip projects. Computational resources were made available by the German Climate Computing Center (DKRZ) through support from the German Federal Ministry of Education and Research (BMBF), project ba0771, and by the North-German Supercomputing Alliance (HLRN), project hbk00032.</t>
  </si>
  <si>
    <t>10.1098/rsta.2013.0283</t>
  </si>
  <si>
    <t>WOS:000336972400007</t>
  </si>
  <si>
    <t>Bintanja, R; Severijns, C; Haarsma, R; Hazeleger, W</t>
  </si>
  <si>
    <t>Bintanja, R.; Severijns, C.; Haarsma, R.; Hazeleger, W.</t>
  </si>
  <si>
    <t>The future of Antarctica's surface winds simulated by a high-resolution global climate model: 1. Model description and validation</t>
  </si>
  <si>
    <t>SNOWDRIFT SUBLIMATION; KATABATIC WINDS; BALANCE; EARTH; LAND; FLOW</t>
  </si>
  <si>
    <t>One of the key components of Antarctica's harsh climate is its renowned katabatic winds, which are among the fiercest surface winds on Earth. Caused primarily by strong surface cooling over the sloping ice surface, these semipermanent winds result primarily from the strong surface temperature inversion and associated temperature deficit between the surface layer and the free atmosphere aloft. Katabatic winds exert a strong effect on the mass budget of the Antarctic ice sheet by affecting snowdrift (sublimation) and by (partially) regulating the net atmospheric moisture transports toward the Antarctic. It has been suggested that greenhouse warming may lead to reduced surface cooling and weakened katabatic winds. This is tested by using a global climate model (EC-Earth) in prescribed sea surface temperature simulations of the present-day (2002-2006) and future (2094-2098) climates. Because simulated topographically induced katabatic winds are likely to depend on the model grid, we employ two model resolutions: (1) T159L62 (similar to 100 km, 62 vertical levels) and (2) T799L91 (similar to 20 km, 91 vertical levels). It is shown here that present-day surface winds over Antarctica in high resolution are generally stronger than in low resolution, especially in the escarpment region with its steep orography. Simulated surface winds are generally underestimated with respect to observations, in particular the strongest winds (occurring over steep slopes), and especially in low resolution. The seasonal cycle in surface winds is simulated fairly accurately. Surface temperatures are also relatively well simulated (when corrected for elevation differences), especially in high resolution.</t>
  </si>
  <si>
    <t>[Bintanja, R.; Severijns, C.; Haarsma, R.; Hazeleger, W.] Royal Netherlands Meteorol Inst, NL-3730 AE De Bilt, Netherlands</t>
  </si>
  <si>
    <t>Royal Netherlands Meteorological Institute</t>
  </si>
  <si>
    <t>Bintanja, R (corresponding author), Royal Netherlands Meteorol Inst, POB 201, NL-3730 AE De Bilt, Netherlands.</t>
  </si>
  <si>
    <t>bintanja@knmi.nl</t>
  </si>
  <si>
    <t>Haarsma, Reindert J/D-1803-2013</t>
  </si>
  <si>
    <t>Hazeleger, Wilco/0000-0002-4566-958X; Haarsma, Rein/0000-0001-7171-2687; Bintanja, Richard/0000-0002-0465-5923</t>
  </si>
  <si>
    <t>NCL</t>
  </si>
  <si>
    <t>We are grateful to the EC-Earth consortium for their contribution to the development of the Earth System Model EC-Earth. The model simulations presented in this paper were performed in the framework of the Future Weather project (data can be obtained by contacting the authors). Part of the model simulations were funded by NCL and performed at SARA (Netherlands). We thank J. Sanz Rodrigo and J. Lenaerts for making available the AWS observational data.</t>
  </si>
  <si>
    <t>JUN 27</t>
  </si>
  <si>
    <t>10.1002/2013JD020847</t>
  </si>
  <si>
    <t>AN0BP</t>
  </si>
  <si>
    <t>WOS:000340247000009</t>
  </si>
  <si>
    <t>Li, Y; Kromer, B; Schukraft, G; Bubenzer, O; Huang, MR; Wang, ZM; Bian, LG; Li, CS</t>
  </si>
  <si>
    <t>Li, Ying; Kromer, Bernd; Schukraft, Gerd; Bubenzer, Olaf; Huang, Man-Rong; Wang, Ze-Min; Bian, Lin-Gen; Li, Cheng-Sen</t>
  </si>
  <si>
    <t>Growth Rate of Usnea aurantiacoatra (Jacq.) Bory on Fildes Peninsula, Antarctica and Its Climatic Background</t>
  </si>
  <si>
    <t>KING-GEORGE-ISLAND; RHIZOCARPON-GEOGRAPHICUM; LICHEN COLONIZATION; DIVERSITY; MORAINES; RANGE</t>
  </si>
  <si>
    <t>The ages of a fruticose lichen of Usnea aurantiacoatra (Jacq.) Bory, from Fildes Peninsula, King George Island, Southwest Antarctic, were determined by radiocarbon (C-14), and it is 1993-1996 at bottom and 2006-2007 at top of the lichen branch. The growth rates of U. aurantiacoatra calculated are 4.3 to 5.5 mm year(-1) based on its length and ages. The comparisons show that the growth rates of U. aurantiacoatra are higher than those of U. antarctica (0.4 to 1.1 mm year(-1)). The growth rates of fruticose lichens are always higher, usually &gt; 2 mm year(-1), than those of crustose ones, usually &lt; 1 mm year(-1), in polar areas. A warming trend on Fildes Peninsula is recorded in the period from 1969 to 2010 obviously: the mean annual temperature rose from -2.75 to -1.9 degrees C and the average temperature of summer months from 0.95 to 1.4 degrees C, as well as the average temperature of winter months from -6.75 to -5.5 degrees C. The alteration of lichen growth rates in polar areas may respond to the climatic and environmental changes, and the lichens may act as bio-monitor of natural condition.</t>
  </si>
  <si>
    <t>[Li, Ying; Li, Cheng-Sen] Acad Sinica, Inst Bot, Beijing 100044, Peoples R China; [Li, Ying; Schukraft, Gerd; Bubenzer, Olaf] Heidelberg Univ, Heidelberg, Germany; [Kromer, Bernd] Klaus Tschira Labor Curt Engelhorn Zentrum Archao, Mannheim, Germany; [Huang, Man-Rong] Beijing Museum Nat Hist, Beijing, Peoples R China; [Wang, Ze-Min] Wuhan Univ, Wuhan, Hubei, Peoples R China; [Bian, Lin-Gen] Chinese Acad Meteorol Sci, Beijing, Peoples R China</t>
  </si>
  <si>
    <t>Chinese Academy of Sciences; Institute of Botany, CAS; Ruprecht Karls University Heidelberg; Wuhan University; China Meteorological Administration; Chinese Academy of Meteorological Sciences (CAMS)</t>
  </si>
  <si>
    <t>Li, CS (corresponding author), Acad Sinica, Inst Bot, Beijing 100044, Peoples R China.</t>
  </si>
  <si>
    <t>lics@ibcas.ac.cn</t>
  </si>
  <si>
    <t>International Cooperation Project of Chinese Arctic and Antarctic Administration [IC 201103]; Innovation Key Program of the Chinese Academy of Sciences [KSCX2-EW-J-1]; National Natural Science Foundation of China [41271222]; Curt-Engelhorn-Zentrum Archaometrie gGmbH</t>
  </si>
  <si>
    <t>International Cooperation Project of Chinese Arctic and Antarctic Administration; Innovation Key Program of the Chinese Academy of Sciences; National Natural Science Foundation of China(National Natural Science Foundation of China (NSFC)); Curt-Engelhorn-Zentrum Archaometrie gGmbH</t>
  </si>
  <si>
    <t>This study was supported by the International Cooperation Project of Chinese Arctic and Antarctic Administration (No. IC 201103), the Innovation Key Program of the Chinese Academy of Sciences (No. KSCX2-EW-J-1) and the National Natural Science Foundation of China (No. 41271222). Curt-Engelhorn-Zentrum Archaometrie gGmbH provided support in the form of a salary for author BK, but did not have any additional role in the study design, data collection and analysis, decision to publish, or preparation of the manuscript. The specific roles of these authors are articulated in the 'author contributions' section.</t>
  </si>
  <si>
    <t>JUN 26</t>
  </si>
  <si>
    <t>e100735</t>
  </si>
  <si>
    <t>10.1371/journal.pone.0100735</t>
  </si>
  <si>
    <t>AK2WP</t>
  </si>
  <si>
    <t>WOS:000338280800060</t>
  </si>
  <si>
    <t>Ancel, A; Cristofari, R; Fretwell, PT; Trathan, PN; Wienecke, B; Boureau, M; Morinay, J; Blanc, S; Le Maho, Y; Le Bohec, C</t>
  </si>
  <si>
    <t>Ancel, Andre; Cristofari, Robin; Fretwell, Peter T.; Trathan, Phil N.; Wienecke, Barbara; Boureau, Matthieu; Morinay, Jennifer; Blanc, Stephane; Le Maho, Yvon; Le Bohec, Celine</t>
  </si>
  <si>
    <t>Emperors in Hiding: When Ice-Breakers and Satellites Complement Each Other in Antarctic Exploration</t>
  </si>
  <si>
    <t>PENGUIN COLONIES; BEHAVIOR; SEA</t>
  </si>
  <si>
    <t>Evaluating the demographic trends of marine top predators is critical to understanding the processes involved in the ongoing rapid changes in Antarctic ecosystems. However, the remoteness and logistical complexity of operating in Antarctica, especially during winter, make such an assessment difficult. Satellite imaging is increasingly recognised as a valuable method for remote animal population monitoring, yet its accuracy and reliability are still to be fully evaluated. We report here the first ground visit of an emperor penguin colony first discovered by satellite, but also the discovery of a second one not indicated by satellite survey at that time. Several successive remote surveys in this coastal region of East Antarctica, both before and after sudden local changes, had indeed only identified one colony. These two colonies (with a total of ca. 7,400 breeding pairs) are located near the Mertz Glacier in an area that underwent tremendous habitat change after the glacier tongue broke off in February 2010. Our findings therefore suggest that a satellite survey, although offering a major advance since it allows a global imaging of emperor penguin colonies, may miss certain colony locations when challenged by certain features of polar ecosystems, such as snow cover, evolving ice topology, and rapidly changing habitat. Moreover our survey shows that this large seabird has considerable potential for rapid adaptation to sudden habitat loss, as the colony detected in 2009 may have moved and settled on new breeding grounds. Overall, the ability of emperor penguin colonies to relocate following habitat modification underlines the continued need for a mix of remote sensing and field surveys (aerial photography and ground counts), especially in the less-frequented parts of Antarctica, to gain reliable knowledge about the population demography and dynamics of this flagship species of the Antarctic ecosystem.</t>
  </si>
  <si>
    <t>[Ancel, Andre; Cristofari, Robin; Boureau, Matthieu; Morinay, Jennifer; Blanc, Stephane; Le Maho, Yvon; Le Bohec, Celine] Univ Strasbourg, Inst Pluridisciplinaire Hubert Curien, Strasbourg, France; [Ancel, Andre; Cristofari, Robin; Boureau, Matthieu; Morinay, Jennifer; Blanc, Stephane; Le Maho, Yvon; Le Bohec, Celine] CNRS, UMR 7178, Strasbourg, France; [Cristofari, Robin; Le Maho, Yvon; Le Bohec, Celine] Ctr Sci Monaco, LEA BioSensib 647, Monaco, Monaco; [Fretwell, Peter T.; Trathan, Phil N.] British Antarctic Survey, Cambridge CB3 0ET, England; [Wienecke, Barbara] Australian Antarctic Div, Kingston, Tas, Australia</t>
  </si>
  <si>
    <t>Universites de Strasbourg Etablissements Associes; Universite de Strasbourg; Centre National de la Recherche Scientifique (CNRS); CNRS - National Institute of Nuclear and Particle Physics (IN2P3); Universites de Strasbourg Etablissements Associes; Universite de Strasbourg; UK Research &amp; Innovation (UKRI); Natural Environment Research Council (NERC); NERC British Antarctic Survey; Australian Antarctic Division</t>
  </si>
  <si>
    <t>Ancel, A (corresponding author), Univ Strasbourg, Inst Pluridisciplinaire Hubert Curien, Strasbourg, France.</t>
  </si>
  <si>
    <t>andre.ancel@iphc.cnrs.fr</t>
  </si>
  <si>
    <t>Blanc, Stéphane/F-5873-2011; Cristofari, Robin/AAO-8097-2021; Morinay, Jennifer/R-4535-2019; LE BOHEC, CELINE/AAD-3589-2022</t>
  </si>
  <si>
    <t>Morinay, Jennifer/0000-0002-7905-9691; LE BOHEC, Celine/0000-0003-0149-6477</t>
  </si>
  <si>
    <t>Institut Polaire Francais Paul-Emile Victor (IPEV Programme) [137]; Centre National de la Recherche Scientifique (CNRS); NERC [bas0100025, bas010011] Funding Source: UKRI; Natural Environment Research Council [bas010011, bas0100025] Funding Source: researchfish</t>
  </si>
  <si>
    <t>Institut Polaire Francais Paul-Emile Victor (IPEV Programme); Centre National de la Recherche Scientifique (CNRS)(Centre National de la Recherche Scientifique (CNRS)); NERC(UK Research &amp; Innovation (UKRI)Natural Environment Research Council (NERC)); Natural Environment Research Council(UK Research &amp; Innovation (UKRI)Natural Environment Research Council (NERC))</t>
  </si>
  <si>
    <t>This study was supported by the Institut Polaire Francais Paul-Emile Victor (IPEV Programme 137) and the Centre National de la Recherche Scientifique (CNRS). The funders had no role in study design, data collection and analysis, decision to publish, or preparation of the manuscript.</t>
  </si>
  <si>
    <t>JUN 25</t>
  </si>
  <si>
    <t>e100404</t>
  </si>
  <si>
    <t>10.1371/journal.pone.0100404</t>
  </si>
  <si>
    <t>AK8WO</t>
  </si>
  <si>
    <t>Green Accepted, gold, Green Published</t>
  </si>
  <si>
    <t>WOS:000338709500046</t>
  </si>
  <si>
    <t>Schroeder, DM; Blankenship, DD; Young, DA; Quartini, E</t>
  </si>
  <si>
    <t>Schroeder, Dustin M.; Blankenship, Donald D.; Young, Duncan A.; Quartini, Enrica</t>
  </si>
  <si>
    <t>Evidence for elevated and spatially variable geothermal flux beneath the West Antarctic Ice Sheet</t>
  </si>
  <si>
    <t>subglacial hydrology; ice-penetrating radar</t>
  </si>
  <si>
    <t>MARIE BYRD LAND; THWAITES GLACIER; PINE ISLAND; BED; SATELLITE; VOLCANISM; COMPLEX; STREAMS; SURFACE; MODEL</t>
  </si>
  <si>
    <t>Heterogeneous hydrologic, lithologic, and geologic basal boundary conditions can exert strong control on the evolution, stability, and sea level contribution of marine ice sheets. Geothermal flux is one of the most dynamically critical ice sheet boundary conditions but is extremely difficult to constrain at the scale required to understand and predict the behavior of rapidly changing glaciers. This lack of observational constraint on geothermal flux is particularly problematic for the glacier catchments of the West Antarctic Ice Sheet within the low topography of the West Antarctic Rift System where geothermal fluxes are expected to be high, heterogeneous, and possibly transient. We use airborne radar sounding data with a subglacial water routing model to estimate the distribution of basal melting and geothermal flux beneath Thwaites Glacier, West Antarctica. We show that the Thwaites Glacier catchment has a minimum average geothermal flux of similar to 114 +/- 10 mW/m(2) with areas of high flux exceeding 200 mW/m(2) consistent with hypothesized rift-associated magmatic migration and volcanism. These areas of highest geothermal flux include the westernmost tributary of Thwaites Glacier adjacent to the subaerial Mount Takahe volcano and the upper reaches of the central tributary near the West Antarctic Ice Sheet Divide ice core drilling site.</t>
  </si>
  <si>
    <t>[Schroeder, Dustin M.; Blankenship, Donald D.; Young, Duncan A.; Quartini, Enrica] Univ Texas Austin, Inst Geophys, Austin, TX 78758 USA</t>
  </si>
  <si>
    <t>University of Texas System; University of Texas Austin</t>
  </si>
  <si>
    <t>Schroeder, DM (corresponding author), Univ Texas Austin, Inst Geophys, Austin, TX 78758 USA.</t>
  </si>
  <si>
    <t>dustin.m.schroeder@utexas.edu</t>
  </si>
  <si>
    <t>Young, Duncan A./G-6256-2010</t>
  </si>
  <si>
    <t>Quartini, Enrica/0000-0001-7485-543X; Schroeder, Dustin/0000-0003-1916-3929</t>
  </si>
  <si>
    <t>National Science Foundation (NSF) [PLR-0636724, PLR-0941678, PLR-1043761]; National Aeronautics and Space Administration [NNX08AN68G]; G. Unger Vetlesen Foundation; NSF Graduate Research Fellowship; University of Texas Recruiting Fellowship; University of Texas Institute for Geophysics (UTIG) Gale White Fellowship; UTIG [2711]; Directorate For Geosciences; Office of Polar Programs (OPP) [0941678, 1043761] Funding Source: National Science Foundation</t>
  </si>
  <si>
    <t>National Science Foundation (NSF)(National Science Foundation (NSF)); National Aeronautics and Space Administration(National Aeronautics &amp; Space Administration (NASA)); G. Unger Vetlesen Foundation; NSF Graduate Research Fellowship(National Science Foundation (NSF)); University of Texas Recruiting Fellowship; University of Texas Institute for Geophysics (UTIG) Gale White Fellowship; UTIG; Directorate For Geosciences; Office of Polar Programs (OPP)(National Science Foundation (NSF)NSF - Directorate for Geosciences (GEO))</t>
  </si>
  <si>
    <t>Radar processing assistance was provided by S. Kempf, and radar interpretation was performed by J. DeSantos, A. Jones, E. Powell, and M. Williams. We thank I. Joughin for providing his modeled basal melt water values. We thank two anonymous reviewers for their helpful comments on the manuscript. We thank the National Science Foundation (NSF) (Grants PLR-0636724, PLR-0941678, and PLR-1043761), the National Aeronautics and Space Administration (Grant NNX08AN68G), and the G. Unger Vetlesen Foundation for supporting this work. D. M. S. received support from an NSF Graduate Research Fellowship, a University of Texas Recruiting Fellowship, and the University of Texas Institute for Geophysics (UTIG) Gale White Fellowship. This is UTIG contribution 2711.</t>
  </si>
  <si>
    <t>JUN 24</t>
  </si>
  <si>
    <t>10.1073/pnas.1405184111</t>
  </si>
  <si>
    <t>AJ5WJ</t>
  </si>
  <si>
    <t>WOS:000337760600029</t>
  </si>
  <si>
    <t>Valdivia, N; Díaz, MJ; Holtheuer, J; Garrido, I; Huovinen, P; Gómez, I</t>
  </si>
  <si>
    <t>Valdivia, Nelson; Diaz, Maria J.; Holtheuer, Jorge; Garrido, Ignacio; Huovinen, Pirjo; Gomez, Ivan</t>
  </si>
  <si>
    <t>Up, Down, and All Around: Scale-Dependent Spatial Variation in Rocky-Shore Communities of Fildes Peninsula, King George Island, Antarctica</t>
  </si>
  <si>
    <t>ENVIRONMENTAL-STRESS; INTERTIDAL HABITATS; POTTER COVE; ICE SCOUR; PATTERNS; DISTURBANCE; MACROALGAE; ASSEMBLAGES; ZONATION; BIODIVERSITY</t>
  </si>
  <si>
    <t>Understanding the variation of biodiversity along environmental gradients and multiple spatial scales is relevant for theoretical and management purposes. Hereby, we analysed the spatial variability in diversity and structure of intertidal and subtidal macrobenthic Antarctic communities along vertical environmental stress gradients and across multiple horizontal spatial scales. Since biotic interactions and local topographic features are likely major factors for coastal assemblages, we tested the hypothesis that fine-scale processes influence the effects of the vertical environmental stress gradients on the macrobenthic diversity and structure. We used nested sampling designs in the intertidal and subtidal habitats, including horizontal spatial scales ranging from few centimetres to 1000s of metres along the rocky shore of Fildes Peninsula, King George Island. In both intertidal and subtidal habitats, univariate and multivariate analyses showed a marked vertical zonation in taxon richness and community structure. These patterns depended on the horizontal spatial scale of observation, as all analyses showed a significant interaction between height (or depth) and the finer spatial scale analysed. Variance and pseudo-variance components supported our prediction for taxon richness, community structure, and the abundance of dominant species such as the filamentous green alga Urospora penicilliformis (intertidal), the herbivore Nacella concinna (intertidal), the large kelp-like Himantothallus grandifolius (subtidal), and the red crustose red alga Lithothamnion spp. (subtidal). We suggest that in coastal ecosystems strongly governed by physical factors, fine-scale processes (e. g. biotic interactions and refugia availability) are still relevant for the structuring and maintenance of the local communities. The spatial patterns found in this study serve as a necessary benchmark to understand the dynamics and adaptation of natural assemblages in response to observed and predicted environmental changes in Antarctica.</t>
  </si>
  <si>
    <t>[Valdivia, Nelson; Diaz, Maria J.; Holtheuer, Jorge; Garrido, Ignacio; Huovinen, Pirjo; Gomez, Ivan] Univ Austral Chile, Fac Ciencias, Inst Ciencias Marinas &amp; Limnol, Valdivia, Chile; [Holtheuer, Jorge] Univ Austral Chile, Fac Ciencias, Programa Doctorado Biol Marina, Valdivia, Chile</t>
  </si>
  <si>
    <t>Universidad Austral de Chile; Universidad Austral de Chile</t>
  </si>
  <si>
    <t>Valdivia, N (corresponding author), Univ Austral Chile, Fac Ciencias, Inst Ciencias Marinas &amp; Limnol, Valdivia, Chile.</t>
  </si>
  <si>
    <t>nelson.valdivia@uach.cl</t>
  </si>
  <si>
    <t>; Valdivia, Nelson/C-3613-2009</t>
  </si>
  <si>
    <t>Gomez, Ivan/0000-0001-8381-3792; Diaz Aguirre, Maria Jose/0000-0002-5493-0292; Huovinen, Pirjo/0000-0002-7754-4933; Valdivia, Nelson/0000-0002-5394-2072</t>
  </si>
  <si>
    <t>PIA-CONICYT Anillo grant [ART1101]; Programa de Mejoramiento de la Calidad y la Equidad de la Educacioen Superior (MECESUP) through grant Fortalecimiento de las Ciencias Ecoloegicas y Evolutivas en la UACH [AUS0805]</t>
  </si>
  <si>
    <t>PIA-CONICYT Anillo grant(Comision Nacional de Investigacion Cientifica y Tecnologica (CONICYT)CONICYT PIA/ANILLOS); Programa de Mejoramiento de la Calidad y la Equidad de la Educacioen Superior (MECESUP) through grant Fortalecimiento de las Ciencias Ecoloegicas y Evolutivas en la UACH</t>
  </si>
  <si>
    <t>Financial support was provided by the PIA-CONICYT Anillo grant # ART1101 to I.G., P.H., and N.V.; and by the Programa de Mejoramiento de la Calidad y la Equidad de la Educacioen Superior (MECESUP) through grant # AUS0805 Fortalecimiento de las Ciencias Ecoloegicas y Evolutivas en la UACH to N.V. The funders had no role in study design, data collection and analysis, decision to publish, or preparation of the manuscript.</t>
  </si>
  <si>
    <t>JUN 23</t>
  </si>
  <si>
    <t>e100714</t>
  </si>
  <si>
    <t>10.1371/journal.pone.0100714</t>
  </si>
  <si>
    <t>AL1WV</t>
  </si>
  <si>
    <t>WOS:000338917900086</t>
  </si>
  <si>
    <t>Hill, NA; Lucieer, V; Barrett, NS; Anderson, TJ; Williams, SB</t>
  </si>
  <si>
    <t>Hill, Nicole A.; Lucieer, Vanessa; Barrett, Neville S.; Anderson, Tara J.; Williams, Stefan B.</t>
  </si>
  <si>
    <t>Filling the gaps: Predicting the distribution of temperate reef biota using high resolution biological and acoustic data</t>
  </si>
  <si>
    <t>ESTUARINE COASTAL AND SHELF SCIENCE</t>
  </si>
  <si>
    <t>surrogates; multibeam; autonomous underwater vehicles; species distribution; conservation; biodiversity</t>
  </si>
  <si>
    <t>FISH SPECIES RICHNESS; MARINE; ASSEMBLAGES; CORAL; CLASSIFICATION; COMMUNITIES; DIVERSITY; BATHYMETRY; ABUNDANCE; VARIABLES</t>
  </si>
  <si>
    <t>Management of the marine environment is often hampered by a lack of comprehensive spatial information on the distribution of diversity and the bio-physical processes structuring regional ecosystems. This is particularly true in temperate reef systems beyond depths easily accessible to divers. Yet these systems harbor a diversity of sessile life that provide essential ecosystem services, sustain fisheries and, as with shallower ecosystems, are also increasingly vulnerable to anthropogenic impacts and environmental change. Here we use cutting-edge tools (Autonomous Underwater Vehicles and ship-borne acoustics) and analytical approaches (predictive modelling) to quantify and map these highly productive ecosystems. We find the occurrence of key temperate-reef biota can be explained and predicted using standard (depth) and novel (texture) surrogates derived from multibeam acoustic data, and geographic surrogates. This suggests that combinations of fine-scale processes, such as light limitation and habitat complexity, and broad-scale processes, such as regional currents and exposure regimes, are important in structuring these diverse deep-reef communities. While some dominant habitat forming biota, including canopy algae, were widely distributed, others, including gorgonians and sea whips, exhibited patchy and restricted distributions across the reef system. In addition to providing the first quantitative and full coverage maps of reef diversity for this area, our modelling revealed that offshore reefs represented a regional diversity hotspot that is of high ecological and conservation value. Regional reef systems should not, therefore, be considered homogenous units in conservation planning and management. Full-coverage maps of the predicted distribution of biota (and associated uncertainty) are likely to be increasingly valuable, not only for conservation planning, but in the ongoing management and monitoring of these less-accessible ecosystems. (C) 2014 Elsevier Ltd. All rights reserved.</t>
  </si>
  <si>
    <t>[Hill, Nicole A.; Lucieer, Vanessa; Barrett, Neville S.] Univ Tasmania, Inst Marine &amp; Antarctic Studies, Hobart, Tas 7001, Australia; [Anderson, Tara J.] Geosci Australia, Marine &amp; Coastal Grp, Canberra, ACT 2601, Australia; [Williams, Stefan B.] Univ Sydney, ACFR, Sydney, NSW 2006, Australia</t>
  </si>
  <si>
    <t>University of Tasmania; Geoscience Australia; University of Sydney</t>
  </si>
  <si>
    <t>Hill, NA (corresponding author), Univ Tasmania, Inst Marine &amp; Antarctic Studies, Private Bag 49, Hobart, Tas 7001, Australia.</t>
  </si>
  <si>
    <t>Nicole.Hill@utas.edu.au</t>
  </si>
  <si>
    <t>Williams, Stefan/AAE-4376-2020; Hill, Nicole/AAI-7323-2021; Lucieer, Vanessa/D-1697-2009; Barrett, Neville/J-7593-2014</t>
  </si>
  <si>
    <t>Williams, Stefan/0000-0001-9416-5639; Hill, Nicole/0000-0001-9329-6717; Anderson, Tara/0000-0002-0497-7850; Lucieer, Vanessa/0000-0001-7531-5750; Barrett, Neville/0000-0002-6167-1356</t>
  </si>
  <si>
    <t>Commonwealth Environment Research Facilities (CERF); National Environmental Research Program (NERP); Australian Government initiatives</t>
  </si>
  <si>
    <t>Commonwealth Environment Research Facilities (CERF); National Environmental Research Program (NERP); Australian Government initiatives(Australian Government)</t>
  </si>
  <si>
    <t>This work has been funded through the Commonwealth Environment Research Facilities (CERF) and National Environmental Research Program (NERP); Australian Government initiatives supporting world class, public-good research. The CERF Marine Biodiversity Hub is a collaborative partnership between the University of Tasmania, CSIRO Wealth from Oceans Flagship, Geoscience Australia, Australian Institute of Marine Science and Museum Victoria. We would like to thank staff at the Australian Centre for Field Robotics (ACFR) and the Integrated Marine Observing System (IMOS) for access to and running the AUV Sirius; Lisa Meyer, Pauline Vouroit, Jo Dowdney and Justin Hulls for scoring images; and Geoscience Australia staff including Brendan Brooke, Scott Nichol, Matthew McArthur, Justy Siwabessy, James Daniell, Ian Atkinson and Cameron Buchanan for the collection and initial processing of MBES data. The manuscript was improved by comments from Nic Bax, Rebecca Leaper, Graham Edgar and anonymous reviewers.</t>
  </si>
  <si>
    <t>0272-7714</t>
  </si>
  <si>
    <t>1096-0015</t>
  </si>
  <si>
    <t>ESTUAR COAST SHELF S</t>
  </si>
  <si>
    <t>Estuar. Coast. Shelf Sci.</t>
  </si>
  <si>
    <t>JUN 20</t>
  </si>
  <si>
    <t>10.1016/j.ecss.2014.05.019</t>
  </si>
  <si>
    <t>AO6QQ</t>
  </si>
  <si>
    <t>WOS:000341477000014</t>
  </si>
  <si>
    <t>Anchuela, OP; Imaz, AG; Gil-Peña, I; Maestro, A; Galindo-Zaldivar, J; López-Martínez, J; Rey, J; Soto, R; Oliva-Urcia, B</t>
  </si>
  <si>
    <t>Pueyo Anchuela, O.; Gil Imaz, A.; Gil-Pena, I.; Maestro, A.; Galindo-Zaldivar, J.; Lopez-Martinez, J.; Rey, J.; Soto, R.; Oliva-Urcia, B.</t>
  </si>
  <si>
    <t>Application of AMS for reconstruction of the geological evolution of recent volcanic systems: Case of Deception Island (South Shetland Islands, Antarctica)</t>
  </si>
  <si>
    <t>AMS; Tilting analysis; Geological evolution; Caldera collapse; Morphotectonics; Antarctic Peninsula region</t>
  </si>
  <si>
    <t>MAGNETIC-SUSCEPTIBILITY; LAVA FLOWS; BRANSFIELD STRAIT; INTERNAL STRUCTURE; ANISOTROPY; EMPLACEMENT; DIRECTIONS; PENINSULA; BASIN; TECTONICS</t>
  </si>
  <si>
    <t>The analyses of recent volcanic systems can encounter limitations due to recent eruptions hiding part of the geological history, where the geomorphological expression can present non-univocal interpretations or where modern relief and abrupt cliffs can decrease the accessibility to places that are suitable for detailed analysis. In the case of Deception Island (Bransfield Trough), the recent tectonic and volcanic history and the interactions with glacial, periglacial and marine activities make traditional analysis difficult Anisotropy of magnetic susceptibility (AMS), a petrofabric approach, has allowed for the identification of a clear correlation between the anisotropy of the magnetic ellipsoid, the axial distribution characteristics at the site-scale, the type of defined magnetic fabrics and the imbrication angle between the magnetic foliation and the emplacement surface. However, these aspects are independent of the dip of the emplacement surface. In some of the analysed sites, the shear plane (the plane that contains Kmax and Kmin axes and the flow direction) shows non-suitable kinematic patterns to respect the dip of the emplacement surface. A tilting process is needed to recover the expected original distribution, in some cases, affecting the analysed units through a concentric fracture system with respect to the main caldera or following the regional tectonic structures. A detailed analysis of AMS data permits us to constrain the recent evolution of a volcanic system through three stages: 1) a radial distribution of volcanic deposits, 2) a coaxial tilting of the analysed zones respect the caldera collapse and 3) a tectonic-related fracturing system responsible for the tilting of the volcanic system. (C) 2014 Elsevier B.V. All rights reserved.</t>
  </si>
  <si>
    <t>[Pueyo Anchuela, O.; Gil Imaz, A.] Univ Zaragoza, Dept Ciencias Tierra, E-50009 Zaragoza, Spain; [Gil-Pena, I.; Maestro, A.; Soto, R.] Inst Geol &amp; Minero Espana, Madrid 28003, Spain; [Galindo-Zaldivar, J.] Univ Granada, Dept Geodinam, E-18071 Granada, Spain; [Lopez-Martinez, J.; Oliva-Urcia, B.] Univ Autonoma Madrid, Dept Geol &amp; Geoquim, E-28049 Madrid, Spain; [Rey, J.] ESGEMAR, Malaga 29006, Spain</t>
  </si>
  <si>
    <t>University of Zaragoza; University of Granada; Autonomous University of Madrid</t>
  </si>
  <si>
    <t>Anchuela, OP (corresponding author), Univ Zaragoza, Dept Ciencias Tierra, C Pedro Cerbuna 12, E-50009 Zaragoza, Spain.</t>
  </si>
  <si>
    <t>opueyo@gmail.com; agil@unizar.es; i.gil@igme.es; a.maestro@igme.es; jgalindo@ugr.es; jeronimo.lopez@uam.es; key@esgemar.com; r.soto@igme.es; belen.oliva@uam.es</t>
  </si>
  <si>
    <t>Soto, Ruth/ABH-1170-2021; Maestro, Adolfo/K-2434-2014; Maestro, Adolfo/ABG-7268-2021; Pueyo Anchuela, Oscar/AAA-9789-2019; Lopez-Martinez, Jeronimo/C-5744-2011; Gil-Peña, Inmaculada/K-5959-2014; Galindo-Zaldivar, Jesus/K-3640-2012; Oliva-Urcia, Belén/K-4485-2014</t>
  </si>
  <si>
    <t>Soto, Ruth/0000-0002-1929-8850; Maestro, Adolfo/0000-0002-7474-725X; Pueyo Anchuela, Oscar/0000-0002-1460-1590; Lopez-Martinez, Jeronimo/0000-0002-1750-8287; Gil-Peña, Inmaculada/0000-0002-2427-2559; Galindo-Zaldivar, Jesus/0000-0002-3493-2637; Oliva-Urcia, Belén/0000-0003-1563-6434</t>
  </si>
  <si>
    <t>Spanish RD National Plan [CTM2011-26372, CTM2011-13902-E]; Zaragoza University Geotransfer Research Group</t>
  </si>
  <si>
    <t>Spanish RD National Plan(Spanish Government); Zaragoza University Geotransfer Research Group</t>
  </si>
  <si>
    <t>The field work was completed thanks to the logistical support of the Gabriel de Castilla base personnel at Deception Island. This work was supported by projects CTM2011-26372 and CTM2011-13902-E of the Spanish R&amp;D National Plan and the Zaragoza University Geotransfer Research Group.</t>
  </si>
  <si>
    <t>10.1016/j.tecto.2014.03.032</t>
  </si>
  <si>
    <t>AK7NU</t>
  </si>
  <si>
    <t>WOS:000338615800005</t>
  </si>
  <si>
    <t>Ade, PAR; Aikin, RW; Barkats, D; Benton, SJ; Bischoff, CA; Bock, JJ; Brevik, JA; Buder, I; Bullock, E; Dowell, CD; Duband, L; Filippini, JP; Fliescher, S; Golwala, SR; Halpern, M; Hasselfield, M; Hildebrandt, SR; Hilton, GC; Hristov, VV; Irwin, KD; Karkare, KS; Kaufman, JP; Keating, BG; Kernasovskiy, SA; Kovac, JM; Kuo, CL; Leitch, EM; Lueker, M; Mason, P; Netterfield, CB; Nguyen, HT; O'Brient, R; Ogburn, RW; Orlando, A; Pryke, C; Reintsema, CD; Richter, S; Schwarz, R; Sheehy, CD; Staniszewski, ZK; Sudiwala, RV; Teply, GP; Tolan, JE; Turner, AD; Vieregg, AG; Wong, CL; Yoon, KW</t>
  </si>
  <si>
    <t>Ade, P. A. R.; Aikin, R. W.; Barkats, D.; Benton, S. J.; Bischoff, C. A.; Bock, J. J.; Brevik, J. A.; Buder, I.; Bullock, E.; Dowell, C. D.; Duband, L.; Filippini, J. P.; Fliescher, S.; Golwala, S. R.; Halpern, M.; Hasselfield, M.; Hildebrandt, S. R.; Hilton, G. C.; Hristov, V. V.; Irwin, K. D.; Karkare, K. S.; Kaufman, J. P.; Keating, B. G.; Kernasovskiy, S. A.; Kovac, J. M.; Kuo, C. L.; Leitch, E. M.; Lueker, M.; Mason, P.; Netterfield, C. B.; Nguyen, H. T.; O'Brient, R.; Ogburn, R. W.; Orlando, A.; Pryke, C.; Reintsema, C. D.; Richter, S.; Schwarz, R.; Sheehy, C. D.; Staniszewski, Z. K.; Sudiwala, R. V.; Teply, G. P.; Tolan, J. E.; Turner, A. D.; Vieregg, A. G.; Wong, C. L.; Yoon, K. W.</t>
  </si>
  <si>
    <t>BICEP2 Collaboration</t>
  </si>
  <si>
    <t>Detection of B-Mode Polarization at Degree Angular Scales by BICEP2</t>
  </si>
  <si>
    <t>PHYSICAL REVIEW LETTERS</t>
  </si>
  <si>
    <t>MICROWAVE BACKGROUND POLARIZATION; PROBE WMAP OBSERVATIONS; INFLATIONARY UNIVERSE SCENARIO; PHASE-TRANSITION; POWER SPECTRUM; GRAVITY-WAVES; ANISOTROPY; CMB; TEMPERATURE; EMISSION</t>
  </si>
  <si>
    <t>We report results from the BICEP2 experiment, a cosmic microwave background (CMB) polarimeter specifically designed to search for the signal of inflationary gravitational waves in the B-mode power spectrum around l similar to 80. The telescope comprised a 26 cm aperture all-cold refracting optical system equipped with a focal plane of 512 antenna coupled transition edge sensor 150 GHz bolometers each with temperature sensitivity of approximate to 300 mu K-CMB root s. BICEP2 observed from the South Pole for three seasons from 2010 to 2012. A low-foreground region of sky with an effective area of 380 square deg was observed to a depth of 87 nK deg in Stokes Q and U. In this paper we describe the observations, data reduction, maps, simulations, and results. We find an excess of B-mode power over the base lensed-ACDM expectation in the range 30 &lt; l &lt; 150, inconsistent with the null hypothesis at a significance of &gt; 5 sigma. Through jackknife tests and simulations based on detailed calibration measurements we show that systematic contamination is much smaller than the observed excess. Cross correlating against WMAP 23 GHz maps we find that Galactic synchrotron makes a negligible contribution to the observed signal. We also examine a number of available models of polarized dust emission and find that at their default parameter values they predict power similar to(5-10)x smaller than the observed excess signal (with no significant cross-correlation with our maps). However, these models are not sufficiently constrained by external public data to exclude the possibility of dust emission bright enough to explain the entire excess signal. Cross correlating BICEP2 against 100 GHz maps from the BICEP1 experiment, the excess signal is confirmed with 3 sigma significance and its spectral index is found to be consistent with that of the CMB, disfavoring dust at 1.7 sigma. The observed B-mode power spectrum is well fit by a lensed-ACDM + tensor theoretical model with tensor-to-scalar ratio r = 0.20(-0.05)(+0.07), with r = 0 disfavored at 7.0 sigma. Accounting for the contribution of foreground, dust will shift this value downward by an amount which will be better constrained with upcoming data sets.</t>
  </si>
  <si>
    <t>[Ade, P. A. R.; Sudiwala, R. V.] Cardiff Univ, Sch Phys &amp; Astron, Cardiff CF24 3AA, S Glam, Wales; [Aikin, R. W.; Bock, J. J.; Brevik, J. A.; Filippini, J. P.; Golwala, S. R.; Hildebrandt, S. R.; Hristov, V. V.; Lueker, M.; Mason, P.; Staniszewski, Z. K.; Teply, G. P.] CALTECH, Dept Phys, Pasadena, CA 91125 USA; [Barkats, D.] Joint ALMA Observ, Santiago, Chile; [Benton, S. J.; Netterfield, C. B.] Univ Toronto, Dept Phys, Toronto, ON M5S 1A7, Canada; [Bischoff, C. A.; Buder, I.; Karkare, K. S.; Kovac, J. M.; Richter, S.; Vieregg, A. G.; Wong, C. L.] Harvard Smithsonian Ctr Astrophys, Cambridge, MA 02138 USA; [Bock, J. J.; Dowell, C. D.; Hildebrandt, S. R.; Nguyen, H. T.; O'Brient, R.; Staniszewski, Z. K.; Turner, A. D.] CALTECH, Jet Prop Lab, Pasadena, CA 91109 USA; [Bullock, E.; Pryke, C.] Univ Minnesota, Minnesota Inst Astrophys, Minneapolis, MN 55455 USA; [Duband, L.] CEA, Serv Basses Temp, F-38054 Grenoble, France; [Fliescher, S.; Pryke, C.; Schwarz, R.; Sheehy, C. D.] Univ Minnesota, Dept Phys, Minneapolis, MN 55455 USA; [Halpern, M.; Hasselfield, M.] Univ British Columbia, Dept Phys &amp; Astron, Vancouver, BC V6T 1Z1, Canada; [Hilton, G. C.; Irwin, K. D.; Reintsema, C. D.] NIST, Boulder, CO 80305 USA; [Irwin, K. D.; Kernasovskiy, S. A.; Kuo, C. L.; Ogburn, R. W.; Tolan, J. E.; Yoon, K. W.] Stanford Univ, Dept Phys, Stanford, CA 94305 USA; [Irwin, K. D.; Kuo, C. L.; Ogburn, R. W.; Yoon, K. W.] SLAC Natl Accelerator Lab, Kavli Inst Particle Astrophys &amp; Cosmol, Menlo Pk, CA 94025 USA; [Kaufman, J. P.; Keating, B. G.; Orlando, A.] Univ Calif San Diego, Dept Phys, La Jolla, CA 92093 USA; [Leitch, E. M.; Orlando, A.; Sheehy, C. D.; Vieregg, A. G.] Univ Chicago, Chicago, IL 60637 USA; [Netterfield, C. B.] Canadian Inst Adv Res, Toronto, ON M5G 1Z8, Canada</t>
  </si>
  <si>
    <t>Cardiff University; California Institute of Technology; University of Toronto; Harvard University; Smithsonian Institution; Smithsonian Astrophysical Observatory; National Aeronautics &amp; Space Administration (NASA); NASA Jet Propulsion Laboratory (JPL); California Institute of Technology; University of Minnesota System; University of Minnesota Twin Cities; CEA; University of Minnesota System; University of Minnesota Twin Cities; University of British Columbia; National Institute of Standards &amp; Technology (NIST) - USA; Stanford University; Stanford University; United States Department of Energy (DOE); SLAC National Accelerator Laboratory; University of California System; University of California San Diego; University of Chicago; Canadian Institute for Advanced Research (CIFAR)</t>
  </si>
  <si>
    <t>Ade, PAR (corresponding author), Cardiff Univ, Sch Phys &amp; Astron, Cardiff CF24 3AA, S Glam, Wales.</t>
  </si>
  <si>
    <t>jmkovac@cfa.harvard.edu; pryke@physics.umn.edu</t>
  </si>
  <si>
    <t>Orlando, Angiola/AAH-6918-2020; Nguyen, H.T/AAG-1974-2021; Orlando, Angiola/AAI-3379-2021; kaufman, jarrod/GXV-3683-2022; Nguyễn, Hương/JUV-6128-2023; Keating, Brian/J-6063-2017; Orlando, Angiola/T-3869-2017</t>
  </si>
  <si>
    <t>Orlando, Angiola/0000-0001-9464-3100; Nguyen, H.T/0000-0001-5580-2877; Golwala, Sunil/0000-0002-1098-7174; /0000-0002-5215-6993; Hildebrandt, Sergi/0000-0003-0220-0009; Bischoff, Colin/0000-0001-9185-6514; Keating, Brian/0000-0003-3118-5514; Orlando, Angiola/0000-0001-8004-5054; Pryke, Clement/0000-0003-3983-6668; Irwin, Kent/0000-0002-2998-9743; Kovac, John/0009-0003-5432-7180; Hilton, Gene/0000-0003-4247-467X; Barkats, Denis/0000-0002-8971-1954</t>
  </si>
  <si>
    <t>U.S. National Science Foundation [ANT-0742818, ANT-1044978, ANT-0742592, ANT-1110087]; NASA APRA [06-ARPA206-0040, 10-SAT10-0017]; SAT programs; Gordon and Betty Moore Foundation at Caltech; Canada Foundation for Innovation grant; W. M. Keck Foundation; FAS Science Division Research Computing Group at Harvard University; U.S. Department of Energy Office of Science; STFC [ST/K000926/1] Funding Source: UKRI; Direct For Mathematical &amp; Physical Scien; Division Of Astronomical Sciences [1255358] Funding Source: National Science Foundation; Directorate For Geosciences; Office of Polar Programs (OPP) [1145172, 1145143] Funding Source: National Science Foundation; Division Of Physics; Direct For Mathematical &amp; Physical Scien [1125897] Funding Source: National Science Foundation; Grants-in-Aid for Scientific Research [25105004] Funding Source: KAKEN</t>
  </si>
  <si>
    <t>U.S. National Science Foundation(National Science Foundation (NSF)); NASA APRA(National Aeronautics &amp; Space Administration (NASA)); SAT programs; Gordon and Betty Moore Foundation at Caltech(Gordon and Betty Moore Foundation); Canada Foundation for Innovation grant(Canada Foundation for Innovation); W. M. Keck Foundation(W.M. Keck Foundation); FAS Science Division Research Computing Group at Harvard University; U.S. Department of Energy Office of Science(United States Department of Energy (DOE)); STFC(UK Research &amp; Innovation (UKRI)Science &amp; Technology Facilities Council (STFC)); Direct For Mathematical &amp; Physical Scien; Division Of Astronomical Sciences(National Science Foundation (NSF)NSF - Directorate for Mathematical &amp; Physical Sciences (MPS)); Directorate For Geosciences; Office of Polar Programs (OPP)(National Science Foundation (NSF)NSF - Directorate for Geosciences (GEO)); Division Of Physics; Direct For Mathematical &amp; Physical Scien(National Science Foundation (NSF)NSF - Directorate for Mathematical &amp; Physical Sciences (MPS)); Grants-in-Aid for Scientific Research(Ministry of Education, Culture, Sports, Science and Technology, Japan (MEXT)Japan Society for the Promotion of ScienceGrants-in-Aid for Scientific Research (KAKENHI))</t>
  </si>
  <si>
    <t>BICEP2 was supported by the U.S. National Science Foundation under Grants No. ANT-0742818 and No. ANT-1044978 (Caltech and Harvard) and ANT-0742592 and ANT-1110087 (Chicago and Minnesota). The development of antenna-coupled detector technology was supported by the JPL Research and Technology Development Fund and Grants No. 06-ARPA206-0040 and No. 10-SAT10-0017 from the NASA APRA and SAT programs. The development and testing of focal planes were supported by the Gordon and Betty Moore Foundation at Caltech. Readout electronics were supported by a Canada Foundation for Innovation grant to UBC. The receiver development was supported in part by a grant from the W. M. Keck Foundation. The computations in this paper were run on the Odyssey cluster supported by the FAS Science Division Research Computing Group at Harvard University. The analysis effort at Stanford and SLAC is partially supported by the U.S. Department of Energy Office of Science. Tireless administrative support was provided by Irene Coyle and Kathy Deniston. We thank the staff of the U.S. Antarctic Program and in particular the South Pole Station without whose help this research would not have been possible. We thank all those who have contributed past efforts to the BICEP-Keck Array series of experiments, including the BICEP1 and Keck Array teams. We thank all those in the astrophysics community who have contributed feedback on the public preprint of this paper, and particularly two anonymous referees for their detailed and constructive recommendations. This work would not have been possible without the late Andrew Lange, whom we sorely miss.</t>
  </si>
  <si>
    <t>AMER PHYSICAL SOC</t>
  </si>
  <si>
    <t>COLLEGE PK</t>
  </si>
  <si>
    <t>ONE PHYSICS ELLIPSE, COLLEGE PK, MD 20740-3844 USA</t>
  </si>
  <si>
    <t>0031-9007</t>
  </si>
  <si>
    <t>1079-7114</t>
  </si>
  <si>
    <t>PHYS REV LETT</t>
  </si>
  <si>
    <t>Phys. Rev. Lett.</t>
  </si>
  <si>
    <t>JUN 19</t>
  </si>
  <si>
    <t>10.1103/PhysRevLett.112.241101</t>
  </si>
  <si>
    <t>AO0MN</t>
  </si>
  <si>
    <t>Green Submitted, Green Accepted, hybrid</t>
  </si>
  <si>
    <t>WOS:000341003800002</t>
  </si>
  <si>
    <t>Kurtz, BE</t>
  </si>
  <si>
    <t>Kurtz, Bruce E.</t>
  </si>
  <si>
    <t>An Electrical Analogy Relating the Atlantic Multidecadal Oscillation to the Atlantic Meridional Overturning Circulation</t>
  </si>
  <si>
    <t>ANTARCTIC CIRCUMPOLAR CURRENT; SEA-SURFACE TEMPERATURE; THERMOHALINE CIRCULATION; CLIMATE VARIABILITY; NORTH-AMERICAN; HEAT-TRANSPORT; DYNAMICS; MODELS</t>
  </si>
  <si>
    <t>The Atlantic meridional overturning circulation (AMOC) is the northward flow of surface water to subpolar latitudes where deepwater is formed, balanced by southward abyssal flow and upwelling in the vicinity of the Southern Ocean. It is generally accepted that AMOC flow oscillates with a period of 60-80 years, creating a regular variation in North Atlantic sea surface temperature known as the Atlantic multidecadal oscillation (AMO). This article attempts to answer two questions: how is the AMOC driven and why does it oscillate? Using methods commonly employed by chemical engineers for analyzing processes involving flowing liquids, apparently not previously applied to trying to understand the AMOC, an equation is developed for AMOC flow as a function of the meridional density gradient or the corresponding temperature gradient. The equation is based on the similarity between the AMOC and an industrial thermosyphon loop cooler, which circulates a heat transfer liquid without using a mechanical pump. Extending this equation with an analogy between the flow of heat and electricity explains why the AMOC flow oscillates and what determines its period. Calculated values for AMOC flow and AMO oscillation period are in good agreement with measured values.</t>
  </si>
  <si>
    <t>kurtz36ti@gmail.com</t>
  </si>
  <si>
    <t>Kurtz, Bruce/0000-0001-5108-3510</t>
  </si>
  <si>
    <t>JUN 18</t>
  </si>
  <si>
    <t>e100306</t>
  </si>
  <si>
    <t>10.1371/journal.pone.0100306</t>
  </si>
  <si>
    <t>AK6AC</t>
  </si>
  <si>
    <t>WOS:000338508200094</t>
  </si>
  <si>
    <t>Reisser, J; Shaw, J; Hallegraeff, G; Proietti, M; Barnes, DKA; Thums, M; Wilcox, C; Hardesty, BD; Pattiaratchi, C</t>
  </si>
  <si>
    <t>Reisser, Julia; Shaw, Jeremy; Hallegraeff, Gustaaf; Proietti, Maira; Barnes, David K. A.; Thums, Michele; Wilcox, Chris; Hardesty, Britta Denise; Pattiaratchi, Charitha</t>
  </si>
  <si>
    <t>Millimeter-Sized Marine Plastics: A New Pelagic Habitat for Microorganisms and Invertebrates</t>
  </si>
  <si>
    <t>DENSITY POLYETHYLENE; DEBRIS; MICROPLASTICS; OCEAN; ENVIRONMENT; INGESTION; SEA; BIODEGRADATION; ACCUMULATION; OVIPOSITION</t>
  </si>
  <si>
    <t>Millimeter-sized plastics are abundant in most marine surface waters, and known to carry fouling organisms that potentially play key roles in the fate and ecological impacts of plastic pollution. In this study we used scanning electron microscopy to characterize biodiversity of organisms on the surface of 68 small floating plastics (length range = 1.7-24.3 mm, median = 3.2 mm) from Australia-wide coastal and oceanic, tropical to temperate sample collections. Diatoms were the most diverse group of plastic colonizers, represented by 14 genera. We also recorded 'epiplastic' coccolithophores (7 genera), bryozoans, barnacles (Lepas spp.), a dinoflagellate (Ceratium), an isopod (Asellota), a marine worm, marine insect eggs (Halobates sp.), as well as rounded, elongated, and spiral cells putatively identified as bacteria, cyanobacteria, and fungi. Furthermore, we observed a variety of plastic surface microtextures, including pits and grooves conforming to the shape of microorganisms, suggesting that biota may play an important role in plastic degradation. This study highlights how anthropogenic millimeter-sized polymers have created a new pelagic habitat for microorganisms and invertebrates. The ecological ramifications of this phenomenon for marine organism dispersal, ocean productivity, and biotransfer of plastic-associated pollutants, remains to be elucidated.</t>
  </si>
  <si>
    <t>[Reisser, Julia; Pattiaratchi, Charitha] Univ Western Australia, Sch Environm Syst Engn, Perth, WA 6009, Australia; [Reisser, Julia; Thums, Michele; Pattiaratchi, Charitha] Univ Western Australia, Oceans Inst, Perth, WA 6009, Australia; [Reisser, Julia; Wilcox, Chris; Hardesty, Britta Denise] CSIRO, Wealth Oceans Flagship, Perth, WA, Australia; [Shaw, Jeremy] Univ Western Australia, Ctr Microscopy Characterisat &amp; Anal, Perth, WA 6009, Australia; [Hallegraeff, Gustaaf] Univ Tasmania, Inst Marine &amp; Antarctic Studies, Hobart, Tas, Australia; [Proietti, Maira] Univ Fed Rio Grande, Inst Oceanog, Rio Grande, Brazil; [Barnes, David K. A.] British Antarctic Survey, Nat Environm Res Council, Cambridge CB3 0ET, England; [Thums, Michele] UWA Oceans Inst, Australian Inst Marine Sci, Perth, WA, Australia; [Wilcox, Chris; Hardesty, Britta Denise] CSIRO, Hobart, Tas, Australia</t>
  </si>
  <si>
    <t>University of Western Australia; University of Western Australia; Commonwealth Scientific &amp; Industrial Research Organisation (CSIRO); University of Western Australia; University of Tasmania; Universidade Federal do Rio Grande; UK Research &amp; Innovation (UKRI); Natural Environment Research Council (NERC); NERC British Antarctic Survey; Australian Institute of Marine Science; University of Western Australia; Commonwealth Scientific &amp; Industrial Research Organisation (CSIRO)</t>
  </si>
  <si>
    <t>Reisser, J (corresponding author), Univ Western Australia, Sch Environm Syst Engn, Perth, WA 6009, Australia.</t>
  </si>
  <si>
    <t>jureisser@gmail.com</t>
  </si>
  <si>
    <t>Wilcox, Chris/A-3585-2010; Hardesty, Britta Denise/A-3189-2011; Shaw, Jeremy A/B-4156-2011; Hallegraeff, Gustaaf/C-8351-2013; Pattiaratchi, Charitha/E-6916-2011; Thums, Michele/A-3850-2013; Reisser, Julia/K-2065-2013</t>
  </si>
  <si>
    <t>Shaw, Jeremy A/0000-0002-5140-457X; Hardesty, Britta Denise/0000-0003-1948-5098; Hallegraeff, Gustaaf/0000-0001-8464-7343; Pattiaratchi, Charitha/0000-0003-2229-6183; Thums, Michele/0000-0002-8669-8440; Reisser, Julia/0000-0002-1785-1042; Proietti, Maira/0000-0002-5504-5770</t>
  </si>
  <si>
    <t>University of Western Australia; Commonwealth Scientific and Industrial Research; Australia's Marine National Facility; Austral Fisheries; Australian Institute of Marine Science; CSIRO's Flagship postgraduate scholarship; Shell social investment program; Natural Environment Research Council [bas0100025] Funding Source: researchfish; NERC [bas0100025] Funding Source: UKRI</t>
  </si>
  <si>
    <t>University of Western Australia; Commonwealth Scientific and Industrial Research; Australia's Marine National Facility; Austral Fisheries; Australian Institute of Marine Science; CSIRO's Flagship postgraduate scholarship; Shell social investment program; Natural Environment Research Council(UK Research &amp; Innovation (UKRI)Natural Environment Research Council (NERC)); NERC(UK Research &amp; Innovation (UKRI)Natural Environment Research Council (NERC))</t>
  </si>
  <si>
    <t>This project was funded by University of Western Australia (http://www.uwa.edu.au) and Commonwealth Scientific and Industrial Research (http://www.csiro.au). It has also been supported by Australia's Marine National Facility, Austral Fisheries, Australian Institute of Marine Science, CSIRO's Flagship postgraduate scholarship (JR), and the Shell social investment program (BDH and CW). The funders had no role in study design, data collection and analysis, decision to publish, or preparation of the manuscript.</t>
  </si>
  <si>
    <t>e100289</t>
  </si>
  <si>
    <t>10.1371/journal.pone.0100289</t>
  </si>
  <si>
    <t>Green Published, Green Accepted, gold, Green Submitted</t>
  </si>
  <si>
    <t>WOS:000338508200091</t>
  </si>
  <si>
    <t>Lee, J</t>
  </si>
  <si>
    <t>Lee, J.</t>
  </si>
  <si>
    <t>Combined Analysis of the Chloroplast Genome and Transcriptome of the Antarctic Vascular Plant Deschampsia antarctica Desv. (vol 9, e92501, 2014)</t>
  </si>
  <si>
    <t>JUN 17</t>
  </si>
  <si>
    <t>e101100</t>
  </si>
  <si>
    <t>10.1371/journal.pone.0101100</t>
  </si>
  <si>
    <t>AK5YM</t>
  </si>
  <si>
    <t>WOS:000338503400114</t>
  </si>
  <si>
    <t>Ferrari, R; Jansen, MF; Adkins, JF; Burke, A; Stewart, AL; Thompson, AF</t>
  </si>
  <si>
    <t>Ferrari, Raffaele; Jansen, Malte F.; Adkins, Jess F.; Burke, Andrea; Stewart, Andrew L.; Thompson, Andrew F.</t>
  </si>
  <si>
    <t>Antarctic sea ice control on ocean circulation in present and glacial climates</t>
  </si>
  <si>
    <t>carbon cycle; ice age; ocean circulation; paleoceanography; Southern Ocean</t>
  </si>
  <si>
    <t>WESTERLY WIND CHANGES; SOUTHERN-OCEAN; ATMOSPHERIC CO2; OVERTURNING CIRCULATION; ATLANTIC; MAXIMUM; DRIVEN; MODEL; TEMPERATURE; PACIFIC</t>
  </si>
  <si>
    <t>In the modern climate, the ocean below 2 km is mainly filled by waters sinking into the abyss around Antarctica and in the North Atlantic. Paleoproxies indicate that waters of North Atlantic origin were instead absent below 2 km at the Last Glacial Maximum, resulting in an expansion of the volume occupied by Antarctic origin waters. In this study we show that this rearrangement of deep water masses is dynamically linked to the expansion of summer sea ice around Antarctica. A simple theory further suggests that these deep waters only came to the surface under sea ice, which insulated them from atmospheric forcing, and were weakly mixed with overlying waters, thus being able to store carbon for long times. This unappreciated link between the expansion of sea ice and the appearance of a voluminous and insulated water mass may help quantify the ocean's role in regulating atmospheric carbon dioxide on glacial-interglacial timescales. Previous studies pointed to many independent changes in ocean physics to account for the observed swings in atmospheric carbon dioxide. Here it is shown that many of these changes are dynamically linked and therefore must co-occur.</t>
  </si>
  <si>
    <t>[Ferrari, Raffaele] MIT, Dept Earth Atmospher &amp; Planetary Sci, Cambridge, MA 02139 USA; [Jansen, Malte F.] Geophys Fluid Dynam Lab, Atmospher &amp; Ocean Sci Program, Princeton, NJ 08544 USA; [Adkins, Jess F.; Burke, Andrea; Stewart, Andrew L.; Thompson, Andrew F.] CALTECH, Div Geol &amp; Planetary Sci, Pasadena, CA 91125 USA</t>
  </si>
  <si>
    <t>Massachusetts Institute of Technology (MIT); National Oceanic Atmospheric Admin (NOAA) - USA; California Institute of Technology</t>
  </si>
  <si>
    <t>Ferrari, R (corresponding author), MIT, Dept Earth Atmospher &amp; Planetary Sci, Cambridge, MA 02139 USA.</t>
  </si>
  <si>
    <t>Ferrari, Raffaele/C-9337-2013; Jansen, Malte/ABB-4451-2020; Adkins, Jess/GYI-8778-2022</t>
  </si>
  <si>
    <t>Ferrari, Raffaele/0000-0002-3736-1956; Jansen, Malte/0000-0003-3894-1124; Burke, Andrea/0000-0002-3754-1498; Stewart, Andrew/0000-0001-5861-4070</t>
  </si>
  <si>
    <t>National Science Foundation; Breene M. Kerr Chair; Directorate For Geosciences; Division Of Ocean Sciences [1204211] Funding Source: National Science Foundation</t>
  </si>
  <si>
    <t>National Science Foundation(National Science Foundation (NSF)); Breene M. Kerr Chair; Directorate For Geosciences; Division Of Ocean Sciences(National Science Foundation (NSF)NSF - Directorate for Geosciences (GEO))</t>
  </si>
  <si>
    <t>L.P. Nadeau helped with figures. All authors acknowledge support from the National Science Foundation. R.F. acknowledges support from the Breene M. Kerr Chair.</t>
  </si>
  <si>
    <t>10.1073/pnas.1323922111</t>
  </si>
  <si>
    <t>AI9XO</t>
  </si>
  <si>
    <t>WOS:000337300100024</t>
  </si>
  <si>
    <t>Wang, ZM; Turner, J; Sun, B; Li, BR; Liu, CY</t>
  </si>
  <si>
    <t>Wang, Zhaomin; Turner, John; Sun, Bo; Li, Bingrui; Liu, Chengyan</t>
  </si>
  <si>
    <t>Cyclone-induced rapid creation of extreme Antarctic sea ice conditions</t>
  </si>
  <si>
    <t>ADELIE-LAND; REEXAMINATION; CLIMATOLOGY</t>
  </si>
  <si>
    <t>Two polar vessels, Akademik Shokalskiy and Xuelong, were trapped by thick sea ice in the Antarctic coastal region just to the west of 144 degrees E and between 66.5 degrees S and 67 degrees S in late December 2013. This event demonstrated the rapid establishment of extreme Antarctic sea ice conditions on synoptic time scales. The event was associated with cyclones that developed at lower latitudes. Near the event site, cyclone-enhanced strong southeasterly katabatic winds drove large westward drifts of ice floes. In addition, the cyclones also gave southward ice drift. The arrival and grounding of Iceberg B9B in Commonwealth Bay in March 2011 led to the growth of fast ice around it, forming a northward protruding barrier. This barrier blocked the westward ice drift and hence aided sea ice consolidation on its eastern side. Similar cyclone-induced events have occurred at this site in the past after the grounding of Iceberg B9B. Future events may be predictable on synoptic time scales, if cyclone-induced strong wind events can be predicted.</t>
  </si>
  <si>
    <t>[Wang, Zhaomin; Liu, Chengyan] Nanjing Univ Informat Sci &amp; Technol, Nanjing Inst Meteorol, Polar Climate Syst &amp; Global Change Lab, Nanjing 210044, Jiangsu, Peoples R China; [Wang, Zhaomin; Liu, Chengyan] Nanjing Univ Informat Sci &amp; Technol, NIAMS, ESMC, Nanjing 210044, Jiangsu, Peoples R China; [Turner, John] British Antarctic Survey, Cambridge CB3 0ET, England; [Sun, Bo; Li, Bingrui] Polar Res Inst China, Shanghai 200136, Peoples R China</t>
  </si>
  <si>
    <t>Nanjing University of Information Science &amp; Technology; Nanjing University of Information Science &amp; Technology; UK Research &amp; Innovation (UKRI); Natural Environment Research Council (NERC); NERC British Antarctic Survey; Polar Research Institute of China</t>
  </si>
  <si>
    <t>Wang, ZM (corresponding author), Nanjing Univ Informat Sci &amp; Technol, Nanjing Inst Meteorol, Polar Climate Syst &amp; Global Change Lab, Nanjing 210044, Jiangsu, Peoples R China.</t>
  </si>
  <si>
    <t>wzm@nuist.edu.cn</t>
  </si>
  <si>
    <t>sun, bo/JFA-9978-2023</t>
  </si>
  <si>
    <t>Turner, John/0000-0002-6111-5122</t>
  </si>
  <si>
    <t>Chinese National Key Basic Research Program [2010CB950301]; China National Natural Science Foundation (NSFC) Project [41276200, 41376190, 41306208]; National High Technology Research and Development Program of China (863 Program) [2011AA04022]; Special Program for China Meteorology Trade [GYHY201306020]; Priority Academic Program Development of Jiangsu Higher Education Institutions (PAPD); Natural Environment Research Council [bas0100023] Funding Source: researchfish; NERC [bas0100023] Funding Source: UKRI</t>
  </si>
  <si>
    <t>Chinese National Key Basic Research Program(National Basic Research Program of China); China National Natural Science Foundation (NSFC) Project(National Natural Science Foundation of China (NSFC)); National High Technology Research and Development Program of China (863 Program)(National High Technology Research and Development Program of China); Special Program for China Meteorology Trade; Priority Academic Program Development of Jiangsu Higher Education Institutions (PAPD); Natural Environment Research Council(UK Research &amp; Innovation (UKRI)Natural Environment Research Council (NERC)); NERC(UK Research &amp; Innovation (UKRI)Natural Environment Research Council (NERC))</t>
  </si>
  <si>
    <t>Part of this work was done at the British Antarctic Survey, when Z. Wang worked as a visiting scientist there. We thank Tony Phillips for downloading some of the data we analyzed. Z. Wang, B. Sun, B. Li, and C. Liu was supported by the Chinese National Key Basic Research Program (2010CB950301), by the China National Natural Science Foundation (NSFC) Project (41276200; 41376190; 41306208), by National High Technology Research and Development Program of China (863 Program) (No. 2011AA04022), by the Special Program for China Meteorology Trade (Grant No. GYHY201306020), and by a project funded by the Priority Academic Program Development of Jiangsu Higher Education Institutions (PAPD).</t>
  </si>
  <si>
    <t>10.1038/srep05317</t>
  </si>
  <si>
    <t>AJ0LD</t>
  </si>
  <si>
    <t>gold, Green Accepted, Green Published</t>
  </si>
  <si>
    <t>WOS:000337342500005</t>
  </si>
  <si>
    <t>Patara, L; Böning, CW</t>
  </si>
  <si>
    <t>Patara, Lavinia; Boening, Claus W.</t>
  </si>
  <si>
    <t>Abyssal ocean warming around Antarctica strengthens the Atlantic overturning circulation</t>
  </si>
  <si>
    <t>SEA-LEVEL RISE; SOUTHERN-OCEAN; BOTTOM WATER; ANNULAR MODE; GLOBAL HEAT; DEEP; VARIABILITY; EVOLUTION; CONVEYOR; FLUX</t>
  </si>
  <si>
    <t>The abyssal warming around Antarctica is one of the most prominent multidecadal signals of change in the global ocean. Here we investigate its dynamical impacts on the Atlantic Meridional Overturning Circulation (AMOC) by performing a set of experiments with the ocean-sea ice model NEMO-LIM2 at 1/2 degrees horizontal resolution. The simulations suggest that the ongoing warming of Antarctic Bottom Water (AABW), already affecting much of the Southern Hemisphere with a rate of up to 0.05 degrees C decade(-1), has important implications for the large-scale meridional overturning circulation in the Atlantic Ocean. While the abyssal northward flow of AABW is weakening, we find the upper AMOC cell to progressively strengthen by 5-10% in response to deep density changes in the South Atlantic. The simulations suggest that the AABW-induced strengthening of the AMOC is already extending into the subtropical North Atlantic, implying that the process may counteract the projected decrease of the AMOC in the next decades.</t>
  </si>
  <si>
    <t>[Patara, Lavinia; Boening, Claus W.] GEOMAR Helmholtz Ctr Ocean Res Kiel, Kiel, Germany</t>
  </si>
  <si>
    <t>Helmholtz Association; GEOMAR Helmholtz Center for Ocean Research Kiel</t>
  </si>
  <si>
    <t>Patara, L (corresponding author), GEOMAR Helmholtz Ctr Ocean Res Kiel, Kiel, Germany.</t>
  </si>
  <si>
    <t>lpatara@geomar.de</t>
  </si>
  <si>
    <t>Boening, Claus W/HIR-8996-2022; Boening, Claus/AAW-6387-2020; Boening, Claus W./B-1686-2012</t>
  </si>
  <si>
    <t>Boening, Claus W/0000-0002-6251-5777; Boening, Claus/0000-0002-6251-5777; Boening, Claus W./0000-0002-6251-5777</t>
  </si>
  <si>
    <t>Deutsche Forschungsgemeinschaft (DFG) [BO 907/4-1]; Cluster of Excellence The Future Ocean within Excellence Initiative by the DFG [CP1219]</t>
  </si>
  <si>
    <t>Deutsche Forschungsgemeinschaft (DFG)(German Research Foundation (DFG)); Cluster of Excellence The Future Ocean within Excellence Initiative by the DFG(German Research Foundation (DFG))</t>
  </si>
  <si>
    <t>The model data used for this paper can be made available from the author upon request. The integration of the experiments has been performed at the Computing Centre of the Kiel University and at the North-German Supercomputing Alliance (HLRN). The study was financially supported by the Deutsche Forschungsgemeinschaft (DFG) project BO 907/4-1 and by the project CP1219 of the Cluster of Excellence The Future Ocean funded within the framework of the Excellence Initiative by the DFG. We thank Walter Zenk for providing the observed temperature data at the Vema Channel and the NEMO and DRAKKAR teams for their technical support. Two anonymous reviewers are also gratefully acknowledged.</t>
  </si>
  <si>
    <t>JUN 16</t>
  </si>
  <si>
    <t>10.1002/2014GL059923</t>
  </si>
  <si>
    <t>AL6YP</t>
  </si>
  <si>
    <t>WOS:000339280200039</t>
  </si>
  <si>
    <t>Schlosser, E; Anschütz, H; Divine, D; Martma, T; Sinisalo, A; Altnau, S; Isaksson, E</t>
  </si>
  <si>
    <t>Schlosser, E.; Anschutz, H.; Divine, D.; Martma, T.; Sinisalo, A.; Altnau, S.; Isaksson, E.</t>
  </si>
  <si>
    <t>Recent climate tendencies on an East Antarctic ice shelf inferred from a shallow firn core network</t>
  </si>
  <si>
    <t>Fimbul Ice Shelf; stable isotopes; SAM; temporal trends</t>
  </si>
  <si>
    <t>DRONNING MAUD LAND; SURFACE MASS-BALANCE; PINE ISLAND GLACIER; SEA-ICE; ACCUMULATION VARIABILITY; PART I; TRENDS; SNOW; MELT; CIRCULATION</t>
  </si>
  <si>
    <t>Nearly three decades of stable isotope ratios and surface mass balance (SMB) data from eight shallow firn cores retrieved at Fimbul Ice Shelf, East Antarctica, in the Austral summers 2009-2011 have been investigated. An additional longer core drilled in 2000/2001 extends the series back to the early eighteenth century. Isotope ratios and SMB from the stacked record of all cores were also related to instrumental temperature data from Neumayer Station on Ekstrom Ice Shelf. Since the second half of the twentieth century, the SMB shows a statistically significant negative trend, whereas the 18O of the cores shows a significant positive trend. No trend is found in air temperature at the nearest suitable weather station, Neumayer (available since 1981). This does not correspond to the statistically significant positive trend in Southern Annular Mode (SAM) index, which is usually associated with a cooling of East Antarctica. SAM index and SMB are negatively correlated, which might be explained by a decrease in meridional exchange of energy and moisture leading to lower precipitation amounts. Future monitoring of climate change on the sensitive Antarctic ice shelves is necessary to assess its consequences for sea level change.</t>
  </si>
  <si>
    <t>[Schlosser, E.; Altnau, S.] Univ Innsbruck, Inst Meteorol &amp; Geophys, A-6020 Innsbruck, Austria; [Anschutz, H.] NGI Oslo, Oslo, Norway; [Divine, D.; Isaksson, E.] Norwegian Polar Res Inst, Fram Ctr, Tromso, Norway; [Martma, T.] Tallinn Univ Technol, Inst Geol, EE-19086 Tallinn, Estonia; [Sinisalo, A.] Univ Oslo, Dept Geosci, Oslo, Norway</t>
  </si>
  <si>
    <t>University of Innsbruck; Norwegian Geotechnical Institute, NGI; Norwegian Polar Institute; Tallinn University of Technology; University of Oslo</t>
  </si>
  <si>
    <t>Schlosser, E (corresponding author), Univ Innsbruck, Inst Meteorol &amp; Geophys, A-6020 Innsbruck, Austria.</t>
  </si>
  <si>
    <t>Elisabeth.Schlosser@uibk.ac.at</t>
  </si>
  <si>
    <t>Martma, Tonu/B-7386-2019</t>
  </si>
  <si>
    <t>Martma, Tonu/0000-0001-5894-7692; Divine, Dmitry/0000-0003-0548-6698; Sinisalo, Anna/0000-0002-7587-1877</t>
  </si>
  <si>
    <t>Norwegian Research Council through NARE, Center for Ice, Climate and Ecosystems (ICE) at the Norwegian Polar Institute, Tromso; EU Regional Development Foundation [3.2.0801.12-0044]; Austrian Science Fund (FWF) [V31-N10/P24223]</t>
  </si>
  <si>
    <t>Norwegian Research Council through NARE, Center for Ice, Climate and Ecosystems (ICE) at the Norwegian Polar Institute, Tromso; EU Regional Development Foundation; Austrian Science Fund (FWF)(Austrian Science Fund (FWF))</t>
  </si>
  <si>
    <t>We are grateful to all members of the Fimbul Ice Shelf Expeditions 2009/2010 and 2010/2011 for various support in the field. Neumayer SYNOP data were kindly provided by Gert Konig-Langlo, AWI, Bremerhaven. BAS is acknowledged for providing the SAM index data online. We thank three anonymous reviewers for their thorough reviews that helped improving this paper. This study was financed by the Norwegian Research Council through NARE, Center for Ice, Climate and Ecosystems (ICE) at the Norwegian Polar Institute, Tromso, the EU Regional Development Foundation, project3.2.0801.12-0044, and the Austrian Science Fund (FWF) (grants V31-N10/P24223). The core data are available at Norwegian Polar Institute (Elisabeth.Isaksson@npolar.no).</t>
  </si>
  <si>
    <t>10.1002/2013JD020818</t>
  </si>
  <si>
    <t>AJ8RK</t>
  </si>
  <si>
    <t>WOS:000337974500018</t>
  </si>
  <si>
    <t>Scott, RC; Lubin, D</t>
  </si>
  <si>
    <t>Scott, Ryan C.; Lubin, Dan</t>
  </si>
  <si>
    <t>Mixed-phase cloud radiative properties over Ross Island, Antarctica: The influence of various synoptic-scale atmospheric circulation regimes</t>
  </si>
  <si>
    <t>Antarctic clouds; cloud-radiation interaction; radiative transfer; polar meteorology; McMurdo Station</t>
  </si>
  <si>
    <t>ICE SHELF; ULTRAVIOLET-RADIATION; SPECTRAL ALBEDOS; MCMURDO-STATION; WEST ANTARCTICA; SEA-ICE; OCEAN; SIMULATIONS; IRRADIANCE; PENINSULA</t>
  </si>
  <si>
    <t>Spectral downwelling shortwave irradiance measurements made beneath overcast stratiform cloud decks at Ross Island, Antarctica (77.5 degrees S, 167 degrees E), are used in conjunction with discrete ordinates-based radiative transfer simulations to examine how mixed-phase clouds influence shortwave irradiance at the surface during austral spring-summer. From 10 October 2012 until 4 February 2013, an Analytical Spectral Devices (ASD, Inc.) spectroradiometer deployed at the Arrival Heights (77.82 degrees S, 166.65 degrees E) laboratory of McMurdo Station measured in 1 min averages the downwelling spectral hemispheric (direct plus diffuse) irradiance spanning visible (VIS) and near-infrared regions of the solar spectrum, from 350 to 2200 nm. Conservative-scattering cloud optical depth c is retrieved in the interval 1022-1033 nm, where the albedo of the snow-covered surface is lower than at VIS wavelengths. The impact of liquid versus mixed-phase cloud properties on the surface shortwave energy budget is discerned using irradiances in the 1.6 m window. Five case studies employ NASA A-Train satellite and ancillary meteorological data sets to investigate the macrophysical, microphysical, and shortwave radiative characteristics of clouds possessing distinct meteorological histories. Cloud systems within marine air masses arriving at Ross Island after transiting the West Antarctic ice sheet (WAIS) and the Ross Ice Shelf are radiatively dominated by the ice phase. In contrast, moist marine air moving directly onshore from the Ross Sea brings low clouds with a stronger influence of liquid water. Deep cyclonic disturbances over the Ross Sea are seen to be limited in their ability to deliver significant moisture as far south as Ross Island, where clouds are mainly optically thin.</t>
  </si>
  <si>
    <t>[Scott, Ryan C.; Lubin, Dan] Univ Calif San Diego, Scripps Inst Oceanog, La Jolla, CA 92093 USA</t>
  </si>
  <si>
    <t>Scott, RC (corresponding author), Univ Calif San Diego, Scripps Inst Oceanog, La Jolla, CA 92093 USA.</t>
  </si>
  <si>
    <t>rcscott@ucsd.edu</t>
  </si>
  <si>
    <t>Scott, Ryan/0000-0002-9182-0834</t>
  </si>
  <si>
    <t>National Science Foundation [ANT-1141939]; Office of Polar Programs (OPP); Directorate For Geosciences [1141939] Funding Source: National Science Foundation</t>
  </si>
  <si>
    <t>National Science Foundation(National Science Foundation (NSF)); Office of Polar Programs (OPP); Directorate For Geosciences(National Science Foundation (NSF)NSF - Directorate for Geosciences (GEO))</t>
  </si>
  <si>
    <t>This work was supported by the National Science Foundation under ANT-1141939. We are grateful for outstanding logistical support from Elizabeth Widen, Joann Bain, and Cara Sucher of the United States Antarctic Program. Automatic Weather Station (AWS) data were provided by the Antarctic Meteorological Research Center (AMRC) at the University of Wisconsin-Madison. CloudSat and CALIPSO data were obtained from the CloudSat Data Processing Center and NASA Langley Research Center Atmospheric Science Data Center.</t>
  </si>
  <si>
    <t>10.1002/2013JD021132</t>
  </si>
  <si>
    <t>WOS:000337974500029</t>
  </si>
  <si>
    <t>Kleinböhl, A; Khosravi, M; Urban, J; Canty, T; Salawitch, RJ; Toon, GC; Küllmann, H; Notholt, J</t>
  </si>
  <si>
    <t>Kleinboehl, Armin; Khosravi, Maryam; Urban, Joachim; Canty, Timothy; Salawitch, Ross J.; Toon, Geoffrey C.; Kuellmann, Harry; Notholt, Justus</t>
  </si>
  <si>
    <t>Constraints for the photolysis rate and the equilibrium constant of ClO-dimer from airborne and balloon-borne measurements of chlorine compounds</t>
  </si>
  <si>
    <t>chlorine monoxide; ClO-dimer; submillimeter measurements; photolysis; equilibrium constant; Arctic winter</t>
  </si>
  <si>
    <t>ABSORPTION CROSS-SECTIONS; IN-SITU MEASUREMENTS; ARCTIC POLAR VORTEX; OZONE LOSS; CLO/CL2O2 EQUILIBRIUM; WINTER 1999/2000; ANTARCTIC OZONE; SELF-REACTION; STRATOSPHERE; KINETICS</t>
  </si>
  <si>
    <t>We analyze measurements of ClO across the terminator taken by the Airborne Submillimeter Radiometer (ASUR) in the activated vortices of the Arctic winters of 1995/1996, 1996/1997, and 1999/2000 to evaluate the plausibility of various determinations of the ClO-dimer photolysis cross section and the rate constant controlling the thermal equilibrium between ClO-dimer and ClO. We use measured ClO during sunlit conditions to estimate total active chlorine (ClOx). As the measurements suggest nearly full chlorine activation in winter 1999/2000, we compare ClOx estimates based on various photolysis frequencies of ClO-dimer with total available inorganic chlorine (Cly), estimated from an N2O-Cly correlation established by a balloon-borne MkIV interferometer measurement. Only ClO-dimer cross sections leading to the fastest photolysis frequencies in the literature (including the latest evaluation by the Jet Propulsion Laboratory) give ClOx mixing ratios that overlap with the estimated range of available Cly. Slower photolysis rates lead to ClOx values that are higher than available Cly. We use the ClOx calculated from sunlit ClO measurements to estimate ClO in darkness based on different equilibrium constants, and compare it with ASUR ClO measurements before sunrise at high solar zenith angles. Calculations with equilibrium constants published in recent evaluations of the Jet Propulsion Laboratory give good agreement with observed ClO mixing ratios. Equilibrium constants leading to a higher ClO/ClOx ratio in darkness yield ClO values that tend to exceed observed abundances. Perturbing the rates for the ClO+BrO reaction in a manner that increases OClO formation and decreases BrCl formation leads to lower ClO values calculated for twilight conditions after sunset, resulting in better agreement with ASUR measurements.</t>
  </si>
  <si>
    <t>[Kleinboehl, Armin; Toon, Geoffrey C.] CALTECH, Jet Prop Lab, Pasadena, CA 91125 USA; [Khosravi, Maryam; Urban, Joachim] Chalmers Univ Technol, Dept Earth &amp; Space Sci, S-41296 Gothenburg, Sweden; [Canty, Timothy; Salawitch, Ross J.] Univ Maryland, Dept Atmospher &amp; Ocean Sci, College Pk, MD 20742 USA; [Salawitch, Ross J.] Univ Maryland, Dept Chem &amp; Biochem, College Pk, MD 20742 USA; [Salawitch, Ross J.] Univ Maryland, Earth Syst Sci Interdisciplinary Ctr, College Pk, MD 20742 USA; [Kuellmann, Harry; Notholt, Justus] Univ Bremen, Inst Environm Phys, D-28359 Bremen, Germany</t>
  </si>
  <si>
    <t>California Institute of Technology; National Aeronautics &amp; Space Administration (NASA); NASA Jet Propulsion Laboratory (JPL); Chalmers University of Technology; University System of Maryland; University of Maryland College Park; University System of Maryland; University of Maryland College Park; University System of Maryland; University of Maryland College Park; University of Bremen</t>
  </si>
  <si>
    <t>Kleinböhl, A (corresponding author), CALTECH, Jet Prop Lab, Pasadena, CA 91125 USA.</t>
  </si>
  <si>
    <t>Armin.Kleinboehl@jpl.nasa.gov</t>
  </si>
  <si>
    <t>Urban, Jo/F-9172-2010; Salawitch, Ross/B-4605-2009; Canty, Tim/F-2631-2010; Notholt, Justus/P-4520-2016</t>
  </si>
  <si>
    <t>Urban, Jo/0000-0001-7026-793X; Canty, Tim/0000-0003-0618-056X; Notholt, Justus/0000-0002-3324-885X</t>
  </si>
  <si>
    <t>aircraft crew; Atmospheric Composition, Modeling, and Analysis Program of the National Aeronautics and Space Administration; National Aeronautics and Space Administration</t>
  </si>
  <si>
    <t>aircraft crew; Atmospheric Composition, Modeling, and Analysis Program of the National Aeronautics and Space Administration; National Aeronautics and Space Administration(National Aeronautics &amp; Space Administration (NASA))</t>
  </si>
  <si>
    <t>We are grateful to H. Bremer and M. Sinnhuber for their contributions to data acquisition and retrieval of ASUR data. We would like to acknowledge V. Eyring for performing initial analyses of the flights from 1996 and 1997, and we would like to thank Y. Tijani for re-integrating the ASUR measurements of the 1996/1997 flights. We are grateful to K. Kunzi for providing the opportunity to perform measurements with ASUR on board of research aircraft. We also thank G. Naveke, N. Whyborn, H. Golstein, and H. Schaeffer for their excellent technical support prior to and during the ASUR aircraft campaigns. We are thankful to R. M. Stimpfle, D. M. Wilmouth, and J. G. Anderson for providing their ClO and ClNO3 measurements from the ER-2 via the NASA ESPO archive. We thank the aircraft crew of the DLR Falcon for their support during the 1996/1997 campaigns. We are grateful for the opportunity to participate on board the NASA DC-8 during SOLVE and thank the aircraft crew for their support. We want to express our gratitude to J.-F. L. Blavier, D. Petterson, and J. Landeros for their contributions to the balloon flight from Esrange. We thank NASA CSBF for performing the balloon launch and for their support during the campaign. We acknowledge GMAO and NCEP for providing meteorological analyses. T. Canty and R. Salawitch appreciate support from the Atmospheric Composition, Modeling, and Analysis Program of the National Aeronautics and Space Administration. Work at the Jet Propulsion Laboratory, California Institute of Technology, is performed under a contract with the National Aeronautics and Space Administration.</t>
  </si>
  <si>
    <t>10.1002/2013JD021433</t>
  </si>
  <si>
    <t>WOS:000337974500041</t>
  </si>
  <si>
    <t>Barnes, DKA; Fenton, M; Cordingley, A</t>
  </si>
  <si>
    <t>Barnes, David K. A.; Fenton, Mairi; Cordingley, Ashley</t>
  </si>
  <si>
    <t>Climate-linked iceberg activity massively reduces spatial competition in Antarctic shallow Waters</t>
  </si>
  <si>
    <t>CURRENT BIOLOGY</t>
  </si>
  <si>
    <t>[Barnes, David K. A.; Fenton, Mairi; Cordingley, Ashley] British Antarctic Survey, NERC, Cambridge CB3 0ET, England</t>
  </si>
  <si>
    <t>Barnes, DKA (corresponding author), British Antarctic Survey, NERC, Madingley Rd, Cambridge CB3 0ET, England.</t>
  </si>
  <si>
    <t>dkab@bas.ac.uk</t>
  </si>
  <si>
    <t>Fenton, Mairi/0000-0002-9404-1107</t>
  </si>
  <si>
    <t>CELL PRESS</t>
  </si>
  <si>
    <t>50 HAMPSHIRE ST, FLOOR 5, CAMBRIDGE, MA 02139 USA</t>
  </si>
  <si>
    <t>0960-9822</t>
  </si>
  <si>
    <t>1879-0445</t>
  </si>
  <si>
    <t>CURR BIOL</t>
  </si>
  <si>
    <t>Curr. Biol.</t>
  </si>
  <si>
    <t>R553</t>
  </si>
  <si>
    <t>R554</t>
  </si>
  <si>
    <t>10.1016/j.cub.2014.04.040</t>
  </si>
  <si>
    <t>Biochemistry &amp; Molecular Biology; Biology; Cell Biology</t>
  </si>
  <si>
    <t>Biochemistry &amp; Molecular Biology; Life Sciences &amp; Biomedicine - Other Topics; Cell Biology</t>
  </si>
  <si>
    <t>AJ4LQ</t>
  </si>
  <si>
    <t>WOS:000337648200007</t>
  </si>
  <si>
    <t>McMillan, M; Shepherd, A; Sundal, A; Briggs, K; Muir, A; Ridout, A; Hogg, A; Wingham, D</t>
  </si>
  <si>
    <t>McMillan, Malcolm; Shepherd, Andrew; Sundal, Aud; Briggs, Kate; Muir, Alan; Ridout, Andrew; Hogg, Anna; Wingham, Duncan</t>
  </si>
  <si>
    <t>Increased ice losses from Antarctica detected by CryoSat-2</t>
  </si>
  <si>
    <t>SEA-LEVEL RISE; SHEET MASS-BALANCE; RADAR ALTIMETRY; ELEVATION CHANGE; GREENLAND; SNOWFALL; GRACE; VARIABILITY; GLACIERS; LAND</t>
  </si>
  <si>
    <t>We use 3 years of Cryosat-2 radar altimeter data to develop the first comprehensive assessment of Antarctic ice sheet elevation change. This new data set provides near-continuous (96%) coverage of the entire continent, extending to within 215 km of the South Pole and leading to a fivefold increase in the sampling of coastal regions where the vast majority of all ice losses occur. Between 2010 and 2013, West Antarctica, East Antarctica, and the Antarctic Peninsula changed in mass by -134 +/- 27, -3 +/- 36, and -23 +/- 18 Gt yr(-1), respectively. In West Antarctica, signals of imbalance are present in areas that were poorly surveyed by past missions, contributing additional losses that bring altimeter observations closer to estimates based on other geodetic techniques. However, the average rate of ice thinning in West Antarctica has also continued to rise, and mass losses from this sector are now 31% greater than over the period 2005-2010.</t>
  </si>
  <si>
    <t>[McMillan, Malcolm; Shepherd, Andrew; Sundal, Aud; Briggs, Kate; Hogg, Anna] Univ Leeds, Sch Earth &amp; Environm, Ctr Polar Observat &amp; Modelling, Leeds, W Yorkshire, England; [Shepherd, Andrew; Muir, Alan; Ridout, Andrew; Wingham, Duncan] UCL, Dept Earth Sci, Ctr Polar Observat &amp; Modelling, London, England</t>
  </si>
  <si>
    <t>University of Leeds; University of London; University College London</t>
  </si>
  <si>
    <t>Shepherd, A (corresponding author), Univ Leeds, Sch Earth &amp; Environm, Ctr Polar Observat &amp; Modelling, Leeds, W Yorkshire, England.</t>
  </si>
  <si>
    <t>a.shepherd@leeds.ac.uk</t>
  </si>
  <si>
    <t>McMillan, Malcolm/K-7712-2014</t>
  </si>
  <si>
    <t>Muir, Alan/0000-0001-7754-088X; Shepherd, Andrew/0000-0002-4914-1299; McMillan, Malcolm/0000-0002-5113-0177</t>
  </si>
  <si>
    <t>UK Natural Environment Research Council; Natural Environment Research Council [1053020, cpom30001, NE/J005681/1, NE/J005657/1] Funding Source: researchfish; NERC [NE/J005657/1, cpom30001, NE/J005681/1]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</si>
  <si>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</si>
  <si>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UK Natural Environment Research Council. The CryoSat-2 and airborne altimetry data used in this study are available from the European Space Agency and the National Snow and Ice Data Center, respectively. We are grateful to the Editor and to two reviewers for their comments, which helped improve the manuscript.</t>
  </si>
  <si>
    <t>10.1002/2014GL060111</t>
  </si>
  <si>
    <t>WOS:000339280200030</t>
  </si>
  <si>
    <t>Sergienko, OV; Creyts, TT; Hindmarsh, RCA</t>
  </si>
  <si>
    <t>Sergienko, O. V.; Creyts, T. T.; Hindmarsh, R. C. A.</t>
  </si>
  <si>
    <t>Similarity of organized patterns in driving and basal stresses of Antarctic and Greenland ice sheets beneath extensive areas of basal sliding</t>
  </si>
  <si>
    <t>WEST ANTARCTICA; STREAM; FLOW; SURFACE; SYSTEM; BED; VARIABILITY; RESISTANCE; THICKNESS; DYNAMICS</t>
  </si>
  <si>
    <t>The rate of ice transport from the interior of ice sheets to their margins, and hence the rate with which it contributes to sea level, is determined by the balance of driving stress, basal resistance, and ice internal deformation. Using recent high-resolution observations of the Antarctic and Greenland ice sheets, we compute driving stress and ice deformation velocities, inferring basal traction by inverse techniques. The results reveal broad-scale organization in 5-20 km band-like patterns in both the driving and basal shear stresses located in zones with substantial basal sliding. Both ice sheets experience basal sliding over areas substantially larger than previously recognized. The likely cause of the spatial patterns is the development of a band-like structure in the basal shear stress distribution that is the results of pattern-forming instabilities related to subglacial water. The similarity of patterns on the Greenland and Antarctic ice sheets suggests that the flow of ice sheets is controlled by the same fundamental processes operating at their base, which control ice sheet sliding and are highly variable on relatively short spatial and temporal scales, with poor predictability. This has far-reaching implications for understanding of the current and projection of the future ice sheets' evolution.</t>
  </si>
  <si>
    <t>[Sergienko, O. V.] Princeton Univ, GFDL, AOS, Princeton, NJ 08544 USA; [Creyts, T. T.] Columbia Univ, Lamont Doherty Earth Observ, Palisades, NY USA; [Hindmarsh, R. C. A.] British Antarctic Survey, Sci Programmes, Cambridge CB3 0ET, England</t>
  </si>
  <si>
    <t>Princeton University; National Oceanic Atmospheric Admin (NOAA) - USA; Columbia University; UK Research &amp; Innovation (UKRI); Natural Environment Research Council (NERC); NERC British Antarctic Survey</t>
  </si>
  <si>
    <t>Sergienko, OV (corresponding author), Princeton Univ, GFDL, AOS, Princeton, NJ 08544 USA.</t>
  </si>
  <si>
    <t>osergien@princeton.edu</t>
  </si>
  <si>
    <t>Sergienko, Olga/HII-8500-2022; Hindmarsh, Richard/N-1195-2019</t>
  </si>
  <si>
    <t>Sergienko, Olga/0000-0002-5764-8815; Hindmarsh, Richard/0000-0003-1633-2416; Creyts, Timothy/0000-0003-1756-5211</t>
  </si>
  <si>
    <t>National Oceanic and Atmospheric Administration, U.S. Department of Commerce [NA08OAR4320752, NA13OAR439]; NSF [OPP-1043481]; British Antarctic Survey Polar Science for Planet Earth program; NERC [bas0100027, NE/J008087/1, NE/J008095/1] Funding Source: UKRI; Natural Environment Research Council [NE/J008095/1, bas0100027, NE/J008087/1] Funding Source: researchfish; Office of Polar Programs (OPP); Directorate For Geosciences [1043481] Funding Source: National Science Foundation</t>
  </si>
  <si>
    <t>National Oceanic and Atmospheric Administration, U.S. Department of Commerce(National Oceanic Atmospheric Admin (NOAA) - USA); NSF(National Science Foundation (NSF)); British Antarctic Survey Polar Science for Planet Earth program;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</si>
  <si>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thank the Editor and two anonymous referees for thorough reviews, constructive criticisms, and useful suggestions that substantially improved the manuscript. O.V.S. is supported by awards NA08OAR4320752 and NA13OAR439 from the National Oceanic and Atmospheric Administration, U.S. Department of Commerce. The statements, findings, conclusions, and recommendations are those of the author and do not necessarily reflect the views of the National Oceanic and Atmospheric Administration, or the U.S. Department of Commerce. T. T. C. was supported by NSF grant OPP-1043481. R. C. A. H. was funded by the British Antarctic Survey Polar Science for Planet Earth program. The results of this study will be available at NSIDC.</t>
  </si>
  <si>
    <t>10.1002/2014GL059976</t>
  </si>
  <si>
    <t>WOS:000339280200033</t>
  </si>
  <si>
    <t>Pol, K; Masson-Delmotte, V; Cattani, O; Debret, M; Falourd, S; Jouzel, J; Landais, A; Minster, B; Mudelsee, M; Schulz, M; Stenni, B</t>
  </si>
  <si>
    <t>Pol, K.; Masson-Delmotte, V.; Cattani, O.; Debret, M.; Falourd, S.; Jouzel, J.; Landais, A.; Minster, B.; Mudelsee, M.; Schulz, M.; Stenni, B.</t>
  </si>
  <si>
    <t>Climate variability features of the last interglacial in the East Antarctic EPICA Dome C ice core</t>
  </si>
  <si>
    <t>SEA-LEVEL; SHEET; RECORDS; CHRONOLOGY; EVOLUTION; MODELS; WATER</t>
  </si>
  <si>
    <t>Whereas millennial to submillennial climate variability has been identified during the current interglacial period, past interglacial variability features remain poorly explored because of lacking data at sufficient temporal resolutions. Here we present new deuterium data from the EPICA Dome C ice core, documenting at decadal resolution temperature changes occurring over the East Antarctic plateau during the warmer-than-today last interglacial. Expanding previous evidence of instabilities during the last interglacial, multicentennial subevents are identified and labeled for the first time in a past interglacial context. A variance analysis further reveals two major climatic features. First, an increase in variability is detected prior to the glacial inception, as already observed at the end of Marine Isotopic Stage 11 in the same core. Second, the overall variance level is systematically higher during the last interglacial than during the current one, suggesting that a warmer East Antarctic climate may also be more variable.</t>
  </si>
  <si>
    <t>[Pol, K.; Masson-Delmotte, V.; Cattani, O.; Falourd, S.; Jouzel, J.; Landais, A.; Minster, B.] UMR 8212 CEA CNRS UVSQ, IPSL, Lab Sci Climat &amp; Environm, Gif Sur Yvette, France; [Pol, K.] British Antarctic Survey, Cambridge CB3 0ET, England; [Debret, M.] Univ Rouen, Lab Morphodynam Continentale &amp; Cotiere UMR CNRS 6, Mont St Aignan, France; [Mudelsee, M.] Alfred Wegener Inst Polar &amp; Marine Res, Climate Sci Div, Bremerhaven, Germany; [Mudelsee, M.] Climate Risk Anal, Bad Gandersheim, Germany; [Schulz, M.] Univ Bremen, MARUM Ctr Marine Environm Sci, D-28359 Bremen, Germany; [Schulz, M.] Univ Bremen, Fac Geosci, D-28359 Bremen, Germany; [Stenni, B.] Univ Trieste, Dept Math &amp; Geosci, Trieste, Italy</t>
  </si>
  <si>
    <t>Universite Paris Cite; Centre National de la Recherche Scientifique (CNRS); CNRS - National Institute for Earth Sciences &amp; Astronomy (INSU); Universite Paris Saclay; CEA; UK Research &amp; Innovation (UKRI); Natural Environment Research Council (NERC); NERC British Antarctic Survey; Universite de Rouen Normandie; Helmholtz Association; Alfred Wegener Institute, Helmholtz Centre for Polar &amp; Marine Research; University of Bremen; University of Bremen; University of Trieste</t>
  </si>
  <si>
    <t>Pol, K (corresponding author), UMR 8212 CEA CNRS UVSQ, IPSL, Lab Sci Climat &amp; Environm, Gif Sur Yvette, France.</t>
  </si>
  <si>
    <t>katl@bas.ac.uk</t>
  </si>
  <si>
    <t>IPO, PAGES/JXY-7546-2024; Masson-Delmotte, Valerie L/G-1995-2011; Schulz, Michael/P-7276-2016; Mudelsee, Manfred/C-6063-2018; Debret, Maxime/L-4236-2017</t>
  </si>
  <si>
    <t>Masson-Delmotte, Valerie L/0000-0001-8296-381X; Schulz, Michael/0000-0001-6500-2697; POL, Katy/0000-0002-3467-3698; LANDAIS, Amaelle/0000-0002-5620-5465; Mudelsee, Manfred/0000-0002-2364-9561; Debret, Maxime/0000-0002-8852-0152; Stenni, Barbara/0000-0003-4950-3664</t>
  </si>
  <si>
    <t>EU; EPICA-MIS; ANR PICC; Dome A; European Union's Seventh Framework Programme (FP7) [243908]; Natural Environment Research Council [bas0100024, NE/I009639/1] Funding Source: researchfish; NERC [NE/I009639/1, bas0100024] Funding Source: UKRI; Directorate For Geosciences; Division Of Earth Sciences [1023724] Funding Source: National Science Foundation</t>
  </si>
  <si>
    <t>EU(European Union (EU)); EPICA-MIS; ANR PICC(Agence Nationale de la Recherche (ANR)); Dome A; European Union's Seventh Framework Programme (FP7)(European Union (EU)); Natural Environment Research Council(UK Research &amp; Innovation (UKRI)Natural Environment Research Council (NERC)); NERC(UK Research &amp; Innovation (UKRI)Natural Environment Research Council (NERC)); Directorate For Geosciences; Division Of Earth Sciences(National Science Foundation (NSF)NSF - Directorate for Geosciences (GEO))</t>
  </si>
  <si>
    <t>The authors want to address special thanks to Eric Wolff for his useful comments and support and to members of the Past Interglacials (PIGS) working group of the Past Global Changes (PAGES) project for discussions. This work is a contribution to the European Project for Ice Coring in Antarctica (EPICA), a joint European Science Foundation/European Commission (EU) scientific program, funded by the EU and by national contributions from Belgium, Denmark, France, Germany, Italy, Netherlands, Norway, Sweden, Switzerland, and the U. K. The main logistic support was provided by IPEV and PNRA. LSCE analytical work has been funded by EPICA-MIS, ANR PICC, and Dome A, and by the European Union's Seventh Framework Programme (FP7/2007-2013) under grant agreement 243908, Past4Future.Climate change-Learning from the past climate. The authors thank the two anonymous reviewers for their constructive comments, which helped to improve the manuscript. This is EPICA publication no. 297, Past4Future contribution no. 74, and LSCE publication no. 5314.</t>
  </si>
  <si>
    <t>10.1002/2014GL059561</t>
  </si>
  <si>
    <t>WOS:000339280200043</t>
  </si>
  <si>
    <t>[Anonymous]</t>
  </si>
  <si>
    <t>West Antarctic glacier loss appears unstoppable</t>
  </si>
  <si>
    <t>News Item</t>
  </si>
  <si>
    <t>JUN 15</t>
  </si>
  <si>
    <t>AL4UJ</t>
  </si>
  <si>
    <t>WOS:000339130000008</t>
  </si>
  <si>
    <t>Graversen, RG; Langen, PL; Mauritsen, T</t>
  </si>
  <si>
    <t>Graversen, Rune G.; Langen, Peter L.; Mauritsen, Thorsten</t>
  </si>
  <si>
    <t>Polar Amplification in CCSM4: Contributions from the Lapse Rate and Surface Albedo Feedbacks</t>
  </si>
  <si>
    <t>ARCTIC CLIMATE-CHANGE; WATER-VAPOR FEEDBACK; SEA-ICE; CIRCULATION; IMPACT; MODEL; AQUAPLANET</t>
  </si>
  <si>
    <t>A vertically nonuniform warming of the troposphere yields a lapse rate feedback by altering the infrared irradiance to space relative to that of a vertically uniform tropospheric warming. The lapse rate feedback is negative at low latitudes, as a result of moist convective processes, and positive at high latitudes, due to stable stratification conditions that effectively trap warming near the surface. It is shown that this feedback pattern leads to polar amplification of the temperature response induced by a radiative forcing. The results are obtained by suppressing the lapse rate feedback in the Community Climate System Model, version 4 (CCSM4). The lapse rate feedback accounts for 15% of the Arctic amplification and 20% of the amplification in the Antarctic region. The fraction of the amplification that can be attributed to the surface albedo feedback, associated with melting of snow and ice, is 40% in the Arctic and 65% in Antarctica. It is further found that the surface albedo and lapse rate feedbacks interact considerably at high latitudes to the extent that they cannot be considered independent feedback mechanisms at the global scale.</t>
  </si>
  <si>
    <t>[Graversen, Rune G.] Stockholm Univ, Dept Meteorol, S-10691 Stockholm, Sweden; [Langen, Peter L.] Danish Meteorol Inst, Copenhagen, Denmark; [Mauritsen, Thorsten] Max Planck Inst, Hamburg, Germany</t>
  </si>
  <si>
    <t>Stockholm University; Danish Meteorological Institute DMI; Max Planck Society</t>
  </si>
  <si>
    <t>Graversen, RG (corresponding author), Stockholm Univ, Dept Meteorol, S-10691 Stockholm, Sweden.</t>
  </si>
  <si>
    <t>rune@misu.su.se</t>
  </si>
  <si>
    <t>Langen, Peter L/AAR-1120-2021; Mauritsen, Thorsten/G-5880-2013; Mauritsen, Thorsten/HLH-2002-2023; Graversen, Rune G/C-3956-2016</t>
  </si>
  <si>
    <t>Langen, Peter L/0000-0003-2185-012X; Graversen, Rune/0000-0003-4899-553X; Mauritsen, Thorsten/0000-0003-1418-4077</t>
  </si>
  <si>
    <t>Swedish research council FORMAS; National Supercomputer Centre (NSC), Linkoping, Sweden [SNIC 2013/1-101, SNIC 2013/1-223]</t>
  </si>
  <si>
    <t>Swedish research council FORMAS(Swedish Research Council Formas); National Supercomputer Centre (NSC), Linkoping, Sweden</t>
  </si>
  <si>
    <t>The authors would like to thank three anonymous reviewers who provided very constructive and helpful comments. The authors are grateful for interesting and useful discussions with Rodrigo Caballero, Gunilla Svensson, Michael Tjernstrom, and Jonas Nycander. All experiments were run at the Triolith supercomputer from the National Supercomputer Centre (NSC), Linkoping, Sweden, as projects SNIC 2013/1-101 and SNIC 2013/1-223 approved by the Swedish National Infrastructure for Computing (SNIC). The CCSM4 model was obtained from NCAR, Boulder, Colorado, United States. This work is part of the program Advanced Simulations of Climate Change and Impacts on Northern Regions (ADSIMNOR) funded by the Swedish research council FORMAS.</t>
  </si>
  <si>
    <t>10.1175/JCLI-D-13-00551.1</t>
  </si>
  <si>
    <t>AJ4PV</t>
  </si>
  <si>
    <t>WOS:000337659200007</t>
  </si>
  <si>
    <t>Morioka, Y; Masson, S; Terray, P; Prodhomme, C; Behera, SK; Masumoto, Y</t>
  </si>
  <si>
    <t>Morioka, Yushi; Masson, Sebastien; Terray, Pascal; Prodhomme, Chloe; Behera, Swadhin K.; Masumoto, Yukio</t>
  </si>
  <si>
    <t>Role of Tropical SST Variability on the Formation of Subtropical Dipoles</t>
  </si>
  <si>
    <t>SEA-SURFACE TEMPERATURE; SOUTHERN ANNULAR MODE; VARYING BASIC FLOW; WAVE-ACTIVITY FLUX; INDIAN-OCEAN; EL-NINO; CLIMATE VARIABILITY; ATMOSPHERIC CIRCULATION; AFRICAN RAINFALL; ATLANTIC</t>
  </si>
  <si>
    <t>Interannual variations of sea surface temperature (SST) in the midlatitudes of the Southern Hemisphere play an important role in the rainfall variability over the surrounding countries by modulating synoptic-scale atmospheric disturbances. These are frequently associated with a northeast southwest-oriented dipole of positive and negative SST anomalies in each oceanic basin, referred to as a subtropical dipole. This study investigates the role of tropical SST variability on the generation of subtropical dipoles by conducting SST-nudging experiments using a coupled general circulation model. In the experiments where the simulated SST in each tropical basin is nudged to the climatology of the observed SST, the subtropical dipoles tend to occur as frequently as the case in which the simulated SST is allowed to freely interact with the atmosphere. It is found that without the tropical SST variability, the zonally elongated atmospheric mode in the mid- to high latitudes, called the Antarctic Oscillation (AAO), becomes dominant and the stationary Rossby waves related to the AAO induce the sea level pressure (SLP) anomalies in the midlatitudes, which, in turn, generate the subtropical dipoles. These results suggest that the tropical SST variability may not be necessary for generating the subtropical dipoles, and hence provide a useful insight into the important role of the AAO in the midlatitude climate variability.</t>
  </si>
  <si>
    <t>[Morioka, Yushi; Behera, Swadhin K.; Masumoto, Yukio] JAMSTEC, Res Inst Global Change, Yokohama, Kanagawa 2360001, Japan; [Masson, Sebastien; Terray, Pascal; Prodhomme, Chloe] Univ Paris 06, LOCEAN IPSL, Paris, France</t>
  </si>
  <si>
    <t>Japan Agency for Marine-Earth Science &amp; Technology (JAMSTEC); Museum National d'Histoire Naturelle (MNHN); Sorbonne Universite</t>
  </si>
  <si>
    <t>Morioka, Y (corresponding author), JAMSTEC, Res Inst Global Change, Kanazawa Ku, 3173-25 Showa Machi, Yokohama, Kanagawa 2360001, Japan.</t>
  </si>
  <si>
    <t>morioka@jamstec.go.jp</t>
  </si>
  <si>
    <t>Prodhomme, Chloé/HKF-1452-2023; Morioka, Yushi/G-3431-2014; masson, sebastien/F-9780-2011; MASUMOTO, YUKIO/G-5021-2014; Prodhomme, Chloé/AAE-8928-2021; Behera, Swadhin K./B-7839-2009</t>
  </si>
  <si>
    <t>Prodhomme, Chloé/0000-0002-1990-5219; Morioka, Yushi/0000-0002-2709-4911; masson, sebastien/0000-0002-1694-8117; Prodhomme, Chloé/0000-0002-1990-5219; Behera, Swadhin K./0000-0001-8692-2388; terray, Pascal/0000-0002-3982-6630; Prodhomme, Chloe/0000-0003-2304-8958</t>
  </si>
  <si>
    <t>GENCI-IDRIS [2012-x2012016895]; Japan Society for the Promotion of Science (JSPS)</t>
  </si>
  <si>
    <t>GENCI-IDRIS; Japan Society for the Promotion of Science (JSPS)(Ministry of Education, Culture, Sports, Science and Technology, Japan (MEXT)Japan Society for the Promotion of Science)</t>
  </si>
  <si>
    <t>The SINTEX-F2 experiments were performed using BPC resources from GENCI-IDRIS (Grant 2012-x2012016895). We are grateful to three anonymous reviewers for providing helpful comments and suggestions on our original manuscript. Also, constructive comments from Drs. Toshio Yamagata, Jerome Via lard, Takeshi Izumo, Hugo Dayan, and J. V. Ratnam helped improve the manuscript. The first author is supported by a research fellowship from the Japan Society for the Promotion of Science (JSPS).</t>
  </si>
  <si>
    <t>10.1175/JCLI-D-13-00506.1</t>
  </si>
  <si>
    <t>WOS:000337659200010</t>
  </si>
  <si>
    <t>Liu, Y; Fan, K</t>
  </si>
  <si>
    <t>Liu, Ying; Fan, Ke</t>
  </si>
  <si>
    <t>An application of hybrid downscaling model to forecast summer precipitation at stations in China</t>
  </si>
  <si>
    <t>Summer precipitation; Stations; China; Downscaling model</t>
  </si>
  <si>
    <t>500 HPA HEIGHT; INTERANNUAL VARIABILITY; ANTARCTIC OSCILLATION; SOUTHERN-HEMISPHERE; NORTHERN-HEMISPHERE; CLIMATE; PREDICTION; MONSOON; RAINFALL; CIRCULATION</t>
  </si>
  <si>
    <t>A pattern prediction hybrid downscaling method was applied to predict summer (June-JulyAugust) precipitation at China 160 stations. The predicted precipitation from the downscaling scheme is available one month before. Four predictors were chosen to establish the hybrid downscaling scheme. The 500-hPa geopotential height (GH5) and 850-hPa specific humidity (q85) were from the skillful predicted output of three DEMETER (Development of a European Multi-model Ensemble System for Seasonal to Interannual Prediction) general circulation models (GCMs). The 700-hPa geopotential height (GH7) and sea level pressure (SLP) were from reanalysis datasets. The hybrid downscaling scheme (HD-4P) has better prediction skill than a conventional statistical downscaling model (SD-2P) which contains two predictors derived from the output of GCMs, although two downscaling schemes were performed to improve the seasonal prediction of summer rainfall in comparison with the original output of the DEMETER GCMs. In particular, HD-4P downscaling predictions showed lower root mean square errors than those based on the SD-2P model. Furthermore, the HD-4P downscaling model reproduced the China summer precipitation anomaly centers more accurately than the scenario of the SD-2P model in 1998. A hybrid downscaling prediction should be effective to improve the prediction skill of summer rainfall at stations in China. (C) 2014 Elsevier B.V. All rights reserved.</t>
  </si>
  <si>
    <t>[Liu, Ying] China Meteorol Adm, Natl Climate Ctr, Lab Climate Studies, Beijing 100081, Peoples R China; [Liu, Ying; Fan, Ke] Nanjing Univ Informat Sci &amp; Technol, Collaborat Innovat Ctr Forecast &amp; Evaluat Meteoro, Nanjing 210044, Jiangsu, Peoples R China; [Liu, Ying; Fan, Ke] Chinese Acad Sci, Inst Atmospher Phys, Nansen Zhu Int Res Ctr, Beijing 100029, Peoples R China</t>
  </si>
  <si>
    <t>China Meteorological Administration; Nanjing University of Information Science &amp; Technology; Chinese Academy of Sciences; Institute of Atmospheric Physics, CAS</t>
  </si>
  <si>
    <t>Fan, K (corresponding author), Chinese Acad Sci, Inst Atmospher Phys, Nansen Zhu Int Res Ctr, Beijing 100029, Peoples R China.</t>
  </si>
  <si>
    <t>liuying@cma.gov.cn; fanke@mail.iap.ac.cn</t>
  </si>
  <si>
    <t>Liu, Ying/AAX-2412-2020; Fan, K/GXH-3734-2022; Fan, Ke/AAJ-2315-2020</t>
  </si>
  <si>
    <t>National Basic Research Program of China [2010CB950304]; National Nature Science Foundation for Distinguished Young Scientists of China [41325018]; National Nature Science Foundation of China [41175071]; Special Fund for public welfare industry (meteorology) [GYHY200906018]</t>
  </si>
  <si>
    <t>National Basic Research Program of China(National Basic Research Program of China); National Nature Science Foundation for Distinguished Young Scientists of China; National Nature Science Foundation of China(National Natural Science Foundation of China (NSFC)); Special Fund for public welfare industry (meteorology)</t>
  </si>
  <si>
    <t>The authors are grateful to the anonymous reviewers for their valuable comments and good advises. This research was jointly supported by the National Basic Research Program of China (Grant No. 2010CB950304), and the National Nature Science Foundation for Distinguished Young Scientists of China (Grant No. 41325018), the National Nature Science Foundation of China (Granted 41175071) and the Special Fund for public welfare industry (meteorology) (GYHY200906018).</t>
  </si>
  <si>
    <t>10.1016/j.atmosres.2014.01.024</t>
  </si>
  <si>
    <t>AH4OY</t>
  </si>
  <si>
    <t>WOS:000336109100002</t>
  </si>
  <si>
    <t>Fan, YL; Griffies, SM</t>
  </si>
  <si>
    <t>Fan, Yalin; Griffies, Stephen M.</t>
  </si>
  <si>
    <t>Impacts of Parameterized Langmuir Turbulence and Nonbreaking Wave Mixing in Global Climate Simulations</t>
  </si>
  <si>
    <t>LARGE-EDDY SIMULATION; AIR-SEA FLUXES; PART I; BOUNDARY-LAYER; SOUTHERN-OCEAN; MIXED-LAYER; MODEL; CIRCULATION; FORMULATION; DRIVEN</t>
  </si>
  <si>
    <t>The impacts of parameterized upper-ocean wave mixing on global climate simulations are assessed through modification to Large et al.'s K-profile ocean boundary layer parameterization (I(PP) in a coupled atmosphere ocean wave global climate model. The authors consider three parameterizations and focus on impacts to high-latitude ocean mixed layer depths and related ocean diagnostics. The McWilliams and Sullivan parameterization (MS2000) adds a Langmuir turbulence enhancement to the nonlocal component of KPP. It is found that the Langmuir turbulence induced mixing provided by this parameterization is too strong in winter, producing overly deep mixed layers, and of minimal impact in summer. The later Smyth et al. parameterization modifies MS2000 by adding a stratification effect to restrain the turbulence enhancement under weak stratification conditions (e.g., winter) and to magnify the enhancement under strong stratification conditions. The Smyth et al. scheme improves the simulated winter mixed layer depth in the simulations herein, with mixed layer deepening in the Labrador Sea and shoaling in the Weddell and Ross Seas. Enhanced vertical mixing through parameterized Langmuir turbulence, coupled with enhanced lateral transport associated with parameterized mesoscale and submesoscale eddies, is found to be a key element for improving mixed layer simulations. Secondary impacts include strengthening the Atlantic meridional overturning circulation and reducing the Antarctic Circumpolar Current. The Qiao et al. nonbreaking wave parameterization is the third scheme assessed here. It adds a wave orbital velocity to the Reynolds stress calculation and provides the strongest summer mixed layer deepening in the Southern Ocean among the three experiments, but with weak impacts during winter.</t>
  </si>
  <si>
    <t>[Fan, Yalin] Princeton Univ, Program Atmospher &amp; Ocean Sci, Princeton, NJ 08544 USA; [Fan, Yalin; Griffies, Stephen M.] NOAA, Geophys Fluid Dynam Lab, Princeton, NJ USA</t>
  </si>
  <si>
    <t>Princeton University; National Oceanic Atmospheric Admin (NOAA) - USA; National Oceanic Atmospheric Admin (NOAA) - USA</t>
  </si>
  <si>
    <t>Fan, YL (corresponding author), Naval Res Lab, Div Oceanog, Code 7322, Stennis Space Ctr, MS 39529 USA.</t>
  </si>
  <si>
    <t>yalin.fan.ctr@nrlssc.navy.mil</t>
  </si>
  <si>
    <t>Griffies, Stephen Matthew/N-9144-2019</t>
  </si>
  <si>
    <t>Griffies, Stephen Matthew/0000-0002-3711-236X</t>
  </si>
  <si>
    <t>10.1175/JCLI-D-13-00583.1</t>
  </si>
  <si>
    <t>WOS:000337659200026</t>
  </si>
  <si>
    <t>Goodrich, CA; Harlow, GE; Van Orman, JA; Sutton, SR; Jercinovic, MJ; Mikouchi, T</t>
  </si>
  <si>
    <t>Goodrich, Cyrena Anne; Harlow, George E.; Van Orman, James A.; Sutton, Stephen R.; Jercinovic, Michael J.; Mikouchi, Takashi</t>
  </si>
  <si>
    <t>Petrology of chromite in ureilites: Deconvolution of primary oxidation states and secondary reduction processes</t>
  </si>
  <si>
    <t>MINERAL/MELT REACTION TEXTURE; MONTE-CARLO-SIMULATION; METEORITICAL BULLETIN; SYMPLECTIC EXSOLUTION; OLIVINE; ORIGIN; SPINEL; MINERALOGY; CHEMISTRY; GRAPHITE</t>
  </si>
  <si>
    <t>Ureilites are ultramafic achondrites thought to be residues of partial melting on a carbon-rich asteroid. They show a trend of FeO-variation (olivine Fo from similar to 74 to 95) that suggests variation in oxidation state. Whether this variation was established during high-temperature igneous processing on the ureilite parent body (UPB), or preserved from nebular precursors, is a subject of debate. The behavior of chromium in ureilites offers a way to assess redox conditions during their formation and address this issue, independent of Fo. We conducted a petrographic and mineral compositional study of occurrences of chromite (Cr-rich spinel) in ureilites, aimed at determining the origin of the chromite in each occurrence and using primary occurrences to constrain models of ureilite petrogenesis. Chromite was studied in LEW 88774 (Fo 74.2), NWA 766 (Fo 76.7), NWA 3109 (Fo 76.3), HaH 064 (Fo 77.5), LAP 03587 (Fo 74.9), CMS 04048 (Fo 76.4), LAP 02382 (Fo 78.6) and EET 96328 (Fo 85.2). Chromite occurs in LEW 88774 (similar to 5 vol.%), NWA 766 (&lt; 1 vol.%), NWA 3109 (&lt; 1 vol.%) and HaH 064 (&lt; 1 vol.%) as subhedral to anhedral grains comparable in size (similar to 30 mu m to 1 mm) and/or textural setting to the major silicates (olivine and pyroxenes[s]) in each rock, indicating that it is a primary phase. The most FeO-rich chromites in these sample (rare grain cores or chadocrysts in silicates) are the most primitive compositions preserved (fe# = 0.55-0.6; Cr# varying from 0.65 to 0.72 among samples). They record olivine-chromite equilibration temperatures of similar to 1040-1050 degrees C, reflecting subsolidus Fe/Mg reequilibration during slow cooling from similar to 1200 to 1300 degrees C. All other chromite in these samples is reduced. Three types of zones are observed. (1) Inclusion-free interior zones showing reduction of FeO (fe# similar to 0.4 -&gt; 0.28); (2) Outer zones showing further reduction of FeO (fe# similar to 0.28 -&gt; 0.15) and containing abundant laths of eskolaite-corundum (Cr2O3-Al2O3); (3) Outermost zones showing extreme reduction of both FeO (fe# &lt; 0.15) and Cr2O3 (Cr# as low as 0.2). The grains are surrounded by rims of Si-Al-rich glass, graphite, Fe, Cr-carbides ([Fe,Cr](3)C and [Fe,Cr](7)C-3), Cr-rich sulfides (daubreelite and brezinaite) and Cr-rich symplectic bands on adjacent silicates. Chromite is inferred to have been reduced by graphite, forming eskolaitecorundum and carbides as byproducts, during impact excavation. This event involved initial elevation of T (to 1300-1400 degrees C), followed by rapid decompression and drop in T (to &lt; 700 degrees C) at 1-20 degrees C/h. The kinetics of reduction of chromite is consistent with this scenario. The reduction was facilitated by silicate melt surrounding the chromites, which was partly generated by shock-melting of pyroxenes. Symplectic bands, consisting of fine-scale intergrowths of Ca-pyroxene, chromite and glass, formed by reaction between the Cr-enriched melt and adjacent silicates. Early chromite also occurs in a melt inclusion in olivine in HaH 064 and in a metallic spherule in olivine in LAP 02382. LAP 03587 and CMS 04048 contain &lt;=mu m-sized chromite + pyroxene symplectic exsolutions in olivine, indicating high Cr valence in the primary olivine. EET 96328 contains a round grain of chromite that could be a late-crystallizing phase. Tiny chromite grains in melt inclusions in EET 96328 formed in late, closed-system reactions. For 7 of the 8 ureilites we conclude that the relatively oxidizing conditions evidenced by the presence of primary or early chromite pertain to the period of high-T igneous processing. The observation that such conditions are recorded almost exclusively in low-Fo samples supports the interpretation that the ureilite FeO-variation was established during igneous processing on the UPB. (C) 2014 Elsevier Ltd. All rights reserved.</t>
  </si>
  <si>
    <t>[Goodrich, Cyrena Anne] Planetary Sci Inst, Tucson, AZ 85719 USA; [Goodrich, Cyrena Anne; Jercinovic, Michael J.] Univ Massachusetts, Dept Geosci, Amherst, MA 01003 USA; [Harlow, George E.] Amer Museum Nat Hist, Dept Earth &amp; Planetary Sci, New York, NY 10024 USA; [Van Orman, James A.] Case Western Reserve Univ, Dept Earth Environm &amp; Planetary Sci, Cleveland, OH 44120 USA; [Sutton, Stephen R.] Univ Chicago, Dept Geophys Sci, Chicago, IL 60637 USA; [Sutton, Stephen R.] Univ Chicago, Ctr Adv Radiat Sources, Chicago, IL 60637 USA; [Mikouchi, Takashi] Univ Tokyo, Dept Earth &amp; Planetary Sci, Tokyo 1130033, Japan</t>
  </si>
  <si>
    <t>University of Massachusetts System; University of Massachusetts Amherst; American Museum of Natural History (AMNH); University System of Ohio; Case Western Reserve University; University of Chicago; University of Chicago; University of Tokyo</t>
  </si>
  <si>
    <t>Goodrich, CA (corresponding author), Planetary Sci Inst, 1700 E Ft Lowell,Suite 106, Tucson, AZ 85719 USA.</t>
  </si>
  <si>
    <t>cgoodrich@psi.edu</t>
  </si>
  <si>
    <t>Mikouchi, Takashi/AAY-7355-2021</t>
  </si>
  <si>
    <t>Van Orman, James/0000-0001-8741-0288; Jercinovic, Michael/0000-0001-5917-9509; Mikouchi, Takashi/0000-0002-9998-8754</t>
  </si>
  <si>
    <t>Max Planck Society; NASA [NNG05GH72G, NNX11AG55G, NNX12AH74G]; National Science Foundation - Earth Sciences [EAR-1128799]; Department of Energy-Geosciences [DE-FG02-94ER14466]; U.S. Department of Energy, Office of Science, Office of Basic Energy Sciences [DE-AC02-06CH11357]; NASA [NNX11AG55G, 145876, NNX12AH74G, 19756] Funding Source: Federal RePORTER</t>
  </si>
  <si>
    <t>Max Planck Society(Max Planck Society); NASA(National Aeronautics &amp; Space Administration (NASA)); National Science Foundation - Earth Sciences(National Science Foundation (NSF)); Department of Energy-Geosciences(United States Department of Energy (DOE)); U.S. Department of Energy, Office of Science, Office of Basic Energy Sciences(United States Department of Energy (DOE)); NASA(National Aeronautics &amp; Space Administration (NASA))</t>
  </si>
  <si>
    <t>We thank Paul Warren, Ted Bunch, Addi Bischoff and the Antarctic Meteorite Working Group for the loan of samples. We thank Joe Goldstein, Tim McCoy, Paul Warren, Iris Weber and Mike Zolensky for helpful discussions. We thank Michael Weisberg and Jacob Mey for assistance with FE-SEM at AMNH, Alex Ribbe and Lou Raboin for assistance with FE-SEM at U. Mass, and Burkhard Schulz-Dobrick and Elvira Macsenaere-Riester for assistance with EMPA at Johannes Gutenberg University. We thank Allan Treiman, an anonymous reviewer, and the associate editor Anders Meibom for helpful comments and editorial handling. This work was supported by the Max Planck Society, NASA grants NNG05GH72G, NNX11AG55G, and NNX12AH74G to Cyrena Goodrich and NNX09AB-93G to James Van Orman. Portions of this work were performed at GeoSoilEnviroCARS (Sector 13), Advanced Photon Source (APS), Argonne National Laboratory. GeoSoilEnviroCARS is supported by the National Science Foundation - Earth Sciences (EAR-1128799) and Department of Energy - Geosciences (DE-FG02-94ER14466). Use of the Advanced Photon Source was supported by the U.S. Department of Energy, Office of Science, Office of Basic Energy Sciences, under Contract No. DE-AC02-06CH11357.</t>
  </si>
  <si>
    <t>10.1016/j.gca.2014.02.028</t>
  </si>
  <si>
    <t>AG8GN</t>
  </si>
  <si>
    <t>WOS:000335656900007</t>
  </si>
  <si>
    <t>Nguyen, H; Le, L; Ho, TB</t>
  </si>
  <si>
    <t>Hung Nguyen; Ly Le; Ho, Tu Bao</t>
  </si>
  <si>
    <t>Computational study on ice growth inhibition of Antarctic bacterium antifreeze protein using coarse grained simulation</t>
  </si>
  <si>
    <t>MOLECULAR-DYNAMICS; MECHANISM</t>
  </si>
  <si>
    <t>Antarctic bacterium antifreeze proteins (AFPs) protect and support the survival of cold-adapted organisms by binding and inhibiting the growth of ice crystals. The mechanism of the anti-freezing process in a water environment at low temperature of Antarctic bacterium AFPs remains unclear. In this research, we study the effects of Antarctic bacterium AFPs by coarse grained simulations solution at a temperature range from 262 to 273 K. The results indicated that Antarctic bacterium AFPs were fully active in temperatures greater than 265 K. Additionally, the specific temperature ranges at which the water molecules become completely frozen, partially frozen, and not frozen were identified. (C) 2014 AIP Publishing LLC.</t>
  </si>
  <si>
    <t>[Hung Nguyen; Ly Le] Inst Computat Sci &amp; Technol, Life Sci Lab, Ho Chi Minh City, Vietnam; [Ly Le] Vietnam Natl Univ, Ho Chi Minh Int Univ, Sch Biotechnol, Ho Chi Minh City, Vietnam; [Ho, Tu Bao] Japan Adv Inst Sci &amp; Technol, Sch Knowledge Sci, Nomi, Ishikawa, Japan</t>
  </si>
  <si>
    <t>Vietnam National University Hochiminh City; Japan Advanced Institute of Science &amp; Technology (JAIST)</t>
  </si>
  <si>
    <t>Nguyen, H (corresponding author), Inst Computat Sci &amp; Technol, Life Sci Lab, Ho Chi Minh City, Vietnam.</t>
  </si>
  <si>
    <t>ly.le@hcmiu.edu.vn</t>
  </si>
  <si>
    <t>Nguyen, Hung/Q-1508-2019</t>
  </si>
  <si>
    <t>Nguyen, Hung/0000-0002-1282-319X</t>
  </si>
  <si>
    <t>Department of the Navy, Office of Naval Research [N62909-12-1-7121]; School of Knowledge Science of Japan Advanced Institute of Science and Technology</t>
  </si>
  <si>
    <t>Department of the Navy, Office of Naval Research(Office of Naval Research); School of Knowledge Science of Japan Advanced Institute of Science and Technology</t>
  </si>
  <si>
    <t>The work was funded by the Department of the Navy, Office of Naval Research under Grant No. N62909-12-1-7121. The computing resources and support provided by the School of Knowledge Science of Japan Advanced Institute of Science and Technology are gratefully acknowledged.</t>
  </si>
  <si>
    <t>JUN 14</t>
  </si>
  <si>
    <t>10.1063/1.4881895</t>
  </si>
  <si>
    <t>AJ6LJ</t>
  </si>
  <si>
    <t>WOS:000337806100049</t>
  </si>
  <si>
    <t>Lewis, LR; Behling, E; Gousse, H; Qian, E; Elphick, CS; Lamarre, JF; Bêty, J; Liebezeit, J; Rozzi, R; Goffinet, B</t>
  </si>
  <si>
    <t>Lewis, Lily R.; Behling, Emily; Gousse, Hannah; Qian, Emily; Elphick, Chris S.; Lamarre, Jean-Francois; Bety, Joel; Liebezeit, Joe; Rozzi, Ricardo; Goffinet, Bernard</t>
  </si>
  <si>
    <t>First evidence of bryophyte diaspores in the plumage of transequatorial migrant birds</t>
  </si>
  <si>
    <t>Bryophyte; Bipolar; Ectozoochory; Long-distance dispersal; Diaspore; Endozoochory; Shorebirds; Sporic; Transequatorial</t>
  </si>
  <si>
    <t>LONG-DISTANCE DISPERSAL; AQUATIC ORGANISMS; SEED DISPERSAL; WATERBIRDS; GUTS; NORTH</t>
  </si>
  <si>
    <t>Correlations between transequatorial migratory bird routes and bipolar biogeographic disjunctions in bryophytes suggest that disjunctions between northern and southern high latitude regions may result from bird-mediated dispersal; supporting evidence is, however, exclusively circumstantial. Birds disperse plant units (diaspores) internally via ingestion (endozoochory) or externally by the attachment of diaspores to the body (ectozoochory). Endozoochory is known to be the primary means of bird-mediated dispersal for seeds and invertebrates at local, regional, and continental scales. Data supporting the role of bird-mediated endozoochory or ectozoochory in the long distance dispersal of bryophytes remain sparse, however, despite the large number of bryophytes displaying bipolar disjunctions. To determine if transequatorial migrant shorebirds may play a role in the ectozoochory of bryophyte diaspores, we developed a method for screening feathers of wild birds. We provide the first evidence of microscopic bryophyte diaspores, as well as those from non-bryophyte lineages, embedded in the plumage of long distance transequatorial migrant birds captured in their arctic breeding grounds. The number of diaspores recovered suggests that entire migratory populations may be departing their northern breeding grounds laden with potentially viable plant parts and that they could thereby play significant roles in bipolar range expansions of lineages previously ignored in the migrant bird dispersal literature.</t>
  </si>
  <si>
    <t>[Lewis, Lily R.; Behling, Emily; Gousse, Hannah; Qian, Emily; Elphick, Chris S.; Goffinet, Bernard] Univ Connecticut, Dept Ecol &amp; Evolutionary Biol, Storrs, CT 06269 USA; [Lamarre, Jean-Francois; Bety, Joel] Univ Quebec Rimouski, Ctr Etud Nord, Quebec City, PQ, Canada; [Lamarre, Jean-Francois; Bety, Joel] Univ Quebec Rimouski, Dept Biol, Quebec City, PQ, Canada; [Liebezeit, Joe] Audubon Soc Portland, Portland, OR USA; [Rozzi, Ricardo] Omora Ethnobot Pk, Puerto Williams, Antarctic Provi, Chile; [Rozzi, Ricardo] Univ N Texas, Dept Philosophy, Denton, TX 76203 USA</t>
  </si>
  <si>
    <t>University of Connecticut; University of Quebec; Universite du Quebec a Rimouski; University of Quebec; Universite du Quebec a Rimouski; University of North Texas System; University of North Texas Denton</t>
  </si>
  <si>
    <t>Lewis, LR (corresponding author), Univ Connecticut, Dept Ecol &amp; Evolutionary Biol, Storrs, CT 06269 USA.</t>
  </si>
  <si>
    <t>Lily.Lewis@uconn.edu</t>
  </si>
  <si>
    <t>Rozzi, Ricardo/G-1047-2012</t>
  </si>
  <si>
    <t>Rozzi, Ricardo/0000-0001-5265-8726</t>
  </si>
  <si>
    <t>University of Connecticut; National Science Foundation [DEB 1311405, 1212505]; Direct For Biological Sciences; Division Of Environmental Biology [1212505] Funding Source: National Science Foundation; Direct For Biological Sciences; Division Of Environmental Biology [1311405] Funding Source: National Science Foundation</t>
  </si>
  <si>
    <t>University of Connecticut; National Science Foundation(National Science Foundation (NSF)); Direct For Biological Sciences; Division Of Environmental Biology(National Science Foundation (NSF)NSF - Directorate for Biological Sciences (BIO)); Direct For Biological Sciences; Division Of Environmental Biology(National Science Foundation (NSF)NSF - Directorate for Biological Sciences (BIO))</t>
  </si>
  <si>
    <t>Funding for this project comes from the University of Connecticut Katie Bu Memorial Fund awarded to EQ, Switzer Environmental Fellowship awarded to LRL, and National Science Foundation grants DEB 1311405 and 1212505 to LRL and BG, respectively. The funders had no role in study design, data collection and analysis, decision to publish, or preparation of the manuscript.</t>
  </si>
  <si>
    <t>JUN 12</t>
  </si>
  <si>
    <t>e424</t>
  </si>
  <si>
    <t>10.7717/peerj.424</t>
  </si>
  <si>
    <t>AY5KE</t>
  </si>
  <si>
    <t>WOS:000347610100002</t>
  </si>
  <si>
    <t>Heerah, K; Hindell, M; Guinet, C; Charrassin, JB</t>
  </si>
  <si>
    <t>Heerah, Karine; Hindell, Mark; Guinet, Christophe; Charrassin, Jean-Benoit</t>
  </si>
  <si>
    <t>A New Method to Quantify within Dive Foraging Behaviour in Marine Predators</t>
  </si>
  <si>
    <t>SOUTHERN ELEPHANT SEALS; AREA-RESTRICTED SEARCH; WEDDELL SEALS; FINE-SCALE; DIVING BEHAVIOR; PREY INTERACTIONS; MIROUNGA-LEONINA; STABLE-ISOTOPES; MOVEMENTS; DEPTH</t>
  </si>
  <si>
    <t>Studies on diving behaviour classically divide a dive into three phases: the descent, bottom and ascent phases, with foraging assumed to occur during the bottom phase. The greater complexity of dive revealed through modern, high resolution data highlights the need to re-assess this approach and to consider a larger number of phases within individual dives. Two southern elephant seals (SES) were fitted with a head mounted Time Depth Recorder (TDR) and an accelerometer from which prey capture attempts were estimated. A Weddell seal was also fitted with a TDR. TDRs for both species recorded depth once per second. We quantified the within dive behaviour using an automated broken stick algorithm identifying the optimal number of segments within each dive. The vertical sinuosity of the segments was used to infer two types of behaviours, with highly sinuous segments indicating hunting and less sinuous segments indicating transiting. Using the broken stick method the seals alternated between hunting and transit modes with an average of 6 +/- 2 and 7 +/- 0.02 behavioural phases within each dive for the Weddell seal and SES, respectively. In SES, 77% of prey capture attempts (identified from the acceleration data) occurred in highly sinuous phases (hunting'') as defined by our new approach. SES spent more time in transit mode within a dive, and hunting mostly occurred during the bottom phase. Conversely the Weddell seal spent more time in hunting mode which also occurred during bottom phase but occurred mostly at shallower depths. Such differences probably reflect different foraging tactics and habitat use. For both species, hunting time differs significantly from bottom time previously used as a proxy for the time spent foraging in a dive. The hunting time defined by our method therefore provides a more accurate fine-scale description of the seals' foraging behaviour.</t>
  </si>
  <si>
    <t>[Heerah, Karine; Charrassin, Jean-Benoit] MNHN, IRD, CNRS, Lab Oceanog &amp; Climat Experimentat &amp; Approches Num, Paris, France; [Heerah, Karine; Hindell, Mark] Univ Tasmania, Inst Marine &amp; Antarctic Studies, Hobart, Tas, Australia; [Hindell, Mark] Univ Tasmania, Antarctic Climate &amp; Ecosyst Cooperat Res Ctr, Hobart, Tas, Australia; [Guinet, Christophe] Ctr Etud Biol Chize, Villiers En Bois, France</t>
  </si>
  <si>
    <t>Centre National de la Recherche Scientifique (CNRS); Sorbonne Universite; Museum National d'Histoire Naturelle (MNHN); Institut de Recherche pour le Developpement (IRD); University of Tasmania; University of Tasmania; Antarctic Climate &amp; Ecosystems Cooperative Research Centre (ACE CRC)</t>
  </si>
  <si>
    <t>Heerah, K (corresponding author), MNHN, IRD, CNRS, Lab Oceanog &amp; Climat Experimentat &amp; Approches Num, Paris, France.</t>
  </si>
  <si>
    <t>karine.heerah@hotmail.fr</t>
  </si>
  <si>
    <t>Guinet, Christophe/AAR-8457-2020; Hindell, Mark A/K-1131-2013; Heerah, karine/F-5368-2013</t>
  </si>
  <si>
    <t>Hindell, Mark/0000-0002-7823-7185</t>
  </si>
  <si>
    <t>Australian Antarctic Science grant (AAS) [2794]; Terre-Ocean-Surface Continentale-Atmosphere from Centre National d'Etudes Spatiales (TOSCA-CNES)</t>
  </si>
  <si>
    <t>Australian Antarctic Science grant (AAS); Terre-Ocean-Surface Continentale-Atmosphere from Centre National d'Etudes Spatiales (TOSCA-CNES)</t>
  </si>
  <si>
    <t>This study was supported by an Australian Antarctic Science grant (AAS project 2794), and program Terre-Ocean-Surface Continentale-Atmosphere from Centre National d'Etudes Spatiales (TOSCA-CNES). The funders had no role in study design, data collection and analysis, decision to publish, or preparation of the manuscript.</t>
  </si>
  <si>
    <t>e99329</t>
  </si>
  <si>
    <t>10.1371/journal.pone.0099329</t>
  </si>
  <si>
    <t>AK8TP</t>
  </si>
  <si>
    <t>WOS:000338701300050</t>
  </si>
  <si>
    <t>Clucas, GV; Dunn, MJ; Dyke, G; Emslie, SD; Levy, H; Naveen, R; Polito, MJ; Pybus, OG; Rogers, AD; Hart, T</t>
  </si>
  <si>
    <t>Clucas, Gemma V.; Dunn, Michael J.; Dyke, Gareth; Emslie, Steven D.; Levy, Hila; Naveen, Ron; Polito, Michael J.; Pybus, Oliver G.; Rogers, Alex D.; Hart, Tom</t>
  </si>
  <si>
    <t>A reversal of fortunes: climate change 'winners' and 'losers' in Antarctic Peninsula penguins</t>
  </si>
  <si>
    <t>MARINE; TEMPERATURE; DNA; SUBSTITUTIONS; POPULATIONS; ECOSYSTEMS; RESPONSES; GENETICS; MAXIMUM</t>
  </si>
  <si>
    <t>Climate change is a major threat to global biodiversity. Antarctic ecosystems are no exception. Investigating past species responses to climatic events can distinguish natural from anthropogenic impacts. Climate change produces 'winners', species that benefit from these events and 'losers', species that decline or become extinct. Using molecular techniques, we assess the demographic history and population structure of Pygoscelis penguins in the Scotia Arc related to climate warming after the Last Glacial Maximum (LGM). All three pygoscelid penguins responded positively to post-LGM warming by expanding from glacial refugia, with those breeding at higher latitudes expanding most. Northern (Pygoscelis papua papua) and Southern (Pygoscelis papua ellsworthii) gentoo sub-species likely diverged during the LGM. Comparing historical responses with the literature on current trends, we see Southern gentoo penguins are responding to current warming as they did during post-LGM warming, expanding their range southwards. Conversely, Adelie and chinstrap penguins are experiencing a 'reversal of fortunes' as they are now declining in the Antarctic Peninsula, the opposite of their response to post-LGM warming. This suggests current climate warming has decoupled historic population responses in the Antarctic Peninsula, favoring generalist gentoo penguins as climate change 'winners', while Adelie and chinstrap penguins have become climate change 'losers'.</t>
  </si>
  <si>
    <t>[Clucas, Gemma V.; Dyke, Gareth] Univ Southampton, Natl Oceanog Ctr, Southampton SO14 3ZH, Hants, England; [Clucas, Gemma V.; Levy, Hila; Pybus, Oliver G.; Rogers, Alex D.; Hart, Tom] Dept Zool, Oxford OX1 3PS, England; [Dunn, Michael J.] British Antarctic Survey, Cambridge CB3 0ET, England; [Emslie, Steven D.] Univ N Carolina, Dept Biol &amp; Marine Biol, Wilmington, NC 28403 USA; [Levy, Hila] USAF, Air Force Inst Technol, Wright Patterson AFB, OH 45433 USA; [Naveen, Ron] Oceanites Inc, Chevy Chase, MD 20825 USA; [Polito, Michael J.] Woods Hole Oceanog Inst, Dept Biol, Woods Hole, MA 02543 USA</t>
  </si>
  <si>
    <t>NERC National Oceanography Centre; University of Southampton; UK Research &amp; Innovation (UKRI); Natural Environment Research Council (NERC); NERC British Antarctic Survey; University of North Carolina; University of North Carolina Wilmington; Air Force Institute of Technology (AFIT); United States Department of Defense; United States Air Force; US Air Force Research Laboratory; Woods Hole Oceanographic Institution</t>
  </si>
  <si>
    <t>Clucas, GV (corresponding author), Univ Southampton, Natl Oceanog Ctr, Waterfront Campus,European Way, Southampton SO14 3ZH, Hants, England.</t>
  </si>
  <si>
    <t>gemma.clucas@noc.soton.ac.uk</t>
  </si>
  <si>
    <t>Dyke, Gareth/AAJ-9320-2020; Pybus, Oliver G/B-2640-2012; Polito, Michael/G-9118-2012</t>
  </si>
  <si>
    <t>Dyke, Gareth/0000-0002-8390-7817; Pybus, Oliver G/0000-0002-8797-2667; Polito, Michael/0000-0001-8639-4431; Clucas, Gemma/0000-0002-4305-1719; Dunn, Michael/0000-0003-4633-5466; Rogers, Alex David/0000-0002-4864-2980; Levy, Hila/0000-0001-9204-6417</t>
  </si>
  <si>
    <t>Zoological Society of London; Quark Expeditions; Exodus Travels ltd; Oceanites; Holly Hill Charitable Trust; Charities Advisory Trust; U.S. National Science Foundation (NSF) Office of Polar Programs [ANT-0739575]; Natural Environment Research Council [1272500] Funding Source: researchfish</t>
  </si>
  <si>
    <t>Zoological Society of London; Quark Expeditions; Exodus Travels ltd; Oceanites; Holly Hill Charitable Trust; Charities Advisory Trust; U.S. National Science Foundation (NSF) Office of Polar Programs(National Science Foundation (NSF)); Natural Environment Research Council(UK Research &amp; Innovation (UKRI)Natural Environment Research Council (NERC))</t>
  </si>
  <si>
    <t>We thank the Zoological Society of London, Quark Expeditions, Exodus Travels ltd., Oceanites, the Holly Hill Charitable Trust, the Charities Advisory Trust and an U.S. National Science Foundation (NSF) Office of Polar Programs grant (ANT-0739575) for funding. Thanks to Dr. Richard Phillips, Dr. Kevin Hughes, Jerome Poncet, Dr. Wayne Trivelpiece, the U. S. Antarctic Marine Living Resource Program, and the crew of the Golden Fleece for logistical and sample collection support. Thanks to Dr. Kate Ciborowski, Dr. Andrew Hitchcock and Dr. John Gittins for advice in the lab, and Dr. Simon Ho and Dr. Mike Lee for advice about BEAST.</t>
  </si>
  <si>
    <t>10.1038/srep05024</t>
  </si>
  <si>
    <t>AI9CI</t>
  </si>
  <si>
    <t>WOS:000337225000001</t>
  </si>
  <si>
    <t>Sohrabinia, M; Rack, W; Zawar-Reza, P</t>
  </si>
  <si>
    <t>Sohrabinia, Mammatt; Rack, Wolfgang; Zawar-Reza, Peyman</t>
  </si>
  <si>
    <t>Soil moisture derived using two apparent thermal inertia functions over Canterbury, New Zealand (vol 8, 083624, 2014)</t>
  </si>
  <si>
    <t>JOURNAL OF APPLIED REMOTE SENSING</t>
  </si>
  <si>
    <t>[Sohrabinia, Mammatt; Zawar-Reza, Peyman] Univ Canterbury, Dept Geog, Ctr Atmospher Res, Christchurch 8140, New Zealand; [Rack, Wolfgang] Univ Canterbury, Ctr Antarctic Studies &amp; Res, Gateway Antarctica, Christchurch 8140, New Zealand; [Sohrabinia, Mammatt] Minist Primary Ind Spatial Forestry &amp; Land Manage, Wellington 6011, New Zealand</t>
  </si>
  <si>
    <t>University of Canterbury; University of Canterbury</t>
  </si>
  <si>
    <t>Sohrabinia, M (corresponding author), Univ Canterbury, Dept Geog, Ctr Atmospher Res, Christchurch 8140, New Zealand.</t>
  </si>
  <si>
    <t>Rack, Wolfgang/U-8898-2017</t>
  </si>
  <si>
    <t>Rack, Wolfgang/0000-0003-2447-377X</t>
  </si>
  <si>
    <t>SPIE-SOC PHOTO-OPTICAL INSTRUMENTATION ENGINEERS</t>
  </si>
  <si>
    <t>BELLINGHAM</t>
  </si>
  <si>
    <t>1000 20TH ST, PO BOX 10, BELLINGHAM, WA 98225 USA</t>
  </si>
  <si>
    <t>1931-3195</t>
  </si>
  <si>
    <t>J APPL REMOTE SENS</t>
  </si>
  <si>
    <t>J. Appl. Remote Sens.</t>
  </si>
  <si>
    <t>JUN 11</t>
  </si>
  <si>
    <t>10.1117/1.JRS.8.089999</t>
  </si>
  <si>
    <t>Environmental Sciences; Remote Sensing; Imaging Science &amp; Photographic Technology</t>
  </si>
  <si>
    <t>Environmental Sciences &amp; Ecology; Remote Sensing; Imaging Science &amp; Photographic Technology</t>
  </si>
  <si>
    <t>AK5WV</t>
  </si>
  <si>
    <t>WOS:000338498400001</t>
  </si>
  <si>
    <t>Stark, JS; Kim, SL; Oliver, JS</t>
  </si>
  <si>
    <t>Stark, Jonathan S.; Kim, Stacy L.; Oliver, John S.</t>
  </si>
  <si>
    <t>Anthropogenic Disturbance and Biodiversity of Marine Benthic Communities in Antarctica: A Regional Comparison</t>
  </si>
  <si>
    <t>SOFT-SEDIMENT ASSEMBLAGES; MCMURDO-STATION; TAXONOMIC DISTINCTNESS; ORGANIC ENRICHMENT; EAST ANTARCTICA; CASEY STATION; MACROBENTHIC ASSEMBLAGES; MULTIVARIATE-ANALYSIS; SPATIAL VARIABILITY; METAL CONTAMINATION</t>
  </si>
  <si>
    <t>The impacts of two Antarctic stations in different regions, on marine sediment macrofaunal communities were compared: McMurdo, a very large station in the Ross Sea; and Casey, a more typical small station in East Antarctica. Community structure and diversity were compared along a gradient of anthropogenic disturbance from heavily contaminated to uncontaminated locations. We examined some of the inherent problems in comparing data from unrelated studies, such as different sampling methods, spatial and temporal scales of sampling and taxonomic uncertainty. These issues generated specific biases which were taken into account when interpreting patterns. Control sites in the two regions had very different communities but both were dominated by crustaceans. Community responses to anthropogenic disturbance (sediment contamination by metals, oils and sewage) were also different. At McMurdo the proportion of crustaceans decreased in disturbed areas and polychaetes became dominant, whereas at Casey, crustaceans increased in response to disturbance, largely through an increase in amphipods. Despite differing overall community responses there were some common elements. Ostracods, cumaceans and echinoderms were sensitive to disturbance in both regions. Capitellid, dorvelleid and orbiniid polychaetes were indicative of disturbed sites. Amphipods, isopods and tanaids had different responses at each station. Biodiversity and taxonomic distinctness were significantly lower at disturbed locations in both regions. The size of the impact, however, was not related to the level of contamination, with a larger reduction in biodiversity at Casey, the smaller, less polluted station. The impacts of small stations, with low to moderate levels of contamination, can thus be as great as those of large or heavily contaminated stations. Regional broad scale environmental influences may be important in determining the composition of communities and thus their response to disturbance, but there are some generalizations regarding responses which will aid future management of stations.</t>
  </si>
  <si>
    <t>[Stark, Jonathan S.] Australian Antarctic Div, Terr &amp; Nearshore Ecosyst Program, Kingston, Tas, Australia; [Kim, Stacy L.; Oliver, John S.] Moss Landing Marine Labs, Moss Landing, CA 95039 USA</t>
  </si>
  <si>
    <t>Australian Antarctic Division; Moss Landing Marine Laboratories</t>
  </si>
  <si>
    <t>Stark, JS (corresponding author), Australian Antarctic Div, Terr &amp; Nearshore Ecosyst Program, Kingston, Tas, Australia.</t>
  </si>
  <si>
    <t>jonny.stark@aad.gov.au</t>
  </si>
  <si>
    <t>Stark, Jonathan/ABF-4025-2020</t>
  </si>
  <si>
    <t>Stark, Jonathan/0000-0002-4268-8072</t>
  </si>
  <si>
    <t>Australian Antarctic Division under AAS project; National Science Foundation [DPP 8914858, OPP 97961111, OPP 9615849, OPP 59088, OPP 0126399]</t>
  </si>
  <si>
    <t>Australian Antarctic Division under AAS project; National Science Foundation(National Science Foundation (NSF))</t>
  </si>
  <si>
    <t>Work at Casey Station was supported by the Australian Antarctic Division (www.antarctica.gov.au/) under AAS project 2201. Work at McMurdo Station was supported by the National Science Foundation under Grant Nos. DPP 8914858, OPP 97961111, OPP 9615849, OPP 59088 and OPP 0126399. Any opinions, findings, and conclusions or recommendations expressed in this material are those of the authors and do not necessarily reflect the views of the National Science Foundation. The funders had no role in study design, data collection and analysis, decision to publish, or preparation of the manuscript.</t>
  </si>
  <si>
    <t>e98802</t>
  </si>
  <si>
    <t>10.1371/journal.pone.0098802</t>
  </si>
  <si>
    <t>AK7TQ</t>
  </si>
  <si>
    <t>WOS:000338631000027</t>
  </si>
  <si>
    <t>Binns, WR; Bose, RG; Braun, DL; Brandt, TJ; Daniels, WM; Dowkontt, PF; Fitzsimmons, SP; Hahne, DJ; Hams, T; Israel, MH; Klemic, J; Labrador, AW; Link, JT; Mewaldt, RA; Mitchell, JW; Moore, P; Murphy, RP; Olevitch, MA; Rauch, BF; Sakai, K; Sebastian, FS; Sasaki, M; Simburger, GE; Stone, EC; Waddington, CJ; Ward, JE; Wiedenbeck, ME</t>
  </si>
  <si>
    <t>Binns, W. R.; Bose, R. G.; Braun, D. L.; Brandt, T. J.; Daniels, W. M.; Dowkontt, P. F.; Fitzsimmons, S. P.; Hahne, D. J.; Hams, T.; Israel, M. H.; Klemic, J.; Labrador, A. W.; Link, J. T.; Mewaldt, R. A.; Mitchell, J. W.; Moore, P.; Murphy, R. P.; Olevitch, M. A.; Rauch, B. F.; Sakai, K.; Sebastian, F. San; Sasaki, M.; Simburger, G. E.; Stone, E. C.; Waddington, C. J.; Ward, J. E.; Wiedenbeck, M. E.</t>
  </si>
  <si>
    <t>THE SuperTIGER INSTRUMENT: MEASUREMENT OF ELEMENTAL ABUNDANCES OF ULTRA-HEAVY GALACTIC COSMIC RAYS</t>
  </si>
  <si>
    <t>cosmic rays; instrumentation : detectors</t>
  </si>
  <si>
    <t>SUPERNOVA-GENERATED SUPERBUBBLES; OB ASSOCIATIONS; ENERGETIC PARTICLES; IONIZING PARTICLES; REMNANTS; ORIGIN; ACCELERATION; EMISSION; SCINTILLATORS; MICROQUASARS</t>
  </si>
  <si>
    <t>The SuperTIGER (Super Trans-Iron Galactic Element Recorder) instrument was developed to measure the abundances of galactic cosmic-ray elements from Ne-10 to Zr-40 with individual element resolution and the high statistics needed to test models of cosmic-ray origins. SuperTIGER also makes exploratory measurements of the abundances of elements with 40 &lt;= Z &lt;= 60 and measures the energy spectra of the more abundant elements for Z &lt;= 30 from about 0.8 to 10 GeV/nucleon. This instrument is an enlarged and higher resolution version of the earlier TIGER instrument. It was designed to provide the largest geometric acceptance possible and to reach as high an altitude as possible, flying on a standard long-duration 1.11 million m(3) balloon. SuperTIGER was launched from Williams Field, McMurdo Station, Antarctica, on 2012 December 8, and made about 2.7 revolutions around the South Pole in 55 days of flight, returning data on over 50 x 10(6) cosmic-ray nuclei with Z &lt;= 10, including similar to 1300 with Z &gt; 29 and similar to 60 with Z &gt; 49. Here, we describe the instrument, the methods of charge identification employed, the SuperTIGER balloon flight, and the instrument performance.</t>
  </si>
  <si>
    <t>[Binns, W. R.; Bose, R. G.; Braun, D. L.; Dowkontt, P. F.; Israel, M. H.; Moore, P.; Murphy, R. P.; Olevitch, M. A.; Rauch, B. F.; Simburger, G. E.; Ward, J. E.] Washington Univ, St Louis, MO 63130 USA; [Brandt, T. J.; Daniels, W. M.; Fitzsimmons, S. P.; Hahne, D. J.; Hams, T.; Link, J. T.; Mitchell, J. W.; Sakai, K.; Sebastian, F. San; Sasaki, M.] NASA, Goddard Space Flight Ctr, Greenbelt, MD 20771 USA; [Klemic, J.; Labrador, A. W.; Mewaldt, R. A.; Stone, E. C.] CALTECH, Pasadena, CA 91125 USA; [Waddington, C. J.] Univ Minnesota, Minneapolis, MN 55455 USA; [Wiedenbeck, M. E.] CALTECH, Jet Prop Lab, Pasadena, CA 91109 USA; [Hams, T.; Link, J. T.; Sakai, K.; Sasaki, M.] Ctr Res &amp; Explorat Space Sci &amp; Technol, Greenbelt, MD 20771 USA</t>
  </si>
  <si>
    <t>Washington University (WUSTL); National Aeronautics &amp; Space Administration (NASA); NASA Goddard Space Flight Center; California Institute of Technology; University of Minnesota System; University of Minnesota Twin Cities; National Aeronautics &amp; Space Administration (NASA); NASA Jet Propulsion Laboratory (JPL); California Institute of Technology</t>
  </si>
  <si>
    <t>Binns, WR (corresponding author), Washington Univ, St Louis, MO 63130 USA.</t>
  </si>
  <si>
    <t>wrb@wustl.edu</t>
  </si>
  <si>
    <t>Ward, John E/0000-0003-1973-0794; Binns, Walter/0000-0001-6110-3407</t>
  </si>
  <si>
    <t>NASA; ROSES 2007 APRA program [NNX09AC17G]; Washington University [NNX09AC18G]; JPL NASA/GSFC [APRA07- 0146]; McDonnell Center for the Space Sciences at Washington University; Peggy and Steve Fossett Foundation; (RPM) at Washington University</t>
  </si>
  <si>
    <t>NASA(National Aeronautics &amp; Space Administration (NASA)); ROSES 2007 APRA program; Washington University; JPL NASA/GSFC; McDonnell Center for the Space Sciences at Washington University; Peggy and Steve Fossett Foundation; (RPM) at Washington University</t>
  </si>
  <si>
    <t>NASA supported this research under the ROSES 2007 APRA program under grants NNX09AC17G to Washington University in St. Louis and NNX09AC18G to Caltech, and JPL, and APRA07- 0146 to NASA/GSFC. WU also received support from the McDonnell Center for the Space Sciences at Washington University. We thank the NASA Columbia Scientific Balloon Facility, the NASA Balloon Program Office, and the NSF United States Antarctic Program for the excellent and highly professional efforts that resulted in the record long-duration balloon flight of SuperTIGER. We also gratefully acknowledge support from the Peggy and Steve Fossett Foundation for graduate student support (RPM) at Washington University.</t>
  </si>
  <si>
    <t>JUN 10</t>
  </si>
  <si>
    <t>10.1088/0004-637X/788/1/18</t>
  </si>
  <si>
    <t>AI7RY</t>
  </si>
  <si>
    <t>Bronze, Green Published, Green Accepted</t>
  </si>
  <si>
    <t>WOS:000337095200018</t>
  </si>
  <si>
    <t>Liu, SH; Ju, JF; Xia, GM</t>
  </si>
  <si>
    <t>Liu, Shenghao; Ju, Jianfang; Xia, Guangmin</t>
  </si>
  <si>
    <t>Identification of the flavonoid 3′-hydroxylase and flavonoid 3′,5′-hydroxylase genes from Antarctic moss and their regulation during abiotic stress</t>
  </si>
  <si>
    <t>GENE</t>
  </si>
  <si>
    <t>Abiotic stress; Antarctic moss; Real-time PCR; Flavonoid hydroxylase; Phylogenetic analysis</t>
  </si>
  <si>
    <t>PHYSCOMITRELLA-PATENS; ANTIOXIDANT MACHINERY; ARABIDOPSIS-THALIANA; BIOSYNTHESIS; EXPRESSION; GRAPEVINE; PLANT; TRANSCRIPTOME; TOLERANCE; VULGARE</t>
  </si>
  <si>
    <t>Flavonoids are ubiquitous plant secondary metabolites, and their hydroxylation pattern determines their color, stability, and antioxidant capacity. The hydroxylation pattern of the B-ring of flavonoids is determined by the activity of two members of cytochrome P450 protein (P450) family, the flavonoid 3 '-hydroxylase (F3 ' H) and flavonoid 3 ',5 '-hydroxylase (F3 ',5 ' H). However, they are still not well documented in lower plants such as bryophytes. We report the identification of gene encoding F3 ' H, F3',5 ' H from Antarctic moss Pohlia nutans and their transcriptional regulation under different stress conditions. Totally, sixteen cDNAs were isolated from P. nutans by RT-PCR and RACE techniques, all of which were predicted to code for F3 ' Hs or F3 ',5 ' Hs based on their annotations of Blast results. Amino acid alignment showed that they possessed the featured conserved domains of flavonoid hydroxylase, including proline-rich hinge region, EXXR motif, oxygen binding pocket motif, heme binding domain and substrate recognition sites. Phylogenetic analysis indicated that moss F3 ' Hs and F3 ',5 ' Hs were highly conserved and have independent evolution from the monocots, dicots and ferns. Meanwhile, real-time PCR analysis revealed that the expreSsion profiling of flavonoid hydroxylase genes was influenced by diverse abiotic stresses including cold, salinity, drought or UV-B radiation and plant hormone abscisic acid (ABA) or jasmonic acid apo treatment. Since 3 ',4 ',5 '-hydroxylated flavonoid-derivatives may serve a multitude of functions, including antioxidant activity and UV filters, the evolution and expression profile of flavonoid hydroxylase probably reflect the adaptive value of Antarctic moss in the acclimation of polar environment. (C)2014 Elsevier B.V. All rights reserved.</t>
  </si>
  <si>
    <t>[Liu, Shenghao; Ju, Jianfang; Xia, Guangmin] Shandong Univ, Sch Life Sci, Minist Educ, Key Lab Plant Cell Engn &amp; Germplasm Innovat, Jinan 250100, Peoples R China; [Liu, Shenghao] State Ocean Adm, Inst Oceanog 1, Key Lab Marine Bioact Substance, Qingdao 266061, Peoples R China</t>
  </si>
  <si>
    <t>Xia, GM (corresponding author), Shandong Univ, Sch Life Sci, Minist Educ, Key Lab Plant Cell Engn &amp; Germplasm Innovat, Jinan 250100, Peoples R China.</t>
  </si>
  <si>
    <t>xiagm@sdu.edu.cn</t>
  </si>
  <si>
    <t>Liu, Shenghao/ISU-3076-2023</t>
  </si>
  <si>
    <t>Liu, Shenghao/0000-0002-1449-3526</t>
  </si>
  <si>
    <t>National Transgenic Project [2013ZX08002002-003]</t>
  </si>
  <si>
    <t>National Transgenic Project</t>
  </si>
  <si>
    <t>This work was supported by the National Transgenic Project (Grants 2013ZX08002002-003).</t>
  </si>
  <si>
    <t>0378-1119</t>
  </si>
  <si>
    <t>1879-0038</t>
  </si>
  <si>
    <t>Gene</t>
  </si>
  <si>
    <t>10.1016/j.gene.2014.03.026</t>
  </si>
  <si>
    <t>AH8AC</t>
  </si>
  <si>
    <t>WOS:000336355500020</t>
  </si>
  <si>
    <t>Connolly, SR; MacNeil, MA; Caley, J; Knowlton, N; Cripps, E; Hisano, M; Thibaut, LM; Bhattacharya, BD; Benedetti-Cecchi, L; Brainard, RE; Brandt, A; Bulleri, F; Ellingsen, KE; Kaiser, S; Kröncke, I; Linse, K; Maggi, E; O'Hara, TD; Plaisance, L; Poore, GCB; Sarkar, SK; Satpathy, KK; Schückel, U; Williams, A; Wilson, RS</t>
  </si>
  <si>
    <t>Connolly, Sean R.; MacNeil, M. Aaron; Caley, Julian; Knowlton, Nancy; Cripps, Ed; Hisano, Mizue; Thibaut, Loic M.; Bhattacharya, Bhaskar D.; Benedetti-Cecchi, Lisandro; Brainard, Russell E.; Brandt, Angelika; Bulleri, Fabio; Ellingsen, Kari E.; Kaiser, Stefanie; Kroencke, Ingrid; Linse, Katrin; Maggi, Elena; O'Hara, Timothy D.; Plaisance, Laetitia; Poore, Gary C. B.; Sarkar, Santosh K.; Satpathy, Kamala K.; Schueckel, Ulrike; Williams, Alan; Wilson, Robin S.</t>
  </si>
  <si>
    <t>Commonness and rarity in the marine biosphere</t>
  </si>
  <si>
    <t>metacommunities; marine macroecology; species coexistence; Poisson-lognormal distribution</t>
  </si>
  <si>
    <t>SPECIES-ABUNDANCE DISTRIBUTIONS; NEUTRAL THEORY; COMMUNITY STRUCTURE; GLOBAL CORRELATIONS; REJECT NEUTRALITY; MULTIPLE SCALES; CORAL-REEFS; DIVERSITY; MODELS; BIODIVERSITY</t>
  </si>
  <si>
    <t>Explaining patterns of commonness and rarity is fundamental for understanding and managing biodiversity. Consequently, a key test of biodiversity theory has been how well ecological models reproduce empirical distributions of species abundances. However, ecological models with very different assumptions can predict similar species abundance distributions, whereas models with similar assumptions may generate very different predictions. This complicates inferring processes driving community structure from model fits to data. Here, we use an approximation that captures common features of neutral biodiversity models-which assume ecological equivalence of species-to test whether neutrality is consistent with patterns of commonness and rarity in the marine biosphere. We do this by analyzing 1,185 species abundance distributions from 14 marine ecosystems ranging from intertidal habitats to abyssal depths, and from the tropics to polar regions. Neutrality performs substantially worse than a classical nonneutral alternative: empirical data consistently show greater heterogeneity of species abundances than expected under neutrality. Poor performance of neutral theory is driven by its consistent inability to capture the dominance of the communities' most-abundant species. Previous tests showing poor performance of a neutral model for a particular system often have been followed by controversy about whether an alternative formulation of neutral theory could explain the data after all. However, our approach focuses on common features of neutral models, revealing discrepancies with a broad range of empirical abundance distributions. These findings highlight the need for biodiversity theory in which ecological differences among species, such as niche differences and demographic trade-offs, play a central role.</t>
  </si>
  <si>
    <t>[Connolly, Sean R.; Hisano, Mizue; Thibaut, Loic M.] James Cook Univ, Sch Marine &amp; Trop Biol, Townsville, Qld 4811, Australia; [Connolly, Sean R.; Hisano, Mizue; Thibaut, Loic M.] James Cook Univ, Australian Res Council Ctr Excellence Coral Reef, Townsville, Qld 4811, Australia; [MacNeil, M. Aaron; Caley, Julian] Australian Inst Marine Sci, Townsville, Qld 4810, Australia; [Knowlton, Nancy; Plaisance, Laetitia] Smithsonian Inst, Natl Museum Nat Hist, Washington, DC 20013 USA; [Cripps, Ed] Univ Western Australia, Sch Math &amp; Stat, Perth, WA 6009, Australia; [Bhattacharya, Bhaskar D.; Sarkar, Santosh K.] Univ Calcutta, Dept Marine Sci, Kolkata 700019, W Bengal, India; [Benedetti-Cecchi, Lisandro; Bulleri, Fabio; Maggi, Elena] Univ Pisa, Dipartimento Biol, I-56126 Pisa, Italy; [Brainard, Russell E.] NOAA, Coral Reef Ecosyst Div, Pacific Isl Fisheries Sci Ctr, Honolulu, HI 96818 USA; [Brandt, Angelika] Univ Hamburg, Bioctr Grindel, D-20146 Hamburg, Germany; [Brandt, Angelika] Univ Hamburg, Zool Museum, D-20146 Hamburg, Germany; [Ellingsen, Kari E.] Norwegian Inst Nat Res, FRAM High North Res Ctr Climate &amp; Environm, N-9296 Tromso, Norway; [Kaiser, Stefanie] German Ctr Marine Biodivers Res, D-26382 Wilhelmshaven, Germany; [Kroencke, Ingrid; Schueckel, Ulrike] Marine Res Dept, D-26382 Wilhelmshaven, Germany; [Linse, Katrin] British Antarctic Survey, Cambridge CB3 0ET, England; [O'Hara, Timothy D.; Poore, Gary C. B.; Wilson, Robin S.] Museum Victoria, Melbourne, Vic 3001, Australia; [Satpathy, Kamala K.] Indira Gandhi Ctr Atom Res, Environm &amp; Safety Div, Kalpakkam 603102, Tamil Nadu, India; [Williams, Alan] Commonwealth Sci &amp; Ind Res Org, Marine &amp; Atmospher Res, Marine Labs, Hobart, Tas 7001, Australia</t>
  </si>
  <si>
    <t>James Cook University; James Cook University; Australian Institute of Marine Science; Smithsonian Institution; Smithsonian National Museum of Natural History; University of Western Australia; University of Calcutta; University of Pisa; National Oceanic Atmospheric Admin (NOAA) - USA; University of Hamburg; University of Hamburg; Norwegian Institute Nature Research; UK Research &amp; Innovation (UKRI); Natural Environment Research Council (NERC); NERC British Antarctic Survey; Museum Victoria; Indira Gandhi Centre for Atomic Research (IGCAR); Commonwealth Scientific &amp; Industrial Research Organisation (CSIRO)</t>
  </si>
  <si>
    <t>Connolly, SR (corresponding author), James Cook Univ, Sch Marine &amp; Trop Biol, Townsville, Qld 4811, Australia.</t>
  </si>
  <si>
    <t>Sean.connolly@jcu.edu.au; knowlton@si.edu</t>
  </si>
  <si>
    <t>Benedetti-Cecchi, Lisandro/J-8225-2019; Brandt, Angelika/C-1630-2018; Williams, Alan/C-6999-2012; Maggi, Elena/AAR-9910-2021; MacNeil, M. Aaron/ABD-6444-2021; Connolly, Sean R./E-7773-2011; Caley, Julian/A-4042-2008; Thibaut, Loic/G-4284-2011</t>
  </si>
  <si>
    <t>Benedetti-Cecchi, Lisandro/0000-0001-5244-5202; Williams, Alan/0000-0002-2867-7713; MacNeil, M. Aaron/0000-0001-8406-325X; Connolly, Sean R./0000-0003-1537-0859; Caley, Julian/0000-0001-5739-749X; Wilson, Robin/0000-0002-9441-2131; Linse, Katrin/0000-0003-3477-3047; Thibaut, Loic/0000-0003-3813-682X; Bulleri, Fabio/0000-0002-7335-6791; Kaiser, Stefanie/0000-0003-2026-4663; Ellingsen, Kari Elsa/0000-0002-2321-8278; cripps, edward/0000-0002-4177-6222; MAGGI, Elena/0000-0001-6934-9380</t>
  </si>
  <si>
    <t>Ministry for Science and Technology; German Research Foundation (Deutsche Forschungsgemeinschaft); Australian Research Council; NERC [bas0100026, noc010009] Funding Source: UKRI; Natural Environment Research Council [bas0100026, noc010009] Funding Source: researchfish</t>
  </si>
  <si>
    <t>Ministry for Science and Technology(Ministry of Science and Technology, Government of India); German Research Foundation (Deutsche Forschungsgemeinschaft)(German Research Foundation (DFG)); Australian Research Council(Australian Research Council); NERC(UK Research &amp; Innovation (UKRI)Natural Environment Research Council (NERC)); Natural Environment Research Council(UK Research &amp; Innovation (UKRI)Natural Environment Research Council (NERC))</t>
  </si>
  <si>
    <t>U.S. acknowledges S. Ehrich and A. Sell for providing ship time. The authors thank all participants in the Census of Marine Life project, particularly S. Campana, M. Sogin, K. Stocks, and L. A. Zettler. They also thank R. Etienne for providing advice for obtaining numerical solutions of the fission speciation neutral model, and J. Rosindell and S. Cornell for sharing simulated neutral community data from their spatially explicit neutral model. The authors thank T. Hughes for comments on an early version of the manuscript. K. E. E. acknowledges The Norwegian Oil and Gas Association for permitting use of data. A. B. acknowledges the support of the Ministry for Science and Technology and the German Research Foundation (Deutsche Forschungsgemeinschaft) for support of the Antarctic benthic deep-sea biodiversity (ANDEEP) and ANDEEP-System Coupling (SYSTCO) expeditions, as well as five PhD positions. A. B. also thanks the Alfred-Wegener-Institute for Polar and Marine Research for logistic help, as well as the crew of the vessel and all pickers, sorters and identifiers of the extensive deep-sea material. The Census of Marine Life funded the assembly of the metadataset. Analysis of the data was made possible by funding from the Australian Research Council (to S.R.C.).</t>
  </si>
  <si>
    <t>10.1073/pnas.1406664111</t>
  </si>
  <si>
    <t>AI6IJ</t>
  </si>
  <si>
    <t>WOS:000336976000060</t>
  </si>
  <si>
    <t>Edgington, S; Thompson, E; Moore, D; Hughes, KA; Bridge, P</t>
  </si>
  <si>
    <t>Edgington, Steven; Thompson, Emma; Moore, Dave; Hughes, Kevin A.; Bridge, Paul</t>
  </si>
  <si>
    <t>Investigating the insecticidal potential of Geomyces (Myxotrichaceae: Helotiales) and Mortierella (Mortierellacea: Mortierellales) isolated from Antarctica</t>
  </si>
  <si>
    <t>SPRINGERPLUS</t>
  </si>
  <si>
    <t>Cold; Fungus; Biological control; Host range; Insecticide</t>
  </si>
  <si>
    <t>ENTOMOPATHOGENIC NEMATODES; FUNGI; GRASSHOPPERS; STEINERNEMA; ASSOCIATION; PATHOGENS; CONIDIA; LARVAE</t>
  </si>
  <si>
    <t>Fungi isolated from environmentally challenging habitats can have adaptations of potential value when developed as insect pest-controls. Fungal isolates collected from Antarctica, Geomyces sp. I, Geomyces sp. II, Mortierella signyensis and M. alpina, were investigated for (i) growth characteristics at 0-35 degrees C, (ii) spore production at 10 and 20 degrees C, (iii) viability following exposure to freezing temperatures, and (iv) insecticidal activity against waxmoths (Galleria mellonella L.), houseflies (Musca domestica L.), mealworms (Tenebrio molitor L.) and black vine weevils (Otiorhynchus sulcatus Fabricius). All isolates showed growth between 5-20 degrees C, with some showing growth outside this range. Geomyces isolates sporulated over a wider range of conditions than the Mortierella isolates. Spore germination at 10 degrees C was higher for Geomyces sp. II when this isolate was produced at 10 compared to 20 degrees C (greatest difference 74.6 vs 32.7%). All isolates grew, with the exception of M. alpina, following exposure to -20 degrees C for 4 weeks. Insecticidal investigations showed M. alpina and M. signyensis caused significant mortality of waxmoth and housefly larvae via injection and soil inoculation, and M. alpina caused significant mortality of housefly larvae via baiting; the Geomyces isolates had little lethal effect.</t>
  </si>
  <si>
    <t>[Edgington, Steven; Thompson, Emma; Moore, Dave; Bridge, Paul] CABI UK Ctr, Egham TW20 9TY, Surrey, England; [Hughes, Kevin A.] British Antarctic Survey, Nat Environm Res Council, Cambridge CB3 0ET, England</t>
  </si>
  <si>
    <t>Edgington, S (corresponding author), CABI UK Ctr, Bakeham Lane, Egham TW20 9TY, Surrey, England.</t>
  </si>
  <si>
    <t>s.edgington@cabi.org</t>
  </si>
  <si>
    <t>Hughes, Kevin/JVZ-0793-2024</t>
  </si>
  <si>
    <t>Natural Environmental Research Council (NERC) [MYIP 719 InnB]; British Antarctic Survey (BAS) Polar Science for Planet Earth (PSPE) programme; Natural Environment Research Council [bas0100025] Funding Source: researchfish; NERC [bas0100025] Funding Source: UKRI</t>
  </si>
  <si>
    <t>Natural Environmental Research Council (NERC)(UK Research &amp; Innovation (UKRI)Natural Environment Research Council (NERC)); British Antarctic Survey (BAS) Polar Science for Planet Earth (PSPE) programme; Natural Environment Research Council(UK Research &amp; Innovation (UKRI)Natural Environment Research Council (NERC)); NERC(UK Research &amp; Innovation (UKRI)Natural Environment Research Council (NERC))</t>
  </si>
  <si>
    <t>The authors wish to thank Belinda Luke for reviewing a late draft of the manuscript. This study was possible through on-going activities at CABI UK-Centre, supported by the Natural Environmental Research Council (NERC) (award number MYIP 719 InnB) and the British Antarctic Survey (BAS) Polar Science for Planet Earth (PSPE) programme.</t>
  </si>
  <si>
    <t>SPRINGER INTERNATIONAL PUBLISHING AG</t>
  </si>
  <si>
    <t>CHAM</t>
  </si>
  <si>
    <t>GEWERBESTRASSE 11, CHAM, CH-6330, SWITZERLAND</t>
  </si>
  <si>
    <t>2193-1801</t>
  </si>
  <si>
    <t>SpringerPlus</t>
  </si>
  <si>
    <t>JUN 9</t>
  </si>
  <si>
    <t>10.1186/2193-1801-3-289</t>
  </si>
  <si>
    <t>CO3HM</t>
  </si>
  <si>
    <t>WOS:000359047400001</t>
  </si>
  <si>
    <t>Williams, T</t>
  </si>
  <si>
    <t>Williams, Trevor</t>
  </si>
  <si>
    <t>CLIMATE SCIENCE How Antarctic ice retreats</t>
  </si>
  <si>
    <t>LAST GLACIAL MAXIMUM; SEA-LEVEL; VOLUME</t>
  </si>
  <si>
    <t>Columbia Univ, Lamont Doherty Earth Observ, Palisades, NY 10964 USA</t>
  </si>
  <si>
    <t>Columbia University</t>
  </si>
  <si>
    <t>Williams, T (corresponding author), Columbia Univ, Lamont Doherty Earth Observ, Palisades, NY 10964 USA.</t>
  </si>
  <si>
    <t>trevor@ldeo.columbia.edu</t>
  </si>
  <si>
    <t>Williams, Trevor/L-7670-2014</t>
  </si>
  <si>
    <t>Directorate For Geosciences; Office of Polar Programs (OPP) [0944489] Funding Source: National Science Foundation</t>
  </si>
  <si>
    <t>Directorate For Geosciences; Office of Polar Programs (OPP)(National Science Foundation (NSF)NSF - Directorate for Geosciences (GEO))</t>
  </si>
  <si>
    <t>JUN 5</t>
  </si>
  <si>
    <t>10.1038/nature13345</t>
  </si>
  <si>
    <t>AI3NR</t>
  </si>
  <si>
    <t>WOS:000336768900025</t>
  </si>
  <si>
    <t>Weber, ME; Clark, PU; Kuhn, G; Timmermann, A; Sprenk, D; Gladstone, R; Zhang, X; Lohmann, G; Menviel, L; Chikamoto, MO; Friedrich, T; Ohlwein, C</t>
  </si>
  <si>
    <t>Weber, M. E.; Clark, P. U.; Kuhn, G.; Timmermann, A.; Sprenk, D.; Gladstone, R.; Zhang, X.; Lohmann, G.; Menviel, L.; Chikamoto, M. O.; Friedrich, T.; Ohlwein, C.</t>
  </si>
  <si>
    <t>Millennial-scale variability in Antarctic ice-sheet discharge during the last deglaciation</t>
  </si>
  <si>
    <t>PINE ISLAND GLACIER; SOUTHERN-OCEAN; WEDDELL SEA; SCOTIA SEA; RADIOCARBON CONSTRAINTS; CIRCUMPOLAR CURRENT; RETREAT; CORE; CHRONOLOGY; MAXIMUM</t>
  </si>
  <si>
    <t>Our understanding of the deglacial evolution of the Antarctic Ice Sheet (AIS) following the Last Glacial Maximum(26,000-19,000 years ago)(1) is based largely on a few well-dated but temporally and geographically restricted terrestrial and shallow-marine sequences(2-4). This sparseness limits our understanding of the dominant feedbacks between the AIS, Southern Hemisphere climate and global sea level. Marine records of iceberg-rafted debris (IBRD) provide a nearly continuous signal of ice-sheet dynamics and variability. IBRD records from the North Atlantic Ocean have been widely used to reconstruct variability in Northern Hemisphere ice sheets(5), but comparable records from the Southern Ocean of the AIS are lacking because of the low resolution and large dating uncertainties in existing sediment cores. Here we present two well-dated, high-resolution IBRD records that capture a spatially integrated signal of AIS variability during the last deglaciation. We document eight events of increased iceberg flux from various parts of the AIS between 20,000 and 9,000 years ago, in marked contrast to previous scenarios which identified the main AIS retreat as occurring after meltwater pulse 1A(3,6-8) and continuing into the late Holocene epoch. The highest IBRD flux occurred 14,600 years ago, providing the first direct evidence for an Antarctic contribution to meltwater pulse 1A. Climate model simulations with AIS freshwater forcing identify a positive feedback between poleward transport of Circumpolar Deep Water, subsurface warming and AIS melt, suggesting that small perturbations to the ice sheet can be substantially enhanced, providing a possible mechanism for rapid sea-level rise.</t>
  </si>
  <si>
    <t>[Weber, M. E.; Sprenk, D.] Univ Cologne, Inst Geol &amp; Mineral, D-50935 Cologne, Germany; [Clark, P. U.] Oregon State Univ, Coll Earth Ocean &amp; Atmospher Sci, Corvallis, OR 97331 USA; [Kuhn, G.; Zhang, X.; Lohmann, G.] Alfred Wegener Inst Helmholtz Zentrum Polar &amp; Mee, D-27568 Bremerhaven, Germany; [Timmermann, A.; Chikamoto, M. O.; Friedrich, T.] Univ Hawaii Manoa, Int Pacific Res Ctr, Sch Ocean &amp; Earth Sci &amp; Technol, Honolulu, HI 96822 USA; [Gladstone, R.] Univ Lapland, Arctic Ctr, Rovaniemi 96101, Finland; [Menviel, L.] Univ New S Wales, Climate Change Res Ctr, Sydney, NSW 2052, Australia; [Menviel, L.] Univ New S Wales, ARC Ctr Excellence Climate Syst Sci, Sydney, NSW 2052, Australia; [Ohlwein, C.] Univ Bonn, Hans Ertel Ctr Weather Res, Climate Monitoring Branch, Inst Meteorol, D-53121 Bonn, Germany</t>
  </si>
  <si>
    <t>University of Cologne; Oregon State University; Helmholtz Association; Alfred Wegener Institute, Helmholtz Centre for Polar &amp; Marine Research; University of Hawaii System; University of Hawaii Manoa; University of Lapland; University of New South Wales Sydney; ARC Centre of Excellence for Climate System Science; University of New South Wales Sydney; University of Bonn</t>
  </si>
  <si>
    <t>Weber, ME (corresponding author), Univ Cologne, Inst Geol &amp; Mineral, Zuelpicher Str 49a, D-50935 Cologne, Germany.</t>
  </si>
  <si>
    <t>michael.weber@uni-koeln.de</t>
  </si>
  <si>
    <t>Timmermann, Axel/Y-2799-2019; Friedrich, Tobias/D-1053-2013; Zhang, Xu/AFX-8847-2022; Menviel, Laurie/O-7833-2019; Lohmann, Gerrit/M-7453-2016; Weber, Michael E/G-8707-2012; Gladstone, Rupert/C-1086-2013; Menviel, Laurie/D-6902-2013</t>
  </si>
  <si>
    <t>Timmermann, Axel/0000-0003-0657-2969; Zhang, Xu/0000-0003-1833-9689; Lohmann, Gerrit/0000-0003-2089-733X; Kuhn, Gerhard/0000-0001-6069-7485; Gladstone, Rupert/0000-0002-1582-3857; Weber, Michael E/0000-0003-2175-8980; Menviel, Laurie/0000-0002-5068-1591</t>
  </si>
  <si>
    <t>Deutsche Forschungsgemeinschaft (DFG) [We2039/7-1, Ri525/17-1, Ku683/9-1]; University of Cologne; US NSF Antarctic Glaciology Program [ANT-1043517, ANT-1341311]; US NSF Paleoclimatology Program; Japan Agency for Marine-Earth Science and Technology; Helmholtz funding through the Polar Regions and Coasts in the changing Earth System (PACES) programme; Directorate For Geosciences [1341311] Funding Source: National Science Foundation; Directorate For Geosciences; Div Atmospheric &amp; Geospace Sciences [1010869] Funding Source: National Science Foundation; Directorate For Geosciences; Office of Polar Programs (OPP) [1043517] Funding Source: National Science Foundation; Office of Polar Programs (OPP) [1341311] Funding Source: National Science Foundation</t>
  </si>
  <si>
    <t>Deutsche Forschungsgemeinschaft (DFG)(German Research Foundation (DFG)); University of Cologne; US NSF Antarctic Glaciology Program(National Science Foundation (NSF)NSF - Directorate for Geosciences (GEO)); US NSF Paleoclimatology Program; Japan Agency for Marine-Earth Science and Technology; Helmholtz funding through the Polar Regions and Coasts in the changing Earth System (PACES) programme; Directorate For Geosciences(National Science Foundation (NSF)NSF - Directorate for Geosciences (GEO)); Directorate For Geosciences; Div Atmospheric &amp; Geospace 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</si>
  <si>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We acknowledge support from the Deutsche Forschungsgemeinschaft (DFG grant numbers We2039/7-1, Ri525/17-1 and Ku683/9-1 to M. E. W. and G. K.), the University of Cologne (to M. E. W.), the US NSF Antarctic Glaciology Program (grant numbers ANT-1043517 to P. U. C. and ANT-1341311 to A. T.), the US NSF Paleoclimatology Program and the Japan Agency for Marine-Earth Science and Technology (to A. T.), and Helmholtz funding through the Polar Regions and Coasts in the changing Earth System (PACES) programme (to X.Z., G. L. and G. K.). Our study was also part of the Southern Ocean Initiative of the International Marine Past Global Change Study (IMAGES) program. We thank W. F. Budd for comments on Antarctic ice-sheet dynamics, and M. Winstrup and S. Rasmussen for advice on comparing ice-core chronologies. Experiments with the Bern3D were performed in the Department of Climate and Environmental Physics, University of Bern, and with funding through the Oeschger Center for Climate Change.</t>
  </si>
  <si>
    <t>10.1038/nature13397</t>
  </si>
  <si>
    <t>WOS:000336768900043</t>
  </si>
  <si>
    <t>Came, RE; Brand, U; Affek, HP</t>
  </si>
  <si>
    <t>Came, Rosemarie E.; Brand, Uwe; Affek, Hagit P.</t>
  </si>
  <si>
    <t>Clumped isotope signatures in modern brachiopod carbonate</t>
  </si>
  <si>
    <t>CHEMICAL GEOLOGY</t>
  </si>
  <si>
    <t>Delta(47); Clumped isotopes; Stable isotopes; Brachiopods; Calibration; Equilibrium</t>
  </si>
  <si>
    <t>SEA-SURFACE TEMPERATURE; ATMOSPHERIC CO2; C-13-O-18 BONDS; CALIBRATION; CALCITE; FRACTIONATION; VARIABILITY; THERMOMETRY; DELTA-O-18; EVOLUTION</t>
  </si>
  <si>
    <t>We present a temperature to Delta(47) relationship for naturally occurring modern brachiopods, which was established using a suite of thirteen brachiopod specimens from twelve sampling localities that span a mean annual seawater temperature range of -0.8 to 29.0 degrees C. Sample locations and depths were selected to maximize the range of temperatures covered by the calibration while minimizing the seasonal temperature variability impacting the samples. Linear least-squares regression analysis yields the following relationship expressed using the Ghosh et al. (2006) reference frame: Delta(47) = (0.0478 +/- 00099) . 10(6)/T-2 + (0.1164 +/- 0.1203) (n = 13; R-2 = 0.91; 95% CI). This equation lies within the 95% confidence interval of the original relationship determined using synthetic calcite (Ghosh et al., 2006), but is in better agreement with the newly revised calibration of Zaarur et al. (2013). However, despite this broad agreement, our equation has a shallower slope than the equations for synthetic calcites, and yields temperatures at the warm end of the calibration temperature range (Delta(47) = 0.640 parts per thousand) that are as much as 3.1 degrees C offset from those predicted using the equation of Zaarur et al. (2013). On the other hand, our new equation has a steeper slope than the Henkes et al. (2013) equation for modern brachiopods and mollusks. This finding is consistent with the hypothesis that differences in the protocols employed by laboratories that use different temperatures of phosphoric acid digestion cause the observed discrepancies between the Delta(47) values reported by various laboratories. (C) 2014 Elsevier B.V. All rights reserved.</t>
  </si>
  <si>
    <t>[Came, Rosemarie E.] Univ New Hampshire, Dept Earth Sci, Durham, NH 03824 USA; [Brand, Uwe] Brock Univ, Dept Earth Sci, St Catharines, ON L2S 3A1, Canada; [Affek, Hagit P.] Yale Univ, Dept Geol &amp; Geophys, New Haven, CT 06520 USA</t>
  </si>
  <si>
    <t>University System Of New Hampshire; University of New Hampshire; Brock University; Yale University</t>
  </si>
  <si>
    <t>Came, RE (corresponding author), Univ New Hampshire, Dept Earth Sci, Durham, NH 03824 USA.</t>
  </si>
  <si>
    <t>Rosemarie.Came@unh.edu</t>
  </si>
  <si>
    <t>Affek, Hagit P/B-6950-2008</t>
  </si>
  <si>
    <t>University of New Hampshire; NSF [OCE-1260350]; Brock University; NSERC [7961]; Division Of Ocean Sciences; Directorate For Geosciences [1260350] Funding Source: National Science Foundation</t>
  </si>
  <si>
    <t>University of New Hampshire; NSF(National Science Foundation (NSF)); Brock University; NSERC(Natural Sciences and Engineering Research Council of Canada (NSERC)); Division Of Ocean Sciences; Directorate For Geosciences(National Science Foundation (NSF)NSF - Directorate for Geosciences (GEO))</t>
  </si>
  <si>
    <t>This manuscript was improved greatly by the insightful comments of two anonymous reviewers. We would like to thank L. Colin and P. Colin (Palau) for the field sampling under license RE-12-23 issued by the Bureau of Marine Resources, Republic of Palau, and L. Peck ( British Antarctic Survey) for a generous supply of brachiopods from Signy Island. We are grateful for the assistance provided by the members of the Yale Isotope Lab, in particular G. Olack and G. Hunsinger, as well as by John Eiler and the members of the Caltech laboratory. This work was supported by the University of New Hampshire startup funds, NSF grant OCE-1260350, a Brock University Chancellor's Research Chair award, and NSERC grant 7961.</t>
  </si>
  <si>
    <t>0009-2541</t>
  </si>
  <si>
    <t>1872-6836</t>
  </si>
  <si>
    <t>CHEM GEOL</t>
  </si>
  <si>
    <t>Chem. Geol.</t>
  </si>
  <si>
    <t>JUN 4</t>
  </si>
  <si>
    <t>10.1016/j.chemgeo.2014.04.004</t>
  </si>
  <si>
    <t>AH9AB</t>
  </si>
  <si>
    <t>WOS:000336429600003</t>
  </si>
  <si>
    <t>Antony, R; Grannas, AM; Willoughby, AS; Sleighter, RL; Thamban, M; Hatcher, PG</t>
  </si>
  <si>
    <t>Antony, Runa; Grannas, Amanda M.; Willoughby, Amanda S.; Sleighter, Rachel L.; Thamban, Meloth; Hatcher, Patrick G.</t>
  </si>
  <si>
    <t>Origin and Sources of Dissolved Organic Matter in Snow on the East Antarctic Ice Sheet</t>
  </si>
  <si>
    <t>RESONANCE MASS-SPECTROMETRY; MOLECULAR CHARACTERIZATION; BACTERIAL COMMUNITIES; FULVIC-ACIDS; BLACK CARBON; GLACIAL ICE; LAKE VOSTOK; IDENTIFICATION; ELECTROSPRAY; OCEAN</t>
  </si>
  <si>
    <t>Polar ice sheets hold a significant pool of the world's carbon reserve and are an integral component of the global carbon cycle. Yet, organic carbon composition and cycling in these systems is least understood. Here, we use ultrahigh resolution mass spectrometry to elucidate, at an unprecedented level, molecular details of dissolved organic matter (DOM) in Antarctic snow. Tens of thousands of distinct molecular species are identified, providing clues to the nature and sources of organic carbon in Antarctica. We show that many of the identified supraglacial organic matter formulas are consistent with material from microbial sources, and terrestrial inputs of vascular plant-derived materials are likely more important sources of organic carbon to Antarctica than previously thought. Black carbon-like material apparently originating from biomass burning in South America is also present, while a smaller fraction originated from soil humics and appears to be photochemically or microbially modified. In addition to remote continental sources, we document signals of oceanic emissions of primary aerosols and secondary organic aerosol precursors. The new insights on the diversity of organic species in Antarctic snowpack reinforce the importance of studying organic carbon associated with the Earth's polar regions in the face of changing climate.</t>
  </si>
  <si>
    <t>[Antony, Runa; Thamban, Meloth] Natl Ctr Antarctic &amp; Ocean Res, Vasco Da Gama 403804, Goa, India; [Grannas, Amanda M.] Villanova Univ, Dept Chem, Villanova, PA 19085 USA; [Willoughby, Amanda S.; Sleighter, Rachel L.; Hatcher, Patrick G.] Old Dominion Univ, Dept Chem &amp; Biochem, Norfolk, VA 23529 USA</t>
  </si>
  <si>
    <t>Ministry of Earth Sciences (MoES) - India; National Centre for Polar and Ocean Research (NCPOR); Villanova University; Old Dominion University</t>
  </si>
  <si>
    <t>Antony, R (corresponding author), Natl Ctr Antarctic &amp; Ocean Res, Vasco Da Gama 403804, Goa, India.</t>
  </si>
  <si>
    <t>runa@ncaor.gov.in</t>
  </si>
  <si>
    <t>Liu, Yifan/S-6217-2017; Grannas, Amanda/F-4804-2010</t>
  </si>
  <si>
    <t>Sleighter, Rachel/0000-0003-1833-7050; Thamban, Meloth/0000-0003-3379-8189; Antony, Runa/0000-0003-4829-4207; Grannas, Amanda/0000-0003-4719-348X</t>
  </si>
  <si>
    <t>Ministry of Earth Sciences (India); National Science Foundation, Antarctic Program [ANT-0739691, ANT-0739684]</t>
  </si>
  <si>
    <t>Ministry of Earth Sciences (India); National Science Foundation, Antarctic Program</t>
  </si>
  <si>
    <t>This work was financially supported by the Ministry of Earth Sciences (India). R.A. thanks Director, NCAOR, and R. Ravindra for supporting this research. K. Mahalinganathan is thanked for sample collection. This work was also partly supported by the National Science Foundation, Antarctic Program through grants to A.M.G. (ANT-0739691) and P.G.H. (ANT-0739684). This is NCAOR contribution no. 10/2014.</t>
  </si>
  <si>
    <t>JUN 3</t>
  </si>
  <si>
    <t>10.1021/es405246a</t>
  </si>
  <si>
    <t>AI6AK</t>
  </si>
  <si>
    <t>WOS:000336952000013</t>
  </si>
  <si>
    <t>Muck, S; Griessler, T; Köstner, N; Klimiuk, A; Winter, C; Herndl, GJ</t>
  </si>
  <si>
    <t>Muck, Simone; Griessler, Thomas; Koestner, Nicole; Klimiuk, Adam; Winter, Christian; Herndl, Gerhard J.</t>
  </si>
  <si>
    <t>Fracture zones in the Mid Atlantic Ridge lead to alterations in prokaryotic and viral parameters in deep-water masses</t>
  </si>
  <si>
    <t>deep sea; microbial communities; mixing zones; North Atlantic; prokaryotes; Vema Fracture Zone; viruses</t>
  </si>
  <si>
    <t>NUCLEIC-ACID CONTENT; DOMINANT BACTERIOPLANKTON GROUPS; BATHYPELAGIC WATERS; BACTERIAL-CELLS; MICROBIAL COMMUNITIES; SPATIAL-DISTRIBUTION; LIFE STRATEGIES; MARINE VIRUSES; SEA; COASTAL</t>
  </si>
  <si>
    <t>We hypothesized that mixing zones of deep-water masses act as ecotones leading to alterations in microbial diversity and activity due to changes in the biogeochemical characteristics of these boundary systems. We determined the changes in prokaryotic and viral abundance and production in the Vema Fracture Zone (VFZ) of the subtropical North Atlantic Ocean, where North Atlantic Deep Water (NADVV) and Antarctic Bottom Water (AABVV) are funneled through this narrow canyon and therefore, are subjected to intense vertical mixing. Consequently, salinity, potential temperature, oxygen, PO4, SiO4, NO3 were altered in the NADVV inside the VFZ as compared to the NADVV outside of the VFZ. Also, viral abundance, lytic viral production (VP) and the virus-to-prokaryote ratio (VPR) were elevated in the NADVV in the VFZ as compared to the NADVV outside the VFZ. In contrast to lytic VP lysogenic VP and both the frequency of lytically (FIC) and lysogenically infected cells (FLC) did not significantly differ between in- and outside the VFZ. Generally, FIC was higher than FLC throughout the water column. Prokaryotic (determined by T-RFLP) and viral (determined by RAPD-PCR) community composition was depth-stratified inside and outside the VFZ. The viral community was more modified both with depth and over distance inside the VFZ as compared to the northern section and to the prokaryotic communities. However, no clusters of prokaryotic and viral communities characteristic for the VFZ were identified. Based on our observations, we conclude that turbulent mixing of the deep water masses impacts not only the physico-chemical parameters of the mixing zone but also the interaction between viruses and prokaryotes due to a stimulation of the overall activity. However, only minor effects of deep water mixing were observed on the community composition of the dominant prokaryotes and viruses.</t>
  </si>
  <si>
    <t>[Muck, Simone; Griessler, Thomas; Koestner, Nicole; Klimiuk, Adam; Winter, Christian; Herndl, Gerhard J.] Univ Vienna, Ctr Ecol, Dept Limnol &amp; Oceanog, A-1090 Vienna, Austria; [Herndl, Gerhard J.] Royal Netherlands Inst Sea Res NIOZ, Dept Biol Oceanog, Den Burg, Netherlands</t>
  </si>
  <si>
    <t>University of Vienna; Utrecht University; Royal Netherlands Institute for Sea Research (NIOZ)</t>
  </si>
  <si>
    <t>Muck, S (corresponding author), Univ Vienna, Ctr Ecol, Dept Limnol &amp; Oceanog, Div Biooceanog, Althanstr 14, A-1090 Vienna, Austria.</t>
  </si>
  <si>
    <t>simone.muck@univie.ac.at</t>
  </si>
  <si>
    <t>Herndl, Gerhard J./B-1513-2013; Herndl, Gerhard J./S-3011-2019</t>
  </si>
  <si>
    <t>Herndl, Gerhard J./0000-0002-2223-2852; Winter, Christian/0000-0001-6327-0209</t>
  </si>
  <si>
    <t>European Science Foundation (MOCA project) via the Austrian Science Fund (FWF) [I486-B09]; FWF project [P23234B-11]; European Research Council under the European Community's Seventh Framework Program / ERC [268595]; Austrian Science Fund (FWF) [Z194] Funding Source: Austrian Science Fund (FWF); Austrian Science Fund (FWF) [Z 194, P 23234] Funding Source: researchfish</t>
  </si>
  <si>
    <t>European Science Foundation (MOCA project) via the Austrian Science Fund (FWF); FWF project(Austrian Science Fund (FWF)); European Research Council under the European Community's Seventh Framework Program / ERC(European Research Council (ERC)); Austrian Science Fund (FWF)(Austrian Science Fund (FWF)); Austrian Science Fund (FWF)(Austrian Science Fund (FWF))</t>
  </si>
  <si>
    <t>This work was supported by the European Science Foundation (MOCA project) via the Austrian Science Fund (FWF): I486-B09 and by the FWF project: P23234B-11 both to G.J.H. The research leading to these results has received funding from the European Research Council under the European Community's Seventh Framework Program (FP7/2007-2013) / ERC grant agreement No. 268595 (MEDEA project) to GJH. We thank the captain and the crew of the R/V Pelagia for their support at sea, T. Reinthaler for measuring the prokaryotic heterotrophic production and C. Baranyi and D. De Corte for their support in the laboratory and with molecular analyses and statistics.</t>
  </si>
  <si>
    <t>JUN 2</t>
  </si>
  <si>
    <t>10.3389/fmicb.2014.00264</t>
  </si>
  <si>
    <t>AJ2WY</t>
  </si>
  <si>
    <t>WOS:000337526700002</t>
  </si>
  <si>
    <t>Catone, MV; Ruiz, JA; Castellanos, M; Segura, D; Espin, G; López, NI</t>
  </si>
  <si>
    <t>Catone, Mariela V.; Ruiz, Jimena A.; Castellanos, Mildred; Segura, Daniel; Espin, Guadalupe; Lopez, Nancy I.</t>
  </si>
  <si>
    <t>High Polyhydroxybutyrate Production in Pseudomonas extremaustralis Is Associated with Differential Expression of Horizontally Acquired and Core Genome Polyhydroxyalkanoate Synthase Genes</t>
  </si>
  <si>
    <t>CHAIN-LENGTH POLYHYDROXYALKANOATES; GRANULE-ASSOCIATED PROTEIN; POLY-BETA-HYDROXYBUTYRATE; PUTIDA KT2442; ANTARCTIC BACTERIUM; RALSTONIA-EUTROPHA; ESCHERICHIA-COLI; PHA GENES; POLY(3-HYDROXYBUTYRATE); IDENTIFICATION</t>
  </si>
  <si>
    <t>Pseudomonas extremaustralis produces mainly polyhydroxybutyrate (PHB), a short chain length polyhydroxyalkanoate (sclPHA) infrequently found in Pseudomonas species. Previous studies with this strain demonstrated that PHB genes are located in a genomic island. In this work, the analysis of the genome of P. extremaustralis revealed the presence of another PHB cluster phbFPX, with high similarity to genes belonging to Burkholderiales, and also a cluster, phaC1ZC2D, coding for medium chain length PHA production (mclPHA). All mclPHA genes showed high similarity to genes from Pseudomonas species and interestingly, this cluster also showed a natural insertion of seven ORFs not related to mclPHA metabolism. Besides PHB, P. extremaustralis is able to produce mclPHA although in minor amounts. Complementation analysis demonstrated that both mclPHA synthases, PhaC1 and PhaC2, were functional. RT-qPCR analysis showed different levels of expression for the PHB synthase, phbC, and the mclPHA synthases. The expression level of phbC, was significantly higher than the obtained for phaC1 and phaC2, in late exponential phase cultures. The analysis of the proteins bound to the PHA granules showed the presence of PhbC and PhaC1, whilst PhaC2 could not be detected. In addition, two phasin like proteins (PhbP and PhaI) associated with the production of scl and mcl PHAs, respectively, were detected. The results of this work show the high efficiency of a foreign gene (phbC) in comparison with the mclPHA core genome genes (phaC1 and phaC2) indicating that the ability of P. extremaustralis to produce high amounts of PHB could be explained by the different expression levels of the genes encoding the scl and mcl PHA synthases.</t>
  </si>
  <si>
    <t>[Catone, Mariela V.; Ruiz, Jimena A.; Lopez, Nancy I.] Univ Buenos Aires, Fac Ciencias Exactas &amp; Nat, Dept Quim Biol, Buenos Aires, DF, Argentina; [Ruiz, Jimena A.] Consejo Nacl Invest Cient &amp; Tecn, Inst Invest Biociencias Agr &amp; Ambientales, RA-1033 Buenos Aires, DF, Argentina; [Castellanos, Mildred; Segura, Daniel; Espin, Guadalupe] Univ Nacl Autonoma Mexico, Dept Mol Microbiol, Inst Biol, Cuernavaca 62191, Morelos, Mexico; [Lopez, Nancy I.] Consejo Nacl Invest Cient &amp; Tecn, IQUIBICEN, RA-1033 Buenos Aires, DF, Argentina</t>
  </si>
  <si>
    <t>University of Buenos Aires; Consejo Nacional de Investigaciones Cientificas y Tecnicas (CONICET); Universidad Nacional Autonoma de Mexico; Consejo Nacional de Investigaciones Cientificas y Tecnicas (CONICET)</t>
  </si>
  <si>
    <t>López, NI (corresponding author), Univ Buenos Aires, Fac Ciencias Exactas &amp; Nat, Dept Quim Biol, Buenos Aires, DF, Argentina.</t>
  </si>
  <si>
    <t>nan@qb.fcen.uba.ar</t>
  </si>
  <si>
    <t>Lopez, Nancy/0000-0002-2966-3014; Segura, Daniel/0000-0001-6662-7250</t>
  </si>
  <si>
    <t>Universidad de Buenos Aires (UBACyT) [20020100100854]; Consejo Nacional de Investigaciones Cientificas y Tecnicas (CONICET, PIP) [0338]; Agencia Nacional de Promocion Cientifica (ANPCyT: PICT), Argentina [0639]; Consejo Nacional de Ciencia y Tecnologia (CONACyT), Mexico [127979]; ANPCyT; program Ciencia y Tecnologia para el Desarrollo (CYTED)</t>
  </si>
  <si>
    <t>Universidad de Buenos Aires (UBACyT)(University of Buenos Aires); Consejo Nacional de Investigaciones Cientificas y Tecnicas (CONICET, PIP)(Consejo Nacional de Investigaciones Cientificas y Tecnicas (CONICET)); Agencia Nacional de Promocion Cientifica (ANPCyT: PICT), Argentina; Consejo Nacional de Ciencia y Tecnologia (CONACyT), Mexico(Consejo Nacional de Ciencia y Tecnologia (CONACyT)); ANPCyT(ANPCyT); program Ciencia y Tecnologia para el Desarrollo (CYTED)</t>
  </si>
  <si>
    <t>This work was supported by grants from Universidad de Buenos Aires (UBACyT 2011-2014, No 20020100100854), Consejo Nacional de Investigaciones Cientificas y Tecnicas (CONICET, PIP 2011, No 0338) and Agencia Nacional de Promocion Cientifica (ANPCyT: PICT 2007, No 0639), Argentina and from Consejo Nacional de Ciencia y Tecnologia (CONACyT, grant 127979), Mexico. J.A.R. and N.I.L. are career investigators from CONICET, and M.V.C. has received a graduate student fellowship from ANPCyT and financial support from the program Ciencia y Tecnologia para el Desarrollo (CYTED). The funders had no role in study design, data collection and analysis, decision to publish, or preparation of the manuscript.</t>
  </si>
  <si>
    <t>e98873</t>
  </si>
  <si>
    <t>10.1371/journal.pone.0098873</t>
  </si>
  <si>
    <t>AI6CB</t>
  </si>
  <si>
    <t>WOS:000336956300115</t>
  </si>
  <si>
    <t>Tytgat, B; Verleyen, E; Obbels, D; Peeters, K; De Wever, A; D'hondt, S; De Meyer, T; Van Criekinge, W; Vyverman, W; Willems, A</t>
  </si>
  <si>
    <t>Tytgat, Bjorn; Verleyen, Elie; Obbels, Dagmar; Peeters, Karolien; De Wever, Aaike; D'hondt, Sofie; De Meyer, Tim; Van Criekinge, Wim; Vyverman, Wim; Willems, Anne</t>
  </si>
  <si>
    <t>Bacterial Diversity Assessment in Antarctic Terrestrial and Aquatic Microbial Mats: A Comparison between Bidirectional Pyrosequencing and Cultivation</t>
  </si>
  <si>
    <t>16S RIBOSOMAL-RNA; SP-NOV.; LOW-TEMPERATURE; SOIL; GENE; COMMUNITY; SEQUENCES; IMPACT; GROWTH; BIAS</t>
  </si>
  <si>
    <t>The application of high-throughput sequencing of the 16S rRNA gene has increased the size of microbial diversity datasets by several orders of magnitude, providing improved access to the rare biosphere compared with cultivation-based approaches and more established cultivation-independent techniques. By contrast, cultivation-based approaches allow the retrieval of both common and uncommon bacteria that can grow in the conditions used and provide access to strains for biotechnological applications. We performed bidirectional pyrosequencing of the bacterial 16S rRNA gene diversity in two terrestrial and seven aquatic Antarctic microbial mat samples previously studied by heterotrophic cultivation. While, not unexpectedly, 77.5% of genera recovered by pyrosequencing were not among the isolates, 25.6% of the genera picked up by cultivation were not detected by pyrosequencing. To allow comparison between both techniques, we focused on the five phyla (Proteobacteria, Actinobacteria, Bacteroidetes, Firmicutes and Deinococcus-Thermus) recovered by heterotrophic cultivation. Four of these phyla were among the most abundantly recovered by pyrosequencing. Strikingly, there was relatively little overlap between cultivation and the forward and reverse pyrosequencing-based datasets at the genus (17.1-22.2%) and OTU (3.5-3.6%) level (defined on a 97% similarity cut-off level). Comparison of the V1-V2 and V3-V2 datasets of the 16S rRNA gene revealed remarkable differences in number of OTUs and genera recovered. The forward dataset missed 33% of the genera from the reverse dataset despite comprising 50% more OTUs, while the reverse dataset did not contain 40% of the genera of the forward dataset. Similar observations were evident when comparing the forward and reverse cultivation datasets. Our results indicate that the region under consideration can have a large impact on perceived diversity, and should be considered when comparing different datasets. Finally, a high number of OTUs could not be classified using the RDP reference database, suggesting the presence of a large amount of novel diversity.</t>
  </si>
  <si>
    <t>[Tytgat, Bjorn; Peeters, Karolien; Willems, Anne] Univ Ghent, Dept Biochem &amp; Microbiol, Microbiol Lab, B-9000 Ghent, Belgium; [Verleyen, Elie; Obbels, Dagmar; De Wever, Aaike; D'hondt, Sofie; Vyverman, Wim] Univ Ghent, Dept Biol, Lab Protistol &amp; Aquat Ecol, B-9000 Ghent, Belgium; [De Meyer, Tim; Van Criekinge, Wim] Univ Ghent, Lab Bioinformat &amp; Computat Genom, Dept Math Modelling Stat &amp; Bioinformat, B-9000 Ghent, Belgium</t>
  </si>
  <si>
    <t>Ghent University; Ghent University; Ghent University</t>
  </si>
  <si>
    <t>Tytgat, B (corresponding author), Univ Ghent, Dept Biochem &amp; Microbiol, Microbiol Lab, B-9000 Ghent, Belgium.</t>
  </si>
  <si>
    <t>bjorn.tytgat@ugent.be</t>
  </si>
  <si>
    <t>De Meyer, Tim/D-3892-2011; De Wever, Aaike/A-4691-2009; Willems, Anne/B-2872-2010</t>
  </si>
  <si>
    <t>Van Criekinge, Wim/0000-0003-2971-5539; De Wever, Aaike/0000-0001-8804-8321; Willems, Anne/0000-0002-8421-2881; De Meyer, Tim/0000-0003-2994-9693</t>
  </si>
  <si>
    <t>Special Research Fund BOF-UGent [0J28410]; Belgian Science Policy Office (BelSPO) project AMBIO; Belgian Science Policy Office (BelSPO) project BELDIVA; Belgian Science Policy Office (BelSPO) project CCAMBIO</t>
  </si>
  <si>
    <t>Special Research Fund BOF-UGent; Belgian Science Policy Office (BelSPO) project AMBIO; Belgian Science Policy Office (BelSPO) project BELDIVA; Belgian Science Policy Office (BelSPO) project CCAMBIO</t>
  </si>
  <si>
    <t>This work was funded by the Special Research Fund BOF-UGent (grant 0J28410) and by the Belgian Science Policy Office (BelSPO) projects AMBIO, BELDIVA and CCAMBIO. http://www.belspo.be. The funders had no role in study design, data collection and analysis, decision to publish, or preparation of the manuscript.</t>
  </si>
  <si>
    <t>e97564</t>
  </si>
  <si>
    <t>10.1371/journal.pone.0097564</t>
  </si>
  <si>
    <t>WOS:000336956300021</t>
  </si>
  <si>
    <t>Lee, MR</t>
  </si>
  <si>
    <t>Lee, M. R.</t>
  </si>
  <si>
    <t>MACROECOLOGY OF FREE- LIVING INTERTIDAL NEMATODES ALONG THE COAST OF CHILE AND THE ANTARCTIC PENINSULA.</t>
  </si>
  <si>
    <t>JOURNAL OF NEMATOLOGY</t>
  </si>
  <si>
    <t>[Lee, M. R.] Univ Los Lagos, Ctr I Mar, Puerto Montt, Chile</t>
  </si>
  <si>
    <t>Universidad de Los Lagos</t>
  </si>
  <si>
    <t>SOC NEMATOLOGISTS</t>
  </si>
  <si>
    <t>MARCELINE</t>
  </si>
  <si>
    <t>PO BOX 311, MARCELINE, MO 64658 USA</t>
  </si>
  <si>
    <t>0022-300X</t>
  </si>
  <si>
    <t>J NEMATOL</t>
  </si>
  <si>
    <t>J. Nematol.</t>
  </si>
  <si>
    <t>JUN</t>
  </si>
  <si>
    <t>AW5EW</t>
  </si>
  <si>
    <t>WOS:000346299700203</t>
  </si>
  <si>
    <t>Seybold, A; Marshall, C; Wharton, D; Dearden, P</t>
  </si>
  <si>
    <t>Seybold, A.; Marshall, C.; Wharton, D.; Dearden, P.</t>
  </si>
  <si>
    <t>MOLECULAR ADAPTATION MECHANISMS IN THE ANTARCTIC NEMATODE PANAGROLAIMUS DAVIDI.</t>
  </si>
  <si>
    <t>[Seybold, A.; Marshall, C.; Dearden, P.] Univ Otago, Dept Biochem, Dunedin, New Zealand; [Wharton, D.] Univ Otago, Dept Zool, Dunedin, New Zealand</t>
  </si>
  <si>
    <t>Marshall, Craig J./C-6668-2009; Dearden, Peter/B-7607-2008</t>
  </si>
  <si>
    <t>Marshall, Craig J./0000-0003-4186-0368;</t>
  </si>
  <si>
    <t>WOS:000346299700333</t>
  </si>
  <si>
    <t>Thorne, M; Clark, M; Marshall, C; Wharton, D</t>
  </si>
  <si>
    <t>Thorne, M.; Clark, M.; Marshall, C.; Wharton, D.</t>
  </si>
  <si>
    <t>A TRANSCRIPTOMIC STUDY OF COLD TOLERANCE MECHANISMS IN THE ANTARCTIC NEMATODE PANAGROLAIMUS DAVIDI.</t>
  </si>
  <si>
    <t>[Thorne, M.; Clark, M.] British Antarctic Survey, Cambridge CB3 0ET, England; [Marshall, C.] Univ Otago, Dept Biochem, Dunedin, New Zealand; [Wharton, D.] Univ Otago, Dept Zool, Dunedin, New Zealand</t>
  </si>
  <si>
    <t>UK Research &amp; Innovation (UKRI); Natural Environment Research Council (NERC); NERC British Antarctic Survey; University of Otago; University of Otago</t>
  </si>
  <si>
    <t>WOS:000346299700379</t>
  </si>
  <si>
    <t>Mumford, KA; Pitt, B; Townsend, AT; Snape, I; Gore, DB</t>
  </si>
  <si>
    <t>Mumford, Kathryn A.; Pitt, Brendan; Townsend, Ashley T.; Snape, Ian; Gore, Damian B.</t>
  </si>
  <si>
    <t>Long-Term Acid-Generating and Metal Leaching Potential of a Sub-Arctic Oil Shale</t>
  </si>
  <si>
    <t>MINERALS</t>
  </si>
  <si>
    <t>acid rock drainage; pH; oxidation reduction potential; metal concentration; total reflection X-ray fluorescence spectrometry (TRXRF)</t>
  </si>
  <si>
    <t>MINE DRAINAGE AMD; ENVIRONMENTAL-SAMPLES; COAL-MINE; WATER; PLANT; REMEDIATION; OXIDATION; BACTERIA; SYSTEM; IMPACT</t>
  </si>
  <si>
    <t>Shales are increasingly being exploited for oil and unconventional gas. Exploitation of sub-arctic oil shales requires the creation of gravel pads to elevate workings above the heaving effects of ground ice. These gravel pads can potentially generate acidic leachate, which can enhance the mobility of metals from the shale. To examine this potential, pyrite-bearing shale originating from sub-Arctic gravel pad sites were subjected to leaching tests for 600 days at initial pH values ranging from 2 to 5, to simulate potential real world conditions. At set times over the 600 day experiment, pH, oxidation reduction potential (ORP), dissolved oxygen and temperature were recorded and small liquid samples withdrawn and analysed for elemental concentrations using total reflection X-ray fluorescence spectrometry (TRXRF). Six of eight shale samples were found to be acid generating, with pH declining and ORP becoming increasingly positive after 100 days. Two of the eight shale samples produced increasingly alkaline leachate conditions with relatively low ORP after 100 days, indicating an inbuilt buffering capacity. By 600 days the buffering capacity of all samples had been consumed and all leachate samples were acidic. TRXRF analyses demonstrated significant potential for the leaching of S, Fe, Ni, Cu, Zn and Mn with greatest concentrations found in reaction vessels with most acidic pH and highest ORP.</t>
  </si>
  <si>
    <t>[Mumford, Kathryn A.] Univ Melbourne, Dept Chem &amp; Biomol Engn, Parkville, Vic 3010, Australia; [Pitt, Brendan; Gore, Damian B.] Macquarie Univ, Dept Geog &amp; Environm, Sydney, NSW 2109, Australia; [Townsend, Ashley T.] Univ Tasmania, Cent Sci Lab, Hobart, Tas 7001, Australia; [Snape, Ian] Australian Antarctic Div, Kingston, Tas 7050, Australia</t>
  </si>
  <si>
    <t>University of Melbourne; Macquarie University; University of Tasmania; Australian Antarctic Division</t>
  </si>
  <si>
    <t>Mumford, KA (corresponding author), Univ Melbourne, Dept Chem &amp; Biomol Engn, Parkville, Vic 3010, Australia.</t>
  </si>
  <si>
    <t>mumfordk@unimelb.edu.au; brendan_pitt@hotmail.com; ashley.townsend@utas.edu.au; ian.snape@aad.gov.au; damian.gore@mq.edu.au</t>
  </si>
  <si>
    <t>Mumford, Kathryn A/M-6566-2015; Townsend, Ashley/J-7445-2014</t>
  </si>
  <si>
    <t>Townsend, Ashley/0000-0002-2972-2678; Gore, Damian/0000-0002-0377-8518</t>
  </si>
  <si>
    <t>Australian Antarctic Division ASAC [4029]; Australian Research Council; PANalytical Service [LP0776373]; Veolia Environmental Service [LP0776373]; Australian Research Council [LP0776373] Funding Source: Australian Research Council</t>
  </si>
  <si>
    <t>Australian Antarctic Division ASAC; Australian Research Council(Australian Research Council); PANalytical Service; Veolia Environmental Service; Australian Research Council(Australian Research Council)</t>
  </si>
  <si>
    <t>We thank the Australian Antarctic Division ASAC Project 4029 and the Australian Research Council, PANalytical and Veolia Environmental Services for financial support under Linkage Project LP0776373. ICP-MS access was supported through ARC LIEF LE0989539.</t>
  </si>
  <si>
    <t>2075-163X</t>
  </si>
  <si>
    <t>MINERALS-BASEL</t>
  </si>
  <si>
    <t>Minerals</t>
  </si>
  <si>
    <t>10.3390/min4020293</t>
  </si>
  <si>
    <t>Geochemistry &amp; Geophysics; Mineralogy; Mining &amp; Mineral Processing</t>
  </si>
  <si>
    <t>AQ2MU</t>
  </si>
  <si>
    <t>WOS:000342621600006</t>
  </si>
  <si>
    <t>Smith, AM</t>
  </si>
  <si>
    <t>Smith, Abigail M.</t>
  </si>
  <si>
    <t>Growth and Calcification of Marine Bryozoans in a Changing Ocean</t>
  </si>
  <si>
    <t>BIOLOGICAL BULLETIN</t>
  </si>
  <si>
    <t>SKELETAL CARBONATE MINERALOGY; FLUSTRA-FOLIACEA BRYOZOA; ZOOID SIZE; PENTAPORA-FASCIALIS; ANTARCTIC BRYOZOAN; CHEILOSTOMATA BRYOZOA; COMMUNITY-DEVELOPMENT; SEAWATER TEMPERATURE; SEASONAL-VARIATION; CALCITE</t>
  </si>
  <si>
    <t>Bryozoans are colonial benthic marine invertebrate calcifiers, important and especially abundant and diverse in southern hemisphere shelf environments. Large heavily calcified colonies can be up to 50 years old, but most longer-lived bryozoans are limited to 10-20 y. Many smaller species are annual. Radial extension in flat encrusting bryozoans is generally on the order of 1-5 mm/y. Erect calcified species generally grow vertically 2-15 mm/y, though articulated species such as Cellaria may reach rates of 40 mm/y. Corresponding calcification rates are generally 10(1)-10(2) mg/y, but there can be an order of magnitude variation in rate among years in high-latitude bryozoans. Multi-branched bryozoans produce up to 24 g of CaCO3/y. The carbonate produced by bryozoans varies from calcite to aragonite and mixtures of both. Skeletal carbonate mineralogy of bryozoans is complex and appears to be strongly genetically controlled. Global climate change, leading to increasing water temperatures, will generally increase marine bryozoan metabolic rates, and may increase Mg in calcite. On the other hand, decreasing pH (ocean acidification) causes corrosion, changes in mineralogy, and decreased survival. This review of bryozoan growth and calcification allows a general perspective, but also reveals gaps in our knowledge which need to be addressed.</t>
  </si>
  <si>
    <t>Univ Otago, Dept Marine Sci, Dunedin 9054, New Zealand</t>
  </si>
  <si>
    <t>Smith, AM (corresponding author), Univ Otago, Dept Marine Sci, POB 56, Dunedin 9054, New Zealand.</t>
  </si>
  <si>
    <t>abby.smith@otago.ac.nz</t>
  </si>
  <si>
    <t>Smith, Abigail M/F-7714-2011</t>
  </si>
  <si>
    <t>laboratory of Prof. C. S. Nelson, Earth Sciences, University of Waikato</t>
  </si>
  <si>
    <t>The author's long-term commitment to bryozoan skeletal studies began in the laboratory of Prof. C. S. Nelson, Earth Sciences, University of Waikato, whose support is gratefully acknowledged. Colleagues and students who have collaborated over the years are also thanked: D. P. Gordon; M. M. Key, Jr.; H. G. Spencer; P. D. Taylor; K. E. Wejnert; E. I. Lawton; E. Girvan; C. J. Garden; D. I. Winter. This manuscript was improved greatly by comments from M. M. Key, Jr. and A. C. L. Wood.</t>
  </si>
  <si>
    <t>0006-3185</t>
  </si>
  <si>
    <t>1939-8697</t>
  </si>
  <si>
    <t>BIOL BULL-US</t>
  </si>
  <si>
    <t>Biol. Bull.</t>
  </si>
  <si>
    <t>10.1086/BBLv226n3p203</t>
  </si>
  <si>
    <t>Biology; Marine &amp; Freshwater Biology</t>
  </si>
  <si>
    <t>Life Sciences &amp; Biomedicine - Other Topics; Marine &amp; Freshwater Biology</t>
  </si>
  <si>
    <t>AP0BZ</t>
  </si>
  <si>
    <t>WOS:000341727200004</t>
  </si>
  <si>
    <t>Schiraldi, B; Sikes, EL; Elmore, AC; Cook, MS; Rose, KA</t>
  </si>
  <si>
    <t>Schiraldi, Benedetto, Jr.; Sikes, Elisabeth L.; Elmore, Aurora C.; Cook, Mea S.; Rose, Kathryn A.</t>
  </si>
  <si>
    <t>Southwest Pacific subtropics responded to last deglacial warming with changes in shallow water sources</t>
  </si>
  <si>
    <t>SEA-SURFACE TEMPERATURE; NORTHERN NEW-ZEALAND; ATMOSPHERIC CO2; SOUTHERN-HEMISPHERE; CLIMATE-CHANGE; PLANKTONIC-FORAMINIFERA; HYDROGRAPHIC SECTION; GLACIAL MAXIMUM; SEDIMENT TRAPS; SW PACIFIC</t>
  </si>
  <si>
    <t>This study examined sources of mixed layer and shallow subsurface waters in the subtropical Bay of Plenty, New Zealand, across the last deglaciation (similar to 30-5 ka). delta O-18 and delta C-13 from planktonic foraminifera Globgerinoides bulloides and Globorotalia inflata in four sediment cores were used to reconstruct surface mixed layer thickness, delta O-18 of seawater (delta O-18(SW)) and differentiate between high-and low-latitude water provenance. During the last glaciation, depleted planktonic delta O-18(SW) and enriched delta C-13 (-0.4-0.1 parts per thousand) indicate surface waters had Southern Ocean sources. A rapid delta C-13 depletion of similar to 1 parts per thousand in G. bulloides between 20 and 19 ka indicates an early, permanent shift in source to a more distal tropical component, likely with an equatorial Pacific contribution that persisted into the Holocene. At 18 ka, a smaller but similar shift in G. inflata delta C-13 depletion of similar to 0.3 parts per thousand suggests that deeper subsurface waters had a delayed reaction to changing conditions during the deglaciation. This contrasts with the isotopic records from nearby Hawke Bay, to the east of the North Island of New Zealand, which exhibited several changes in thermocline depth indicating switches between distal subtropical and proximal subantarctic influences during the early deglaciation ending only after the Antarctic Cold Reversal. Our results identify the midlatitude subtropics, such as the area around the North Island of New Zealand, as a key region to decipher high-versus low-latitude influences in Southern Hemisphere shallow water masses.</t>
  </si>
  <si>
    <t>[Schiraldi, Benedetto, Jr.; Sikes, Elisabeth L.; Elmore, Aurora C.] Rutgers State Univ, Inst Marine &amp; Coastal Sci, New Brunswick, NJ 08903 USA; [Cook, Mea S.] Williams Coll, Dept Geosci, Williamstown, MA 01267 USA; [Rose, Kathryn A.] Woods Hole Oceanog Inst, Dept Geol &amp; Geophys, Woods Hole, MA 02543 USA</t>
  </si>
  <si>
    <t>Rutgers University System; Rutgers University New Brunswick; Williams College; Woods Hole Oceanographic Institution</t>
  </si>
  <si>
    <t>Sikes, EL (corresponding author), Rutgers State Univ, Inst Marine &amp; Coastal Sci, New Brunswick, NJ 08903 USA.</t>
  </si>
  <si>
    <t>sikes@marine.rutgers.edu</t>
  </si>
  <si>
    <t>Sikes, Elisabeth/HPE-8194-2023</t>
  </si>
  <si>
    <t>Cook, Mea/0000-0003-3786-6353; Sikes, Elisabeth/0000-0003-2900-3283</t>
  </si>
  <si>
    <t>NSF [OCE-0823487, 0823549-03]; Directorate For Geosciences; Division Of Ocean Sciences [0823487] Funding Source: National Science Foundation; Division Of Ocean Sciences; Directorate For Geosciences [0823549] Funding Source: National Science Foundation</t>
  </si>
  <si>
    <t>NSF(National Science Foundation (NSF)); Directorate For Geosciences; Division Of Ocean Sciences(National Science Foundation (NSF)NSF - Directorate for Geosciences (GEO)); Division Of Ocean Sciences; Directorate For Geosciences(National Science Foundation (NSF)NSF - Directorate for Geosciences (GEO))</t>
  </si>
  <si>
    <t>We thank Susan Trimarchi and Jordan Lander for laboratory assistance, Phil Shane for assistance with tephra identification, and the University of Oregon core repository for sample collection support. We thank Jim Wright for guidance with isotopic analyses and bioturbation analysis, Richard Mortlock for guiding aspects of the sea level detrending of the delta18O data, and Katharina Pahnke for providing the MD97-2120 delta13C planktonic data. Our heartfelt thanks go to both Tom Guilderson for his assistance in obtaining these cores and the funding to support this work and John Wilkin for herculean efforts with figure plotting. Will Howard and Helen Bostock provided reviews. Funding for this project came from NSF OCE-0823487 and 0823549-03. Data are archived with NOAA NCDC at http://www.ncdc.noaa.gov/data-access/paleoclimatology-data.</t>
  </si>
  <si>
    <t>10.1002/2013PA002584</t>
  </si>
  <si>
    <t>AN5VZ</t>
  </si>
  <si>
    <t>WOS:000340661100009</t>
  </si>
  <si>
    <t>Pavlov, AK; Silyakova, A; Granskog, MA; Bellerby, RGJ; Engel, A; Schulz, KG; Brussaard, CPD</t>
  </si>
  <si>
    <t>Pavlov, Alexey K.; Silyakova, Anna; Granskog, Mats A.; Bellerby, Richard G. J.; Engel, Anja; Schulz, Kai G.; Brussaard, Corina P. D.</t>
  </si>
  <si>
    <t>Marine CDOM accumulation during a coastal Arctic mesocosm experiment: No response to elevated pCO2 levels</t>
  </si>
  <si>
    <t>DISSOLVED ORGANIC-MATTER; AMINO-ACIDS MAAS; NATURAL PHYTOPLANKTON; OCEAN ACIDIFICATION; OPTICAL-PROPERTIES; SEASONAL DYNAMICS; SPECTRAL SLOPES; TECHNICAL NOTE; UV-RADIATION; HUDSON-BAY</t>
  </si>
  <si>
    <t>A large-scale multidisciplinary mesocosm experiment in an Arctic fjord (Kongsfjorden, Svalbard; 78 degrees 56.2'N) was used to study Arctic marine food webs and biogeochemical elements cycling at natural and elevated future carbon dioxide (CO2) levels. At the start of the experiment, marine-derived chromophoric dissolved organic matter (CDOM) dominated the CDOM pool. Thus, this experiment constituted a convenient case to study production of autochthonous CDOM, which is typically masked by high levels of CDOM of terrestrial origin in the Arctic Ocean proper. CDOM accumulated during the experiment in line with an increase in bacterial abundance; however, no response was observed to increased pCO(2) levels. Changes in CDOM absorption spectral slopes indicate that bacteria were most likely responsible for the observed CDOM dynamics. Distinct absorption peaks (at similar to 330 and similar to 360 nm) were likely associated with mycosporine-like amino acids (MAAs). Due to the experimental setup, MAAs were produced in absence of ultraviolet exposure providing evidence for MAAs to be considered as multipurpose metabolites rather than simple photoprotective compounds. We showed that a small increase in CDOM during the experiment made it a major contributor to total absorption in a range of photosynthetically active radiation (PAR, 400-700 nm) and, therefore, is important for spectral light availability and may be important for photosynthesis and phytoplankton groups composition in a rapidly changing Arctic marine ecosystem.</t>
  </si>
  <si>
    <t>[Pavlov, Alexey K.; Granskog, Mats A.] Norwegian Polar Res Inst, Fram Ctr, Tromso, Norway; [Pavlov, Alexey K.] Arctic &amp; Antarctic Res Inst, St Petersburg 199226, Russia; [Silyakova, Anna] UiT Arctic Univ Norway, Ctr Arctuc Gas Hydrate Environm &amp; Climate, Dept Geol, Tromso, Norway; [Silyakova, Anna; Bellerby, Richard G. J.] Uni Bjerknes Ctr, Bergen, Norway; [Silyakova, Anna; Bellerby, Richard G. J.] Bjerknes Ctr Climate Res, Bergen, Norway; [Bellerby, Richard G. J.] Norwegian Inst Water Res, Bergen, Norway; [Engel, Anja; Schulz, Kai G.] Helmholtz Ctr Ocean Res Kiel, GEOMAR, Kiel, Germany; [Schulz, Kai G.] So Cross Univ, Ctr Coastal Biogeochem, Sch Environm Sci &amp; Management, Lismore, NSW 2480, Australia; [Brussaard, Corina P. D.] Royal Netherlands Inst Sea Res NIOZ, Texel, Netherlands</t>
  </si>
  <si>
    <t>Norwegian Polar Institute; Arctic &amp; Antarctic Research Institute; UiT The Arctic University of Tromso; Bjerknes Centre for Climate Research; Bjerknes Centre for Climate Research; Norwegian Institute for Water Research (NIVA); Helmholtz Association; GEOMAR Helmholtz Center for Ocean Research Kiel; Southern Cross University; Utrecht University; Royal Netherlands Institute for Sea Research (NIOZ)</t>
  </si>
  <si>
    <t>Pavlov, AK (corresponding author), Norwegian Polar Res Inst, Fram Ctr, Tromso, Norway.</t>
  </si>
  <si>
    <t>pavlov.alexey.k@gmail.com</t>
  </si>
  <si>
    <t>Schulz, Kai/AEZ-9073-2022; Bellerby, Richard/ABD-6590-2021; Engel, Andreas/E-3100-2014</t>
  </si>
  <si>
    <t>Schulz, Kai/0000-0002-8481-4639; Bellerby, Richard/0000-0003-3598-4006; Granskog, Mats/0000-0002-5035-4347; Pavlov, Alexey/0000-0002-1978-5368; Engel, Anja/0000-0002-1042-1955</t>
  </si>
  <si>
    <t>European Commission [211384]; Centre for Ice, Climate and Ecosystems (ICE) at the Norwegian Polar Institute; Russian Foundation for Basic Research (RFBR) [12-05-00780_a, 14-05-10065]; Roshydromet project [1.5.3.3]; joint AARI-NPI Fram Arctic Climate Research Laboratory; Polish-Norwegian Research Programme [Pol-Nor/197511/40/2013]; project Marine Ecosystem Response to a Changing Climate - program NORKLIMA through the Norwegian Research Council [MERCLIM 184860, MEECE 212085, EURO-BASIN 26493, Greenseas 265294]; [MK-4049.2014.8]</t>
  </si>
  <si>
    <t>European Commission(European Union (EU)European Commission Joint Research Centre); Centre for Ice, Climate and Ecosystems (ICE) at the Norwegian Polar Institute; Russian Foundation for Basic Research (RFBR)(Russian Foundation for Basic Research (RFBR)); Roshydromet project; joint AARI-NPI Fram Arctic Climate Research Laboratory; Polish-Norwegian Research Programme; project Marine Ecosystem Response to a Changing Climate - program NORKLIMA through the Norwegian Research Council;</t>
  </si>
  <si>
    <t>This work is a contribution to the European Project on Ocean Acidification (EPOCA) which received funding from the European Commission's Seventh Framework Program (FP7/2007-2013) under grant agreement 211384. We gratefully acknowledge the logistical support of Greenpeace International for its assistance with the transport of the mesocosm facility from Kiel to Ny-Alesund and back to Kiel. We also thank the captains and crews of M/V Esperanza of Greenpeace and R/V Viking Explorer of the University Centre in Svalbard (UNIS) for assistance during mesocosm transport and during deployment and recovery in Kongsfjorden. We thank the staff of the French-German Arctic Research Base at Ny-Alesund, in particular Marcus Schumacher, for on-site logistical support. We thank Gisle Nondal for help with sampling. This work was also supported by the Centre for Ice, Climate and Ecosystems (ICE) at the Norwegian Polar Institute. For A. K. P., this study was partially supported by the Russian Foundation for Basic Research (RFBR), research project 12-05-00780_a and 14-05-10065, Roshydromet project 1.5.3.3, President Grant MK-4049.2014.8, and the joint AARI-NPI Fram Arctic Climate Research Laboratory. M. A. G. and A. K. P. research work has partially received funding from the Polish-Norwegian Research Programme operated by the National Centre for Research and Development under the Norwegian Financial Mechanism 2009-2014 in the frame of Project Contract Pol-Nor/197511/40/2013, CDOM-HEAT. For R.G.J.B., the work was partially funded by the project Marine Ecosystem Response to a Changing Climate (MERCLIM 184860) financed by the program NORKLIMA through the Norwegian Research Council, Marine Ecosystem Evolution in a Changing Environment (MEECE 212085), Basin-scale Analysis, Synthesis and Integration (EURO-BASIN 26493), and Development of global plankton data base and model system for ecoclimate early warning (Greenseas 265294). We thank Dmitry Divine and Piotr Kowalczuk for valuable discussions and comments. All data used in this paper (except CDOM data) are available on Pangaea at http://doi.pangaea.de/10.1594/PANGAEA.769833. The CDOM data are available upon request from the authors.</t>
  </si>
  <si>
    <t>10.1002/2013JG002587</t>
  </si>
  <si>
    <t>AN4FF</t>
  </si>
  <si>
    <t>WOS:000340542300011</t>
  </si>
  <si>
    <t>Hu, WJ; Chen, M; Yang, WF; Zhang, R; Qiu, YS; Zheng, MF</t>
  </si>
  <si>
    <t>Hu, Wangjiang; Chen, Min; Yang, Weifeng; Zhang, Run; Qiu, Yusheng; Zheng, Minfang</t>
  </si>
  <si>
    <t>Enhanced particle scavenging in deep water of the Aleutian Basin revealed by 210Po-210Pb disequilibria</t>
  </si>
  <si>
    <t>PARTICULATE ORGANIC-CARBON; SUB-ARCTIC PACIFIC; SOUTH CHINA SEA; BERING-SEA; SURFACE WATERS; PO-210/PB-210 DISEQUILIBRIA; PB-210 DISTRIBUTIONS; EQUATORIAL ATLANTIC; RESIDENCE TIMES; EXPORT FLUXES</t>
  </si>
  <si>
    <t>The high sedimentation rate but low primary production in surface ocean raised a question whether particles from local upper water column could support high deposition in the Aleutian Basin. Here we first present large Po-210-Pb-210 disequilibria in deep water of the Aleutian Basin. Dissolved Po-210 and Pb-210 were depleted relative to Pb-210 and Ra-226, respectively, in deep water below 1000 m, as well as decreased with depth, suggesting enhanced particle scavenging in the deep water. The Po-210 residence times (1-2 a) in deep water were comparable to those in the upper water column, indicating that Po-210 scavenging rates were high in deep water of the Aleutian Basin. The export fluxes of Po-210 from the upper 100 m were estimated to be 0.2-0.8 Bq/m(2)/d, much lower than those in the deep water (7-8 Bq/m(2)/d). Similarly, POC export fluxes in deep water (24-80 mmolC/m(2)/d) were higher than those in the upper 100 m (similar to 1 mmolC/m(2)/d). Such a large discrepancy between the upper and deep water suggested that particles from local upper water column could not totally meet the enhanced scavenging in the deep water. Based on mass balance calculations, the extra fluxes of Pb-210 and POC imported to deep water were estimated to be 8-12 Bq/m(2)/d and 22-79 mmolC/m(2)/d, respectively. The ratio of POC to particulate Pb-210 (i.e., POC/PPb) in the extra source was estimated to be 6.5 mmol/Bq, which was lower than that in the Bering Shelf with a mean POC/PPb ratio of 10.9 mmol/Bq, implying that particles in the Bering Shelf could be a potential source for the enhanced particle scavenging in deep water of the Aleutian Basin. However, quantitative and detailed role of ridges and manganese from sediments in particle scavenging in the deep water was unclear, and further studies are necessary.</t>
  </si>
  <si>
    <t>[Hu, Wangjiang; Chen, Min; Yang, Weifeng; Zhang, Run; Qiu, Yusheng; Zheng, Minfang] Xiamen Univ, Coll Ocean &amp; Earth Sci, Xiamen, Peoples R China; [Chen, Min; Yang, Weifeng; Qiu, Yusheng] Xiamen Univ, State Key Lab Marine Environm Sci, Xiamen, Peoples R China</t>
  </si>
  <si>
    <t>Xiamen University; Xiamen University</t>
  </si>
  <si>
    <t>Chen, M (corresponding author), Xiamen Univ, Coll Ocean &amp; Earth Sci, Xiamen, Peoples R China.</t>
  </si>
  <si>
    <t>mchen@xmu.edu.cn</t>
  </si>
  <si>
    <t>Chen, Min/B-7763-2012; Zhang, Run/E-3534-2015; Yang, Weifeng/G-3996-2010</t>
  </si>
  <si>
    <t>Chen, Min/0000-0003-0369-694X; Zhang, Run/0000-0002-7143-6077; Yang, Weifeng/0000-0002-9339-1746</t>
  </si>
  <si>
    <t>Chinese Natural Science Foundation [41125020]; Chinese Arctic and Antarctic Administration [CHINARE2014-03-04-03, CHINARE2014-04-03-05]; Polar Strategic Research Foundation of China [20120307]</t>
  </si>
  <si>
    <t>Chinese Natural Science Foundation(National Natural Science Foundation of China (NSFC)); Chinese Arctic and Antarctic Administration; Polar Strategic Research Foundation of China</t>
  </si>
  <si>
    <t>We thank Jianfang Chen for providing dissolved silicate data. This work was supported, in part, by a Chinese Natural Science Foundation (41125020), a polar environment investigation and assessment supported by Chinese Arctic and Antarctic Administration (CHINARE2014-03-04-03 and CHINARE2014-04-03-05), and the Polar Strategic Research Foundation of China (20120307).</t>
  </si>
  <si>
    <t>10.1002/2014JC009819</t>
  </si>
  <si>
    <t>AN2KT</t>
  </si>
  <si>
    <t>WOS:000340414800001</t>
  </si>
  <si>
    <t>Iwamoto, K; Ohshima, KI; Tamura, T</t>
  </si>
  <si>
    <t>Iwamoto, Katsushi; Ohshima, Kay I.; Tamura, Takeshi</t>
  </si>
  <si>
    <t>Improved mapping of sea ice production in the Arctic Ocean using AMSR-E thin ice thickness algorithm</t>
  </si>
  <si>
    <t>NORTH WATER; COASTAL POLYNYAS; COLD HALOCLINE; CHUKCHI; HEAT; BEAUFORT; WESTERN; MODEL; LAYER; SNOW</t>
  </si>
  <si>
    <t>New and improved estimates of sea ice production in the Arctic Ocean are derived from AMSRE satellite and atmospheric reanalysis data for the period 2002-2011, at a spatial resolution of 6.25 km and using a newly developed fast-ice mask. High ice production in the major coastal polynyas is well demonstrated. The total annual cumulative ice production in the major 10 polynya regions is about 1180 +/- 70km(3). The interannual variability of the ice production for each polynya is presented during 2002-2011. No obvious relationship is noted between the ice production and the recent drastic reduction in the preceding summer Arctic sea ice extent. Most polynya regions exhibit maximum ice production in autumn (October November), before areas offshore have been covered with consolidated pack ice. Sea ice production from October to November in the marginal ice zone of the Pacific Ocean sector is negatively correlated with summer ice extent there. The ice production from October to November of 2007 (a record minimum summer ice extent) was about twice as large as that in other years. The high ice production area shifted to higher latitudes i.e., toward the deep Canada Basin, due to the retreat of the summer ice edge. We speculate that the resultant increase in brine input could change the oceanic structure in the basin, specifically deepening the winter mixed layer.</t>
  </si>
  <si>
    <t>[Iwamoto, Katsushi; Tamura, Takeshi] Natl Inst Polar Res, Tachikawa, Tokyo, Japan; [Iwamoto, Katsushi] Niigata Univ, Fac Sci, Niigata 95021, Japan; [Ohshima, Kay I.] Hokkaido Univ, Inst Low Temp Sci, Sapporo, Hokkaido 060, Japan; [Tamura, Takeshi] Grad Univ Adv Studies, Dept Polar Sci, Tachikawa, Tokyo, Japan; [Tamura, Takeshi] Univ Tasmania, Antarctic Climate &amp; Ecosyst Cooperat Res Ctr, Hobart, Tas, Australia</t>
  </si>
  <si>
    <t>Research Organization of Information &amp; Systems (ROIS); National Institute of Polar Research (NIPR) - Japan; Niigata University; Hokkaido University; Graduate University for Advanced Studies - Japan; University of Tasmania; Antarctic Climate &amp; Ecosystems Cooperative Research Centre (ACE CRC)</t>
  </si>
  <si>
    <t>Iwamoto, K (corresponding author), Natl Inst Polar Res, Tachikawa, Tokyo, Japan.</t>
  </si>
  <si>
    <t>katsu@env.sc.niigata-u.ac.jp</t>
  </si>
  <si>
    <t>Ohshima, Kay I/D-6909-2012</t>
  </si>
  <si>
    <t>Ministry of Education, Culture, Sports, Science and Technology in Japan [20221001, 25241001]; Japan Aerospace Exploration Agency (JAXA); Grants-in-Aid for Scientific Research [22106010, 20221001, 26740007, 25241001] Funding Source: KAKEN</t>
  </si>
  <si>
    <t>Ministry of Education, Culture, Sports, Science and Technology in Japan(Ministry of Education, Culture, Sports, Science and Technology, Japan (MEXT)); Japan Aerospace Exploration Agency (JAXA); Grants-in-Aid for Scientific Research(Ministry of Education, Culture, Sports, Science and Technology, Japan (MEXT)Japan Society for the Promotion of ScienceGrants-in-Aid for Scientific Research (KAKENHI))</t>
  </si>
  <si>
    <t>The AMSR-E data were provided by the National Snow and Ice Data Center (NSIDC), University of Colorado. The MODIS data were obtained from NASA's Level 1 and Atmosphere Archive and Distribution System web site (LAADS Web; http://ladsweb.nascom.nasa.gov/). The ASAR data were provided by the European Space Agency (ESA). We thank Robert A. Massom for his critical reading of the manuscript. We also thank the editor Andrey Proshutinsky and two anonymous reviewers for their valuable comments on the manuscript. Thanks are extended to Sohey Nihashi, Motoyo Itoh, and Jinro Ukita for their helpful inputs. This work was supported by grants-in-aids for Scientific Research (20221001 and 25241001) and GRENE Arctic Climate Change Research Project of the Ministry of Education, Culture, Sports, Science and Technology in Japan, and by research fund for Global Change Observation Mission 1st-Water (GCOM-W1) of the Japan Aerospace Exploration Agency (JAXA).</t>
  </si>
  <si>
    <t>10.1002/2013JC009749</t>
  </si>
  <si>
    <t>WOS:000340414800020</t>
  </si>
  <si>
    <t>Saenz, BT; Arrigo, KR</t>
  </si>
  <si>
    <t>Saenz, Benjamin T.; Arrigo, Kevin R.</t>
  </si>
  <si>
    <t>Annual primary production in Antarctic sea ice during 2005-2006 from a sea ice state estimate</t>
  </si>
  <si>
    <t>KRILL EUPHAUSIA-SUPERBA; PACK-ICE; WEDDELL SEA; ROSS SEA; THICKNESS DISTRIBUTION; NUTRIENT LIMITATION; MICROBIAL COMMUNITIES; MICROALGAL BIOMASS; BIOOPTICAL MODEL; ALGAL COMMUNITY</t>
  </si>
  <si>
    <t>Using the data-bounded Sea Ice Ecosystem State (SIESTA) model, we estimate total Antarctic sea ice algal primary production to be 23.7 Tg C a(-1) for the period July 2005-June 2006, of which 80% occurred in the bottom 0.2 m of ice. Simulated sea ice primary production would constitute 12% of total annual primary production in the Antarctic sea ice zone, and similar to 1% of annual Southern Ocean primary production. Model sea ice algal growth was net nutrient limited, rather than light limited, for the vast majority of the sunlit season. The seasonal distribution of integrated ice algal biomass matches available observations. The vertical algal distribution was weighted toward the ice bottom compared to observations, indicating that interior ice algal communities may be under-predicted in the model, and that nutrient delivery via gravity-induced convection is not sufficient to sustain summertime algal biomass. Bottom ice algae were most productive in ice of 0.36 m thickness, whereas interior algal communities were most productive in ice of 1.10 m thickness. Sensitivity analyses that tested different atmospheric forcing inputs, sea ice parameterizations, and nutrient availability caused mean and regional shifts in sea ice state and ice algal production even when sea extent and motion was specified. The spatial heterogeneity of both ice state and algal production highlight the sensitivity of the sea ice ecosystem to physical perturbation, and demonstrate the importance of quality input data and appropriate parameterizations to models of sea ice and associated biology.</t>
  </si>
  <si>
    <t>[Saenz, Benjamin T.; Arrigo, Kevin R.] Stanford Univ, Dept Environm Earth Syst Sci, Stanford, CA 94305 USA; [Saenz, Benjamin T.] Univ Colorado, Boulder, CO 80309 USA</t>
  </si>
  <si>
    <t>Stanford University; University of Colorado System; University of Colorado Boulder</t>
  </si>
  <si>
    <t>Saenz, BT (corresponding author), Stanford Univ, Dept Environm Earth Syst Sci, Stanford, CA 94305 USA.</t>
  </si>
  <si>
    <t>saenz@colorado.edu</t>
  </si>
  <si>
    <t>Arrigo, Kevin/0000-0002-7364-876X</t>
  </si>
  <si>
    <t>NASA Earth System Science (ESS) Fellowship; NASA OES [NR-A04-OSE-02]</t>
  </si>
  <si>
    <t>NASA Earth System Science (ESS) Fellowship(National Aeronautics &amp; Space Administration (NASA)); NASA OES</t>
  </si>
  <si>
    <t>This work was made possible through a NASA Earth System Science (ESS) Fellowship to B. S., and NASA OES grant NR-A04-OSE-02 to K. A., with assistance from the Stanford School of Earth Sciences. Gert van Dijken provided invaluable scientific, technical, and programming advice. Special thanks to Sharon Stammerjohn and Matt Mazloff for guidance and generous use of data. Thanks to Steve Ackley and Ted Maksym for helpful advice and comments.</t>
  </si>
  <si>
    <t>10.1002/2013JC009677</t>
  </si>
  <si>
    <t>WOS:000340414800024</t>
  </si>
  <si>
    <t>Zhou, Q; Hattermann, T; Nost, OA; Biuw, M; Kovacs, KM; Lydersen, C</t>
  </si>
  <si>
    <t>Zhou, Q.; Hattermann, T.; Nost, O. A.; Biuw, M.; Kovacs, K. M.; Lydersen, C.</t>
  </si>
  <si>
    <t>Wind-driven spreading of fresh surface water beneath ice shelves in the Eastern Weddell Sea</t>
  </si>
  <si>
    <t>DRONNING MAUD LAND; EDDY TRANSFER; OCEAN; TRANSPORT; TOPOGRAPHY; EDDIES; MASSES; SYSTEM; SLOPE</t>
  </si>
  <si>
    <t>Solar heated, fresh Antarctic Surface Water (ASW) is a permanent feature along the Eastern Weddell Sea (EWS) coast in summer down to a depth of roughly 200 m. Recently, ASW has been observed beneath the Fimbul Ice Shelf, suggesting that it might play an important role in basal melting. We propose that wind-driven coastal downwelling is the main mechanism that spreads ASW beneath the ice shelf in this sector of Antarctica. We validate this hypothesis with observations, scaling analyses, and numerical modeling, along three principle lines: (i) data analyses of about 1500 salinity profiles collected by instrumented seals indicate that the observed freshening of the coastal water column is likely explained by the on-shore Ekman transport and subsequent downwelling of ASW; (ii) an analytical model of the coastal momentum balance indicates that wind-driven downwelling is capable of depressing the buoyant surface water to a depth similar to the ice shelf draft; and (iii) simulations from both idealized and regional eddy-resolving numerical ice shelf/ocean models support our proposition. Our main conclusion is that wind-driven spreading of ASW beneath the ice shelf occurs when downwelling exceeds the depth of the ice shelf base. Furthermore, our study adds to the understanding of the oceanic processes at the Antarctic Slope Front in the EWS, with possible implications for other sectors of Antarctica.</t>
  </si>
  <si>
    <t>[Zhou, Q.; Hattermann, T.; Nost, O. A.; Kovacs, K. M.; Lydersen, C.] Norwegian Polar Res Inst, Fram Ctr, Tromso, Norway; [Hattermann, T.; Nost, O. A.; Biuw, M.] Akvaplan Niva AS, Fram Ctr, Tromso, Norway; [Biuw, M.] Norsk Inst Nat Forskning, Fram Ctr, Tromso, Norway</t>
  </si>
  <si>
    <t>Norwegian Polar Institute; Akvaplan-niva; Norwegian Institute Nature Research</t>
  </si>
  <si>
    <t>Zhou, Q (corresponding author), Norwegian Polar Res Inst, Fram Ctr, Tromso, Norway.</t>
  </si>
  <si>
    <t>zhouqin007@hotmail.com</t>
  </si>
  <si>
    <t>Hattermann, Tore/0000-0002-5538-2267; Biuw, Martin/0000-0001-8051-3399; Nost, Ole Anders/0000-0002-6139-4088</t>
  </si>
  <si>
    <t>International Polar Year Project, MEOP (Marine Mammals Exploring the Oceans Pole to Pole), Norwegian Research Council; NORKLIMA project, Norwegian Research Council [229764/E10]</t>
  </si>
  <si>
    <t>International Polar Year Project, MEOP (Marine Mammals Exploring the Oceans Pole to Pole), Norwegian Research Council; NORKLIMA project, Norwegian Research Council</t>
  </si>
  <si>
    <t>This research was supported by the International Polar Year Project, MEOP (Marine Mammals Exploring the Oceans Pole to Pole) and by the NORKLIMA project 229764/E10, both are Norwegian Research Council Programmes.</t>
  </si>
  <si>
    <t>10.1002/2013JC009556</t>
  </si>
  <si>
    <t>WOS:000340414800033</t>
  </si>
  <si>
    <t>Menezes, VV; Vianna, ML; Phillips, HE</t>
  </si>
  <si>
    <t>Menezes, Viviane V.; Vianna, Marcio L.; Phillips, Helen E.</t>
  </si>
  <si>
    <t>Aquarius sea surface salinity in the South Indian Ocean: Revealing annual-period planetary waves</t>
  </si>
  <si>
    <t>COUPLED ROSSBY WAVES; INDONESIAN THROUGHFLOW; ATLANTIC; WATER; SMOS; TEMPERATURE; VARIABILITY; CIRCULATION; NORTH; SECTIONS</t>
  </si>
  <si>
    <t>A new milestone has been reached with the launch of two dedicated satellite missions to routinely measure the sea surface salinity (SSS) fields from space at global and regional scales. In the present work, a thorough analysis of the first 2 years of Aquarius SSS data in the South Indian Ocean is performed. This analysis is focused on three questions: How accurate is Aquarius SSS related to in situ data from the fresh Indonesian Throughflow and salty subtropical waters? Can Aquarius give a spatial context for the data measured by the RAMA mooring system? Are westward propagating annual-period signals described in recent model simulations reproduced by Aquarius-derived SSS? We find Aquarius observations to be highly correlated with those of Argo floats, with small disagreements occurring near oceanic fronts. Aquarius gives fresher SSS than in situ data in the tropical region due to rainfall effects, except in the eastern basin where the freshening seems to be related to sharp localized leakages of very fresh waters from the Indonesian seas that the Aquarius product is not able to properly resolve. Aquarius data are shown to reproduce quite well the annual cycle obtained from RAMA and Argo gridded data sets. The annual cycle in Aquarius is characterized by SSS propagating features with different characteristics west and east of the Ninety East Ridge. These features are strikingly different from sea surface height waves. Our results suggest that SSS annual propagation might be reflecting coupled ocean-atmosphere dynamics and surface-subsurface processes operating over the entire South Indian Ocean.</t>
  </si>
  <si>
    <t>[Menezes, Viviane V.] CSIRO UTAS Quantitat Marine Sci Program, Hobart, Tas, Australia; [Menezes, Viviane V.; Phillips, Helen E.] Univ Tasmania, Inst Marine &amp; Antarctic Studies, Hobart, Tas, Australia; [Menezes, Viviane V.; Phillips, Helen E.] ARC Ctr Excellence Climate Syst Sci, Hobart, Tas, Australia; [Vianna, Marcio L.] VM Ocean LTDA, Sao Paulo, Brazil</t>
  </si>
  <si>
    <t>Menezes, VV (corresponding author), CSIRO UTAS Quantitat Marine Sci Program, Hobart, Tas, Australia.</t>
  </si>
  <si>
    <t>vivianev@utas.edu.au</t>
  </si>
  <si>
    <t>Phillips, Helen/I-3761-2013; Menezes, Viviane/AAG-8235-2020</t>
  </si>
  <si>
    <t>Phillips, Helen/0000-0002-2941-7577; Menezes, Viviane/0000-0002-4885-2056; Vianna, Marcio/0000-0002-3616-7772</t>
  </si>
  <si>
    <t>NASA Earth Science MEaSUREs Program; CSIRO-UTAS QMS Scholarship; Australian International Postgraduate Research Scholarship (IPRS); NSF [OCE-091716]; Australian Research Council [DP130102088]</t>
  </si>
  <si>
    <t>NASA Earth Science MEaSUREs Program; CSIRO-UTAS QMS Scholarship; Australian International Postgraduate Research Scholarship (IPRS); NSF(National Science Foundation (NSF)); Australian Research Council(Australian Research Council)</t>
  </si>
  <si>
    <t>The Aquarius data set was obtained through the NASA/CONAE Aquarius/SAC-D Project. Argo data were made freely available by the Coriolis project and programmes that contributed to it. The altimeter product was produced by Ssalto/Duacs and distributed by AVISO with support from CNES. SSM/I and SSMIS data are produced by Remote Sensing Systems and sponsored by the NASA Earth Science MEaSUREs Program. Thanks to the TAO Project Office of NOAA/PMEL for the RAMA mooring data, the Giovanni(NASA/GES/DISC) online data system for the precipitation data set, and the Scripps Institution of Oceanography for the RG data set. We also thank Andreas Schiller for making available the OFAM3 model output. V. V. M is supported by a CSIRO-UTAS QMS Scholarship and an Australian International Postgraduate Research Scholarship (IPRS). H. E. P acknowledges the support from the NSF grant OCE-091716 and Australian Research Council grant DP130102088. The filtered and analyzed data used in the present study can be obtained directly from the authors.</t>
  </si>
  <si>
    <t>10.1002/2014JC009935</t>
  </si>
  <si>
    <t>WOS:000340414800037</t>
  </si>
  <si>
    <t>Grenier, M; Jeandel, C; Cravatte, S</t>
  </si>
  <si>
    <t>Grenier, Melanie; Jeandel, Catherine; Cravatte, Sophie</t>
  </si>
  <si>
    <t>From the subtropics to the equator in the Southwest Pacific: Continental material fluxes quantified using neodymium data along modeled thermocline water pathways</t>
  </si>
  <si>
    <t>PAPUA-NEW-GUINEA; RARE-EARTH-ELEMENTS; CIRCULATION MODEL; SEPIK RIVER; OCEAN; ISOTOPES; IRON; SEDIMENT; ATLANTIC; SEAWATER</t>
  </si>
  <si>
    <t>The southwestern tropical Pacific, part of a major pathway for waters feeding the Equatorial Undercurrent, is a region of important geochemical enrichment through land-ocean boundary exchange. Here we develop an original method based on the coupling between dynamical modeling and geochemical tracer data to identify regions of enrichment along the water pathways from the subtropics to the equator, and to allow a refined quantification of continental material fluxes. Neodymium data are interpreted with the help of modeled Lagrangian trajectories of an Ocean General Circulation Model. We reveal that upper and lower thermocline waters have different pathways together with different geochemical evolutions. The upper thermocline waters entering the Solomon Sea mainly originate from the central subtropical gyre, enter the Coral Sea in the North Vanuatu Jet and likely receive radiogenic neodymium from the basaltic island margins encountered along their route. The lower thermocline waters entering the Solomon Sea mainly originate from northeast of New Zealand and enter the Coral Sea in the North Caledonian Jet. Depletion of their neodymium content likely occurs when flowing along the Australian and Papua coasts. Downstream from the Solomon Sea, waters flowing along the Papua New Guinea margins near the Sepik river mouth become surprisingly depleted in their neodymium content in the upper thermocline while enriched in the lower thermocline. This coupled approach is proposed as strong support to interpret the origin of the equatorial Pacific natural fertilization through a better understanding of the circulation, important objectives of the international GEOTRACES and SPICE programs, respectively.</t>
  </si>
  <si>
    <t>[Grenier, Melanie; Jeandel, Catherine] Univ Toulouse, Ctr Natl Rech Sci, Ctr Natl Etud Spatiales, LEGOS,Inst Rech Dev, Toulouse, France; [Cravatte, Sophie] Ctr IRD Noumea, IRD, Noumea, New Caledonia</t>
  </si>
  <si>
    <t>Universite de Toulouse; Universite Toulouse III - Paul Sabatier; Centre National de la Recherche Scientifique (CNRS); Institut de Recherche pour le Developpement (IRD); Laboratoire d'Etudes en Geophysique et oceanographie spatiales; Institut de Recherche pour le Developpement (IRD)</t>
  </si>
  <si>
    <t>Grenier, M (corresponding author), Antarctic Climate &amp; Ecosyst CRC, IMAS Waterfront Bldg, Hobart, Tas, Australia.</t>
  </si>
  <si>
    <t>melanie.grenier@utas.edu.au</t>
  </si>
  <si>
    <t>Cravatte, Sophie/AAI-4635-2021; Cravatte, Sophie/J-7081-2016</t>
  </si>
  <si>
    <t>Cravatte, Sophie/0000-0002-2439-8952; Cravatte, Sophie/0000-0002-2439-8952; Grenier, Melanie/0000-0001-7278-6880</t>
  </si>
  <si>
    <t>National Science Foundation [NSF-OCE-0425721]; Agence Nationale de la Recherche [ANR-09-BLAN-0233-01]; INSU/LEFE project CYBER; INSU/LEFE project IDAO Solwara; INSU/LEFE project ISOFERIX; Agence Nationale de la Recherche (ANR) [ANR-09-BLAN-0233] Funding Source: Agence Nationale de la Recherche (ANR)</t>
  </si>
  <si>
    <t>National Science Foundation(National Science Foundation (NSF)); Agence Nationale de la Recherche(Agence Nationale de la Recherche (ANR)); INSU/LEFE project CYBER; INSU/LEFE project IDAO Solwara; INSU/LEFE project ISOFERIX; Agence Nationale de la Recherche (ANR)(Agence Nationale de la Recherche (ANR))</t>
  </si>
  <si>
    <t>William S. Kessler and Florent Gasparin are thanked for their fruitful scientific advice concerning the water mass pathways. The authors also want to thank William S. Kessler and Nicholas Hall for their English advice. Captains and crews of the R/V Kilo Moana and Alis, as well as the chief scientists of the EUC-Fe cruise, James W. Murray, and the FLUSEC cruise, Christophe Maes, are also greatly acknowledged. The chief scientist of the ISOFERIX project, Francois Lacan, is thanked. The authors also want to thank James W. Murray and Luc Beaufort for sharing sediment samples collected close to PNG coast, in the Bismarck Sea and in the Gulf of Papua, respectively. The DRAKKAR project is thanked for making the OGCM simulations available. The use of the ARIANE Lagrangian tool is acknowledged. The authors finally wish to thank Kazuyo Tachikawa and James W. Murray for very helpful scientific remarks, and two anonymous reviewers for comments that improved an earlier version of this manuscript. The geochemical data used in this manuscript are available upon request. This work is cofunded by the National Science Foundation (grant NSF-OCE-0425721), by the Agence Nationale de la Recherche (project ANR-09-BLAN-0233-01), and by INSU/LEFE projects CYBER, IDAO Solwara and ISOFERIX; it is a contribution to the GEOTRACES and CLIVAR/SPICE International programs (http://www.geotraces.org; http://www.clivar.org; http://www.solomonseaoceanography.org).</t>
  </si>
  <si>
    <t>10.1002/2013JC009670</t>
  </si>
  <si>
    <t>WOS:000340414800040</t>
  </si>
  <si>
    <t>Carter, BR; Talley, LD; Dickson, AG</t>
  </si>
  <si>
    <t>Carter, B. R.; Talley, L. D.; Dickson, A. G.</t>
  </si>
  <si>
    <t>Mixing and remineralization in waters detrained from the surface into Subantarctic Mode Water and Antarctic Intermediate Water in the southeastern Pacific</t>
  </si>
  <si>
    <t>ANTHROPOGENIC CO2; SEDIMENT TRAPS; SOUTHERN-OCEAN; REDFIELD RATIOS; MARINE PLANKTON; PARTICLE FLUXES; DENSITY; CARBON; OXYGEN; THERMOCLINE</t>
  </si>
  <si>
    <t>A hydrographic data set collected in the region and season of Subantarctic Mode Water and Antarctic Intermediate Water (SAMW and AAIW) formation in the southeastern Pacific allows us to estimate the preformed properties of surface water detrained into these water masses from deep mixed layers north of the Subantarctic Front and Antarctic Surface Water south of the front. Using 10 measured seawater properties, we estimate: the fractions of SAMW/AAIW that originate as surface source waters, as well as fractions that mix into these water masses from subtropical thermocline water above and Upper Circumpolar Deep Water below the subducted SAMW/AAIW; ages associated with the detrained surface water; and remineralization and dissolution rates and ratios. The mixing patterns imply that cabbeling can account for similar to 0.005-0.03 kg m(-3) of additional density in AAIW, and similar to 0-0.02 kg m(-3) in SAMW. We estimate a shallow depth (similar to 300-700 m, above the aragonite saturation horizon) calcium carbonate dissolution rate of 0.4 +/- 0.2 mmol CaCO3 kg(-1) yr(-1), a phosphate remineralization rate of 0.031 +/- 0.009 mu mol P kg(-1) yr(-1), and remineralization ratios of P:N:-O-2:C-org of 1:(15.5 +/- 0.6):(143 +/- 10):(104 +/- 22) for SAMW/AAIW. Our shallow depth calcium carbonate dissolution rate is comparable to previous estimates for our region. Our -O-2:P ratio is smaller than many global averages. Our model suggests neglecting diapycnal mixing of preformed phosphate has likely biased previous estimates of -O-2:P and C-org:P high, but that the C-org:P ratio bias may have been counteracted by a second bias in previous studies from neglecting anthropogenic carbon gradients.</t>
  </si>
  <si>
    <t>[Carter, B. R.; Talley, L. D.; Dickson, A. G.] Univ Calif San Diego, Scripps Inst Oceanog, La Jolla, CA 92093 USA</t>
  </si>
  <si>
    <t>Carter, BR (corresponding author), Princeton Univ, Princeton, NJ 08544 USA.</t>
  </si>
  <si>
    <t>brendan.carter@gmail.com</t>
  </si>
  <si>
    <t>Carter, Brendan/AAB-1327-2021; Dickson, Andrew Gilmore/HPE-2168-2023; Carter, Brendan/ABG-9706-2021</t>
  </si>
  <si>
    <t>Talley, Lynne/0000-0003-1574-729X; Carter, Brendan/0000-0003-2445-0711</t>
  </si>
  <si>
    <t>US National Science Foundation [OCE-07529172, OCE-0327544, ANT-1040957]; Los Angeles chapter of the ARCS Foundation; Directorate For Geosciences; Office of Polar Programs (OPP) [1040957] Funding Source: National Science Foundation; Division Of Ocean Sciences; Directorate For Geosciences [0752970] Funding Source: National Science Foundation</t>
  </si>
  <si>
    <t>US National Science Foundation(National Science Foundation (NSF)); Los Angeles chapter of the ARCS Foundation; Directorate For Geosciences; Office of Polar Programs (OPP)(National Science Foundation (NSF)NSF - Directorate for Geosciences (GEO)); Division Of Ocean Sciences; Directorate For Geosciences(National Science Foundation (NSF)NSF - Directorate for Geosciences (GEO))</t>
  </si>
  <si>
    <t>We thank the US National Science Foundation for research support (OCE-07529172, OCE-0327544, and ANT-1040957), as well as chief scientist T. Chereskin and the scientists and crew of the R/V Knorr responsible for the AAIW05 data set. B.R.C. also thanks the Los Angeles chapter of the ARCS Foundation for graduate student support. We also thank Daniele Iudicone and another anonymous reviewer who provided exceptionally detailed and insightful comments, helping us to greatly improve the quality and clarity of this manuscript.</t>
  </si>
  <si>
    <t>10.1002/2013JC009355</t>
  </si>
  <si>
    <t>WOS:000340414800043</t>
  </si>
  <si>
    <t>Walter, F; Chaput, J; Lüthi, MP</t>
  </si>
  <si>
    <t>Walter, Fabian; Chaput, Julien; Luethi, Martin P.</t>
  </si>
  <si>
    <t>Thick sediments beneath Greenland's ablation zone and their potential role in future ice sheet dynamics</t>
  </si>
  <si>
    <t>SUBGLACIAL TILL; RUSSELL GLACIER; STREAM; DRAINAGE; MELT; ACCELERATION; DEPTH; MOHO; FLOW; WEAK</t>
  </si>
  <si>
    <t>The geological nature of glacier beds plays a key role in ice sheet dynamics. Whereas little is known about Greenland's subglacial geology, the presence of basal sediments is a necessary condition for fast-flowing Antarctic ice streams. Such sediments sustain subglacial till layers, which if water saturated and under high pore-water pressure provide little resistance to ice flow. Using receiver function modeling of teleseismic P-waves, we report a thick (at least tens of meters) sediment layer beneath a site in Greenland's ablation zone, similar to 15 km away from the western ice sheet margin. Although we do not discuss the origin or detailed nature of these subglacial sediments, we suggest that they are capable of sustaining a till layer. Due to the prevalence of an inefficient, pressurized subglacial drainage system, this till layer would typically be under high pore pressures and fail at the shear stresses transmitted from the overlaying ice. Ice flow resistance is thus focused on regions where till is consolidated or absent, or where form drag over obstacles takes place. In contrast to Antarctica, Greenland's surface melt now affects practically all latitudes, and efficient hydraulic connections between ice sheet surface and bed are pervasive throughout the ablation zone. This implies that rapid, melt-induced changes in subglacial water pressure are possible. The time required for basal till strength to react to these changes depends on the till's properties. We estimate that formation and destruction of flow resistance can occur on time scales of less than a few years. This could lead to changes in ice flow that are currently difficult to predict.</t>
  </si>
  <si>
    <t>[Walter, Fabian; Chaput, Julien] Univ Grenoble 1, CNRS, Inst Sci Terre, F-38041 Grenoble 9, France; [Luethi, Martin P.] ETH, Lab Hydraul Hydrol &amp; Glaciol, CH-8093 Zurich, Switzerland</t>
  </si>
  <si>
    <t>Communaute Universite Grenoble Alpes; Universite Grenoble Alpes (UGA); Centre National de la Recherche Scientifique (CNRS); Institut de Recherche pour le Developpement (IRD); Universite Gustave-Eiffel; Universite Savoie Mont Blanc; Swiss Federal Institutes of Technology Domain; ETH Zurich</t>
  </si>
  <si>
    <t>Walter, F (corresponding author), Univ Grenoble 1, CNRS, Inst Sci Terre, BP 53, F-38041 Grenoble 9, France.</t>
  </si>
  <si>
    <t>Lüthi, Martin/AAA-3668-2021; Walter, Fabian/B-7490-2014</t>
  </si>
  <si>
    <t>Lüthi, Martin/0000-0003-4419-8496; Walter, Fabian/0000-0001-6952-2761</t>
  </si>
  <si>
    <t>Swiss National Science Foundation; Swiss Federal Institute of Technology [200021_127197 SNE-ETH, ETH-27 10-3]; European Union [FP7-PEOPLE-2011-IEF, 29919]; European Research Council [Adg 227507]</t>
  </si>
  <si>
    <t>Swiss National Science Foundation(Swiss National Science Foundation (SNSF)); Swiss Federal Institute of Technology; European Union(European Union (EU)); European Research Council(European Research Council (ERC))</t>
  </si>
  <si>
    <t>The Swiss National Science Foundation and Swiss Federal Institute of Technology provided financial support for seismic data collection (grants 200021_127197 SNE-ETH and ETH-27 10-3). Walter was funded by the European Union Seventh Framework Programme (grant FP7-PEOPLE-2011-IEF) under grant agreement 29919. We acknowledge the support of the European Research Council through the Advanced Grant Whisper (Adg 227507). We thank L. Andrews, S. Barman, G. Catania, G. Clarke, S. Hiemer, S. Husen, N. Iverson, M. Meier, K. Plenkers, C. Roosli, and C. Ryser for fruitful discussions and help in the field, as well as the Swiss Seismological Service for technical support. The comments of the editor Ellen Thomas and the careful reviews of Martin Truffer and two anonymous reviewers substantially improved the manuscript.</t>
  </si>
  <si>
    <t>10.1130/G35492.1</t>
  </si>
  <si>
    <t>AM6GI</t>
  </si>
  <si>
    <t>WOS:000339961100009</t>
  </si>
  <si>
    <t>Fukuda, W; Chino, Y; Araki, S; Kondo, Y; Imanaka, H; Kanai, T; Atomi, H; Imanaka, T</t>
  </si>
  <si>
    <t>Fukuda, Wakao; Chino, Yohzo; Araki, Shigeo; Kondo, Yuka; Imanaka, Hiroyuki; Kanai, Tamotsu; Atomi, Haruyuki; Imanaka, Tadayuki</t>
  </si>
  <si>
    <t>Polymorphobacter multimanifer gen. nov., sp nova, a polymorphic bacterium isolated from antarctic white rock</t>
  </si>
  <si>
    <t>PROSTHECOMICROBIUM; ALIGNMENT; LIFE</t>
  </si>
  <si>
    <t>A Gram-stain-negative, non-spore-forming, aerobic, oligotrophic bacterium (strain 262-7(T)) was isolated from a crack of white rock collected in the Skallen region of Antarctica. Strain 262-7(T) grew at temperatures between -4 and 30 degrees C, with optimal growth at 25 degrees C. The pH range for growth was between pH 6.0 and 9.0, with optimal growth at approximately pH 7.0. The NaCl concentration range allowing growth was between 0.0 and 1.0%, with an optimum of 0.5%. Strain 262-7(T) showed an unprecedented range of morphological diversity in response to growth conditions. Cells grown in liquid medium were circular or ovoid with smooth surfaces in the lag phase. In the exponential phase, ovoid cells With short projections were observed. Cells in the stationary phase possessed long tentacle-like projections intertwined intricately. By contrast, cells grown on agar plate medium or in liquid media containing organic compounds at low concentration exhibited short- and long-rod-shaped morphology. These projections and morphological variations clearly differ from those of previously described bacteria. Ubiquinone 10 was the major respiratory quinone. The major fatty acids were C-17:1 omega 6c (28.2%), C-16:1 omega 7c (22.6%), C-18:1 omega 7c (12.9%) and C(15:0)2-OH (12.3%). The G+C content of genomic DNA was 68.0 mol%. Carotenoids were detected from the cells. Comparative analyses of 16S rRNA gene sequences indicated that strain 262-7(T) belongs to the family Sphingomonadaceae, and that 262-7(T) should be distinguished from known genera in the family Sphingomonadaceae. According to the phylogenetic position, physiological characteristics and unique morphology variations, strain 262-7(T) should be classified as a representative of a novel genus of the family Sphingomonadaceae. Here, a novel genus and species with the name Polymorphobacter multimanifer gen. nov., sp. nov. is proposed (type strain 262-7(T)=JCM 18140(T)=ATCC BAA-2413(T)). The novel species was named after its morphological diversity and formation of unique projections.</t>
  </si>
  <si>
    <t>[Fukuda, Wakao; Chino, Yohzo; Araki, Shigeo; Imanaka, Tadayuki] Ritsumeikan Univ, Coll Life Sci, Dept Biotechnol, Kusatsu, Shiga 5258577, Japan; [Kondo, Yuka; Kanai, Tamotsu; Atomi, Haruyuki] Kyoto Univ, Dept Synthet Chem &amp; Biol Chem, Grad Sch Engn, Nishikyo Ku, Kyoto 6158510, Japan; [Imanaka, Hiroyuki] Okayama Univ, Dept Biosci &amp; Biotechnol, Fac Engn, Kita Ku, Okayama 7008530, Japan</t>
  </si>
  <si>
    <t>Ritsumeikan University; Kyoto University; Okayama University</t>
  </si>
  <si>
    <t>Imanaka, T (corresponding author), Ritsumeikan Univ, Coll Life Sci, Dept Biotechnol, 1-1-1 Nojihigashi, Kusatsu, Shiga 5258577, Japan.</t>
  </si>
  <si>
    <t>imanaka@sk.ritsumei.ac.jp</t>
  </si>
  <si>
    <t>Kanai, Tamotsu/I-5842-2012; Imanaka, Hiroyuki/J-5579-2015</t>
  </si>
  <si>
    <t>Kanai, Tamotsu/0000-0003-3537-2114; Atomi, Haruyuki/0000-0001-9687-6426</t>
  </si>
  <si>
    <t>JSPS KAKENHI [19205022, 23657068]; Grants-in-Aid for Scientific Research [19205022, 23657068] Funding Source: KAKEN</t>
  </si>
  <si>
    <t>The authors would like to express their sincere thanks to all members of the 46th Japanese Antarctic Research Expedition. This study was supported by JSPS KAKENHI (19205022 and 23657068).</t>
  </si>
  <si>
    <t>MICROBIOLOGY SOC</t>
  </si>
  <si>
    <t>CHARLES DARWIN HOUSE, 12 ROGER ST, LONDON WC1N 2JU, ERKS, ENGLAND</t>
  </si>
  <si>
    <t>10.1099/ijs.0.050005-0</t>
  </si>
  <si>
    <t>AM7BH</t>
  </si>
  <si>
    <t>WOS:000340019200031</t>
  </si>
  <si>
    <t>Dyson, PL; Cole, DJ</t>
  </si>
  <si>
    <t>Dyson, Peter L.; Cole, David J.</t>
  </si>
  <si>
    <t>Keith David Cole 1929-2010</t>
  </si>
  <si>
    <t>HISTORICAL RECORDS OF AUSTRALIAN SCIENCE</t>
  </si>
  <si>
    <t>Biographical-Item</t>
  </si>
  <si>
    <t>Keith Cole grew up in Cairns, attended the local high school, and became the first in his family to attend university. Trained in physics and mathematics, he taught in secondary schools before joining the 1956 Australian National Antarctic Research Expedition to Macquarie Island as Auroral Physicist. This was the start of his lifelong career in space physics, exploring primarily the space environment of the Earth. He had a remarkable ability to identify the important physical processes underlying many phenomena, often when only limited data or observations were available. Thus early in his career he correctly explained several puzzling phenomena, particularly in the ionosphere and thermosphere, and quickly established himself as a leader in space physics, a position he maintained throughout his career. He also made very significant contributions as an educator (he was a Foundation Professor of Physics at La Trobe University) and through leadership positions in national and international science organizations.</t>
  </si>
  <si>
    <t>[Dyson, Peter L.] La Trobe Univ, Dept Phys, Bundoora, Vic 3086, Australia; [Cole, David J.] Aon Risk Serv Australia Ltd, Melbourne, Vic 3000, Australia</t>
  </si>
  <si>
    <t>La Trobe University; Melbourne Genomics Health Alliance</t>
  </si>
  <si>
    <t>Dyson, PL (corresponding author), La Trobe Univ, Dept Phys, Bundoora, Vic 3086, Australia.</t>
  </si>
  <si>
    <t>p.dyson@latrobe.edu.au</t>
  </si>
  <si>
    <t>CSIRO PUBLISHING</t>
  </si>
  <si>
    <t>COLLINGWOOD</t>
  </si>
  <si>
    <t>150 OXFORD ST, PO BOX 1139, COLLINGWOOD, VICTORIA 3066, AUSTRALIA</t>
  </si>
  <si>
    <t>0727-3061</t>
  </si>
  <si>
    <t>1448-5508</t>
  </si>
  <si>
    <t>HIST REC AUST SCI</t>
  </si>
  <si>
    <t>Hist. Rec. Aust. Sci.</t>
  </si>
  <si>
    <t>10.1071/HR14008</t>
  </si>
  <si>
    <t>History &amp; Philosophy Of Science</t>
  </si>
  <si>
    <t>History &amp; Philosophy of Science</t>
  </si>
  <si>
    <t>AM3NO</t>
  </si>
  <si>
    <t>WOS:000339759700006</t>
  </si>
  <si>
    <t>Shortis, E</t>
  </si>
  <si>
    <t>Shortis, Emma</t>
  </si>
  <si>
    <t>Australia and the Antarctic Treaty System: 50 Years of Influence</t>
  </si>
  <si>
    <t>[Shortis, Emma] Univ Melbourne, Sch Hist &amp; Philosoph Studies, Melbourne, Vic 3010, Australia</t>
  </si>
  <si>
    <t>University of Melbourne; Melbourne Bioinformatics</t>
  </si>
  <si>
    <t>Shortis, E (corresponding author), Univ Melbourne, Sch Hist &amp; Philosoph Studies, Melbourne, Vic 3010, Australia.</t>
  </si>
  <si>
    <t>WOS:000339759700011</t>
  </si>
  <si>
    <t>Raulin, JP; Trottet, G; de Castro, CGG; Correia, E; Macotela, EL</t>
  </si>
  <si>
    <t>Raulin, Jean-Pierre; Trottet, Gerard; Guillermo Gimenez de Castro, C.; Correia, Emilia; Liliana Macotela, E.</t>
  </si>
  <si>
    <t>Nighttime sensitivity of ionospheric VLF measurements to X-ray bursts from a remote cosmic source</t>
  </si>
  <si>
    <t>SOLAR-FLARES; MAGNETAR; ENERGY</t>
  </si>
  <si>
    <t>On 22 January 2009, a series of X-ray bursts were emitted by the soft gamma ray repeater SGR J1550-5418. Some of these bursts produced enhanced ionization in the nighttime lower ionosphere. These ionospheric disturbances were studied using X-ray measurements from the Anti-Coincidence Shield of the Spectrometer for Integral onboard the International Gamma-Ray Astrophysics Laboratory and simultaneous phase and amplitude records from two VLF propagation paths between the transmitter Naval Radio Station, Pearl Harbor (Hawaii) and the receivers Radio Observatorio do Itapetinga (Brazil) and Estacao Antarctica Commandante Ferraz (Antarctic Peninsula). The VLF measurements have been obtained with an unprecedented high time resolution of 20 ms. We find that the illumination factor I (illuminated path length times the cosine of the zenith angle), which characterizes the propagation paths underlying the flaring object, is a key parameter which determines the sensitivity threshold of the VLF detection of X-ray bursts from nonsolar transients. For the present VLF measurements of bursts from SGR J1550-5418, it is found that for I &gt;= 1.8Mm, all X-ray bursts with fluence in the 25 keV to 2MeV range larger than F-25_min similar to 1.0x10(-6) erg/cm(2) produce a measurable ionospheric disturbance. Such a lower limit of the X-ray fluence value indicates that moderate X-ray bursts, as opposed to giant X-ray bursts, do produce ionospheric disturbances larger than the sensitivity limit of the VLF technique. Therefore, the frequency of detection of such events could be improved, for example by increasing the coverage of existing VLF receiving networks. The VLF detection of high-energy astrophysical bursts then appears as an important observational diagnostic to complement their detection in space. This would be especially important when space observations suffer from adverse conditions, like saturation, occultation from the Earth, or the passage of the spacecraft through the South Atlantic anomaly.</t>
  </si>
  <si>
    <t>[Raulin, Jean-Pierre; Guillermo Gimenez de Castro, C.; Correia, Emilia; Liliana Macotela, E.] Univ Presbiteriana Mackenzie, CRAAM, Sao Paulo, Brazil; [Trottet, Gerard] Observ Paris, Meudon, France; [Correia, Emilia] INPE, Sao Jose Dos Campos, Brazil</t>
  </si>
  <si>
    <t>Universidade Presbiteriana Mackenzie; Universite PSL; Observatoire de Paris; Instituto Nacional de Pesquisas Espaciais (INPE)</t>
  </si>
  <si>
    <t>Raulin, JP (corresponding author), Univ Presbiteriana Mackenzie, CRAAM, Sao Paulo, Brazil.</t>
  </si>
  <si>
    <t>raulin@craam.mackenzie.br</t>
  </si>
  <si>
    <t>Raulin, Jean-Pierre/A-4109-2015; de Castro, Carlos Guillermo Gimenez/X-3544-2019; Correia, Emilia/F-6802-2012</t>
  </si>
  <si>
    <t>Raulin, Jean-Pierre/0000-0002-7501-3231; de Castro, Carlos Guillermo Gimenez/0000-0002-8979-3582; Correia, Emilia/0000-0003-4778-3834; Macotela, Liliana/0000-0003-3076-1946</t>
  </si>
  <si>
    <t>agency CNPq [proc. 305655/2010-8]; agency FAPESP [procs. 2006/02979-0, 2011/24117-9]; CNPq agency; CNRS agency [proc. 490444/2010-5]; CNPq/PROANTAR [proc. 0520186/06-0, 556872/2009-6, 374956/2010-3, 374958/2010-6, 374957/2010-0]; INCT-APA (Instituto Nacional de Ciencia e Tecnologia Antartico de Pesquisas Ambientais, CNPq) [proc.574018/2008-5]; INCT-APA (Instituto Nacional de Ciencia e Tecnologia Antartico de Pesquisas Ambientais, FAPERJ) [proc. E-16/170.023/2008]; Fundacao de Amparo a Pesquisa do Estado de Sao Paulo (FAPESP) [11/24117-9, 06/02979-0] Funding Source: FAPESP</t>
  </si>
  <si>
    <t>agency CNPq(Conselho Nacional de Desenvolvimento Cientifico e Tecnologico (CNPQ)); agency FAPESP; CNPq agency(Conselho Nacional de Desenvolvimento Cientifico e Tecnologico (CNPQ)); CNRS agency; CNPq/PROANTAR(Conselho Nacional de Desenvolvimento Cientifico e Tecnologico (CNPQ)); INCT-APA (Instituto Nacional de Ciencia e Tecnologia Antartico de Pesquisas Ambientais, CNPq)(Conselho Nacional de Desenvolvimento Cientifico e Tecnologico (CNPQ)); INCT-APA (Instituto Nacional de Ciencia e Tecnologia Antartico de Pesquisas Ambientais, FAPERJ)(Fundacao Carlos Chagas Filho de Amparo a Pesquisa do Estado do Rio De Janeiro (FAPERJ)); Fundacao de Amparo a Pesquisa do Estado de Sao Paulo (FAPESP)(Fundacao de Amparo a Pesquisa do Estado de Sao Paulo (FAPESP))</t>
  </si>
  <si>
    <t>J.P.R. would like to thank funding agencies CNPq (proc. 305655/2010-8) and FAPESP (procs. 2006/02979-0 and 2011/24117-9). G. T. thanks CNPq and CNRS funding agencies (proc. 490444/2010-5). E. C. thanks CNPq/PROANTAR (proc. 0520186/06-0, 556872/2009-6, 374956/2010-3, 374958/2010-6, and 374957/2010-0) and INCT-APA (Instituto Nacional de Ciencia e Tecnologia Antartico de Pesquisas Ambientais, CNPq proc.574018/2008-5 and FAPERJ proc. E-16/170.023/2008). The authors thank two anonymous referees for valuable comments.</t>
  </si>
  <si>
    <t>10.1002/2013JA019670</t>
  </si>
  <si>
    <t>AM2VZ</t>
  </si>
  <si>
    <t>WOS:000339710300044</t>
  </si>
  <si>
    <t>Vyazilova, NA; Vyazilova, AE</t>
  </si>
  <si>
    <t>Vyazilova, N. A.; Vyazilova, A. E.</t>
  </si>
  <si>
    <t>Storm cyclones in the North Atlantic</t>
  </si>
  <si>
    <t>RUSSIAN METEOROLOGY AND HYDROLOGY</t>
  </si>
  <si>
    <t>Considered are long-term features and characteristics of storm activity variability in the North Atlantic based on the method of automatic identification of cyclone centers using the data on sea level pressure as well as the estimates of the maximum speed of the surface wind in the area of cyclones. Integral regional parameters of the variability of storm cyclone frequency for the gradations of the surface wind speed are presented for some areas of the North Atlantic. Investigated is the interrelation between extremely deep and storm cyclones.</t>
  </si>
  <si>
    <t>[Vyazilova, N. A.] All Russian Res Inst Hydrometeorol Informat, World Data Ctr, Obninsk 249035, Kaluga Oblast, Russia; [Vyazilova, A. E.] Arctic &amp; Antarctic Res Inst, St Petersburg 199397, Russia</t>
  </si>
  <si>
    <t>Vyazilova, NA (corresponding author), All Russian Res Inst Hydrometeorol Informat, World Data Ctr, Ul Koroleva 6, Obninsk 249035, Kaluga Oblast, Russia.</t>
  </si>
  <si>
    <t>nav@meteo.ru</t>
  </si>
  <si>
    <t>Vyazilova, Anastasia/AAO-5568-2020</t>
  </si>
  <si>
    <t>Vyazilova, Anastasia/0000-0001-5657-7309</t>
  </si>
  <si>
    <t>ALLERTON PRESS INC</t>
  </si>
  <si>
    <t>18 WEST 27TH ST, NEW YORK, NY 10001 USA</t>
  </si>
  <si>
    <t>1068-3739</t>
  </si>
  <si>
    <t>1934-8096</t>
  </si>
  <si>
    <t>RUSS METEOROL HYDRO+</t>
  </si>
  <si>
    <t>Russ. Meteorol. Hydrol.</t>
  </si>
  <si>
    <t>10.3103/S1068373914060028</t>
  </si>
  <si>
    <t>AM5LJ</t>
  </si>
  <si>
    <t>WOS:000339899800002</t>
  </si>
  <si>
    <t>D'Amico, VL; Bertellotti, M; Díaz, JI; Coria, N; Vidal, V; Barbosa, A</t>
  </si>
  <si>
    <t>D'Amico, Veronica L.; Bertellotti, Marcelo; Diaz, Julia I.; Coria, Nestor; Vidal, Virginia; Barbosa, Andres</t>
  </si>
  <si>
    <t>LEUCOCYTE LEVELS IN SOME ANTARCTIC AND NON-ANTARCTIC PENGUINS</t>
  </si>
  <si>
    <t>ARDEOLA-INTERNATIONAL JOURNAL OF ORNITHOLOGY</t>
  </si>
  <si>
    <t>IMMUNE DEFENSE; PYGOSCELIS-PAPUA; LIFE-HISTORY; CLIMATE; HETEROPHIL; HELMINTHS; STRESS</t>
  </si>
  <si>
    <t>We studied leucocyte levels in several Antarctic and non-Antarctic penguins. A total. of 107 blood samples of chinstrap Pygoscelis antarctica, gentoo P. papua and Adelie P. adeliae penguins at Isla 25 de Mayo/King George Island (South Shetland Islands, Antarctica) and Magellanic penguins Spheniscus magellanicus at Peninsula Valdes (Chubut, Argentina), were collected and analysed during the 2009-2010 breeding season. We observed that chinstrap and Adelie penguins had lower total leucocyte counts than Magellanic and gentoo penguins. We provide some potential explanations for species differences in leucocyte levels.</t>
  </si>
  <si>
    <t>[D'Amico, Veronica L.; Bertellotti, Marcelo] Ctr Nacl Patagonico CONICET, RA-9120 Puerto Mairyn, Chubut, Argentina; [Diaz, Julia I.] Ctr Estudios Parasitol &amp; Vectores CCT La Plata CO, RA-1900 La Plata, Buenos Aires, Argentina; [Coria, Nestor] Direcc Nacl Antart, Inst Antart Argentino, RA-1010 Buenos Aires, DF, Argentina; [Vidal, Virginia] Univ Murcia, Fac Vet, Dept Sanidad Anim, E-30100 Murcia, Spain; [Vidal, Virginia] Univ Murcia, CSIC, Unidad Asociada Ecol Inmunol Parasitaria, E-30100 Murcia, Spain; [Barbosa, Andres] Museo Nacl Ciencias Nat CSIC, Dept Ecol Evolut, Madrid 28006, Spain</t>
  </si>
  <si>
    <t>Centro Nacional Patagonico (CENPAT); Consejo Nacional de Investigaciones Cientificas y Tecnicas (CONICET); Instituto Antartico Argentino; University of Murcia; Consejo Superior de Investigaciones Cientificas (CSIC); University of Murcia; Consejo Superior de Investigaciones Cientificas (CSIC); CSIC - Museo Nacional de Ciencias Naturales (MNCN)</t>
  </si>
  <si>
    <t>D'Amico, VL (corresponding author), Ctr Nacl Patagonico CONICET, Bvrd Brown 2915, RA-9120 Puerto Mairyn, Chubut, Argentina.</t>
  </si>
  <si>
    <t>damico@cenpat.edu.ar</t>
  </si>
  <si>
    <t>Bertellotti, Marcelo/I-6200-2019; Barbosa, Andrés/C-3208-2008; Bertellotti, Marcelo/GQZ-7950-2022</t>
  </si>
  <si>
    <t>Bertellotti, Marcelo/0000-0002-1834-7788; Barbosa, Andrés/0000-0001-8434-3649;</t>
  </si>
  <si>
    <t>SOC ESPANOLA ORNITOLGIA</t>
  </si>
  <si>
    <t>MADRID</t>
  </si>
  <si>
    <t>MELQUIADAS BIENCINTO 34, E-28053 MADRID, SPAIN</t>
  </si>
  <si>
    <t>0570-7358</t>
  </si>
  <si>
    <t>2341-0825</t>
  </si>
  <si>
    <t>ARDEOLA</t>
  </si>
  <si>
    <t>Ardeola</t>
  </si>
  <si>
    <t>10.13157/arla.61.1.2014.145</t>
  </si>
  <si>
    <t>AK9LU</t>
  </si>
  <si>
    <t>WOS:000338749400012</t>
  </si>
  <si>
    <t>Park, I; Cho, J</t>
  </si>
  <si>
    <t>Park, Inkyung; Cho, Jaiesoon</t>
  </si>
  <si>
    <t>Production of Immobilized Paenibacillus sp KIJ1 Xylanase Using Eudragit L-100 as a Potential Feed Additive</t>
  </si>
  <si>
    <t>PHILIPPINE AGRICULTURAL SCIENTIST</t>
  </si>
  <si>
    <t>Antarctic; feed; immobilization; Paenibacillus sp.; xylanase</t>
  </si>
  <si>
    <t>BROILER-CHICKENS; COVALENT IMMOBILIZATION; EXOGENOUS ENZYMES; DEGRADING ENZYMES; WHEAT PENTOSANS; ALPHA-AMYLASE; PURIFICATION; PERFORMANCE; STABILITY; TRYPSIN</t>
  </si>
  <si>
    <t>Partially purified xylanase from the Antarctic Paenibacillus sp. KIJ1 was non-covalently immobilized on Eudragit L-100 reversible soluble-insoluble enteric polymer. A maximal immobilization efficiency of 0.87 was obtained with final substrate concentration of 1.8% xylan at pH 6.0 and 50 degrees C. The optimum pH of the immobilized and free KIJ1 xylanase was 5.5 and 8.0-8.5, respectively, whereas both free and immobilized enzymes had an optimum temperature of activity at 50-60 degrees C. The immobilized KIJ1 xylanase could be repeatedly used in three consecutive cycles where the preparation was assayed at 50 degrees C with 1.8% xylan in 50 mM sodium phosphate (pH 6.0). The immobilized KIJ1 xylanase showed good storage stability at 25 degrees C, retaining 60% of its initial activity even after 60 d at this temperature, while the free enzyme activity declined to 40%. Immobilization of xylanase from Paenibacillus sp. KIJ1 on Eudragit L-100 may be a potential tool to address the nutritional disorder of birds caused by nonstarch polysaccharide in feed.</t>
  </si>
  <si>
    <t>[Park, Inkyung; Cho, Jaiesoon] Konkuk Univ, Dept Anim Sci &amp; Technol, Coll Anim Biosci &amp; Technol, Seoul 143701, South Korea</t>
  </si>
  <si>
    <t>Cho, J (corresponding author), Konkuk Univ, Dept Anim Sci &amp; Technol, Coll Anim Biosci &amp; Technol, 120 Neungdong Ro, Seoul 143701, South Korea.</t>
  </si>
  <si>
    <t>UNIV PHILIPPINES LOS BANOS</t>
  </si>
  <si>
    <t>LAGUNA</t>
  </si>
  <si>
    <t>COLLEGE AGRICULTURE, LAGUNA 4031, PHILIPPINES</t>
  </si>
  <si>
    <t>0031-7454</t>
  </si>
  <si>
    <t>PHILIPP AGRIC SCI</t>
  </si>
  <si>
    <t>Philipp. Agric. Sci.</t>
  </si>
  <si>
    <t>Agriculture, Multidisciplinary</t>
  </si>
  <si>
    <t>AK9NT</t>
  </si>
  <si>
    <t>WOS:000338754500003</t>
  </si>
  <si>
    <t>Souto, V; Escolar, M; Genzano, G; Bremec, C</t>
  </si>
  <si>
    <t>Souto, Valeria; Escolar, Mariana; Genzano, Gabriel; Bremec, Claudia</t>
  </si>
  <si>
    <t>Species richness and distribution patterns of echinoderms in the southwestern Atlantic Ocean (34-56°S)</t>
  </si>
  <si>
    <t>SCIENTIA MARINA</t>
  </si>
  <si>
    <t>biodiversity; biogeography; distribution patterns; echinoderm; species richness; southwestern Atlantic</t>
  </si>
  <si>
    <t>SOUTHEASTERN PACIFIC; DIVERSITY GRADIENTS; MARINE BIODIVERSITY; COMMUNITY STRUCTURE; POLAR BRYOZOANS; SIZE STRUCTURE; CHILEAN COAST; BRITTLE STARS; ROSS SEA; BIOGEOGRAPHY</t>
  </si>
  <si>
    <t>The aim of this study was to compile and analyse available historical information on echinoderms in the southwestern Atlantic Ocean in order to make a synthesis of present taxonomical knowledge, to identify patterns of geographical distribution of echinoderm assemblages and to test the validity of the current zoogeographic scheme for this group. This study was conducted on the Argentinean continental shelf, southwestern Atlantic Ocean (34-56 degrees S). An intensive research on geo-referenced data was carried out to make a knowledge synthesis on echinoderm species and thus create a historical database. Multivariate analysis was used to analyse the faunal composition through latitudinal and bathymetric gradients as well as echinoderm associations. The results confirmed the existence of two faunal associations that correspond to the traditional zoogeographic scheme established for the Argentine Sea: the Argentinean and Magellan Provinces. The Argentinean Province had 46 widely distributed species. Of the 86 species recorded in the Magellan Province, a high percentage (25%) were also found in Antarctic waters, suggesting a strong connection between the echinoderm fauna of this province and the Antarctic Region. The species richness between 34 and 56 degrees S in the Atlantic Ocean showed a significant increase in reference to latitude, with the highest values being recorded between 46 and 56 degrees S. In view of the high percentage of shared species with Antarctica, considered a hot-spot region in terms of echinoderm diversity, the pattern of distribution of species richness observed in our study area could correspond to a dispersion of this species from Antarctic to sub-Antarctic regions.</t>
  </si>
  <si>
    <t>[Souto, Valeria; Genzano, Gabriel; Bremec, Claudia] Inst Invest Marinas &amp; Costeras CONICET UNMdP, CONICET, Buenos Aires, DF, Argentina; [Souto, Valeria; Escolar, Mariana; Bremec, Claudia] Inst Nacl Invest &amp; Desarrollo Pesquero INIDEP, Mar Del Plata, Buenos Aires, Argentina</t>
  </si>
  <si>
    <t>Consejo Nacional de Investigaciones Cientificas y Tecnicas (CONICET); Consejo Nacional de Investigaciones Cientificas y Tecnicas (CONICET); National Fisheries Research &amp; Development Institute (INIDEP)</t>
  </si>
  <si>
    <t>Souto, V (corresponding author), Inst Invest Marinas &amp; Costeras CONICET UNMdP, CONICET, Rivadavia 1917,1033AAj, Buenos Aires, DF, Argentina.</t>
  </si>
  <si>
    <t>valeriasouto@inidep.edu.ar</t>
  </si>
  <si>
    <t>PICT [2007-02200]; EXA-UNMdP [546]; CONICET</t>
  </si>
  <si>
    <t>PICT(ANPCyT); EXA-UNMdP; CONICET(Consejo Nacional de Investigaciones Cientificas y Tecnicas (CONICET))</t>
  </si>
  <si>
    <t>We are grateful to Dr. Ana Roux for providing data collected during the cruises of FV Shinkai Maru (1978-1979). This is INIDEP Contribution No 1862. Financial support was received from PICT 2007-02200 and EXA-UNMdP 546. V.S. is supported by a CONICET Doctoral Fellowship.</t>
  </si>
  <si>
    <t>INST CIENCIAS MAR BARCELONA</t>
  </si>
  <si>
    <t>BARCELONA</t>
  </si>
  <si>
    <t>PG MARITIM DE LA BARCELONETA, 37-49, 08003 BARCELONA, SPAIN</t>
  </si>
  <si>
    <t>0214-8358</t>
  </si>
  <si>
    <t>1886-8134</t>
  </si>
  <si>
    <t>SCI MAR</t>
  </si>
  <si>
    <t>Sci. Mar.</t>
  </si>
  <si>
    <t>10.3989/scimar.03882.26B</t>
  </si>
  <si>
    <t>AK8UG</t>
  </si>
  <si>
    <t>WOS:000338703400013</t>
  </si>
  <si>
    <t>Wynn-Edwards, C; King, R; Davidson, A; Wright, S; Nichols, PD; Wotherspoon, S; Kawaguchi, S; Virtue, P</t>
  </si>
  <si>
    <t>Wynn-Edwards, Cathryn; King, Rob; Davidson, Andrew; Wright, Simon; Nichols, Peter D.; Wotherspoon, Simon; Kawaguchi, So; Virtue, Patti</t>
  </si>
  <si>
    <t>Species-Specific Variations in the Nutritional Quality of Southern Ocean Phytoplankton in Response to Elevated pCO2</t>
  </si>
  <si>
    <t>WATER</t>
  </si>
  <si>
    <t>Antarctic phytoplankton; biochemical changes; polyunsaturated fatty acids; nutritional quality; ocean acidification</t>
  </si>
  <si>
    <t>ELEMENTAL COMPOSITION; CO2 CONCENTRATION; MARINE-PHYTOPLANKTON; CARBON-DIOXIDE; RISING CO2; ACIDIFICATION; ACID; NUTRIENT; SEAWATER; GROWTH</t>
  </si>
  <si>
    <t>Increased seawater pCO(2) has the potential to alter phytoplankton biochemistry, which in turn may negatively affect the nutritional quality of phytoplankton as food for grazers. Our aim was to identify how Antarctic phytoplankton, Pyramimonas gelidicola, Phaeocystis antarctica, and Gymnodinium sp., respond to increased pCO(2). Cultures were maintained in a continuous culture setup to ensure stable CO2 concentrations. Cells were subjected to a range of pCO(2) from ambient to 993 mu atm. We measured phytoplankton response in terms of cell size, cellular carbohydrate content, and elemental, pigment and fatty acid composition and content. We observed few changes in phytoplankton biochemistry with increasing CO2 concentration which were species-specific and predominantly included differences in the fatty acid composition. The C:N ratio was unaffected by CO2 concentration in the three species, while carbohydrate content decreased in Pyramimonas gelidicola, but increased in Phaeocystis antarctica. We found a significant reduction in the content of nutritionally important polyunsaturated fatty acids in Pyramimonas gelidicola cultures under high CO2 treatment, while cellular levels of the polyunsaturated fatty acid 20: 5 omega 3, EPA, in Gymnodinium sp. increased. These changes in fatty acid profile could affect the nutritional quality of phytoplankton as food for grazers, however, further research is needed to identify the mechanisms for the observed species-specific changes and to improve our ability to extrapolate laboratory-based experiments on individual species to natural communities.</t>
  </si>
  <si>
    <t>[Wynn-Edwards, Cathryn; Davidson, Andrew; Wright, Simon; Wotherspoon, Simon; Kawaguchi, So; Virtue, Patti] Univ Tasmania, Inst Marine &amp; Antarctic Studies, Hobart, Tas 7001, Australia; [Wynn-Edwards, Cathryn; Davidson, Andrew; Wright, Simon; Nichols, Peter D.; Kawaguchi, So; Virtue, Patti] Univ Tasmania, Antarctic Climate &amp; Ecosyst Cooperat Res Ctr, Hobart, Tas 7001, Australia; [Wynn-Edwards, Cathryn; Nichols, Peter D.] CSIRO Wealth Oceans Flagship, Div Marine &amp; Atmospher Res, Hobart, Tas 7000, Australia; [Wynn-Edwards, Cathryn; King, Rob; Davidson, Andrew; Wright, Simon; Wotherspoon, Simon; Kawaguchi, So] Australian Antarctic Div, Kingston, Tas 7050, Australia</t>
  </si>
  <si>
    <t>University of Tasmania; University of Tasmania; Antarctic Climate &amp; Ecosystems Cooperative Research Centre (ACE CRC); Commonwealth Scientific &amp; Industrial Research Organisation (CSIRO); Australian Antarctic Division</t>
  </si>
  <si>
    <t>Wynn-Edwards, C (corresponding author), Univ Tasmania, Inst Marine &amp; Antarctic Studies, Private Bag 129, Hobart, Tas 7001, Australia.</t>
  </si>
  <si>
    <t>cathryn@wynn-edwards.com; Rob.King@aad.gov.au; Andrew.Davidson@aad.gov.au; Simon.Wright@aad.gov.au; Peter.Nichols@csiro.au; Simon.Wotherspoon@utas.edu.au; So.Kawaguchi@aad.gov.au; P.Virtue@utas.edu.au</t>
  </si>
  <si>
    <t>Nichols, Peter D/C-5128-2011; Wotherspoon, Simon J/B-2390-2013; Kawaguchi, So/N-1795-2017</t>
  </si>
  <si>
    <t>Wotherspoon, Simon J/0000-0002-6947-4445; King, Robert/0000-0002-4650-2335; Virtue, Patti/0000-0002-9870-1256; Wynn-Edwards, Cathryn/0000-0001-9078-0394; Kawaguchi, So/0000-0002-2042-5095</t>
  </si>
  <si>
    <t>Endeavour International Postgraduate Research scholarship at UTAS; CSIRO Wealth from Oceans top-up scholarship; Holsworth Wildlife Research Endowment [V0018333]; Australian Antarctic Science Program [4037, 4026]</t>
  </si>
  <si>
    <t>Endeavour International Postgraduate Research scholarship at UTAS; CSIRO Wealth from Oceans top-up scholarship; Holsworth Wildlife Research Endowment; Australian Antarctic Science Program</t>
  </si>
  <si>
    <t>We thank Tasha Waller for technical support and guidance, Rick van den Enden for technical support in preparation and imaging of microalgal samples with FESEM and Dan Holdsworth for managing the CSIRO GC and GC-MS facility. We thank the staff at the Australian Antarctic Division Workshop for constructing integral parts of the continuous culture system. We thank Philip Boyd for valuable feedback on an earlier draft, and three anonymous journal reviewers for their valuable and helpful comments. C Wynn-Edwards was supported by an Endeavour International Postgraduate Research scholarship at UTAS and a CSIRO Wealth from Oceans top-up scholarship. This work was supported by Holsworth Wildlife Research Endowment [V0018333] and the Australian Antarctic Science Program Project No. 4037 and 4026.</t>
  </si>
  <si>
    <t>2073-4441</t>
  </si>
  <si>
    <t>WATER-SUI</t>
  </si>
  <si>
    <t>Water</t>
  </si>
  <si>
    <t>10.3390/w6061840</t>
  </si>
  <si>
    <t>Environmental Sciences; Water Resources</t>
  </si>
  <si>
    <t>Environmental Sciences &amp; Ecology; Water Resources</t>
  </si>
  <si>
    <t>AK9IV</t>
  </si>
  <si>
    <t>Green Submitted, gold, Green Accepted, Green Published</t>
  </si>
  <si>
    <t>WOS:000338741700019</t>
  </si>
  <si>
    <t>Wynn-Edwards, C; King, R; Kawaguchi, S; Davidson, A; Wright, S; Nichols, PD; Virtue, P</t>
  </si>
  <si>
    <t>Wynn-Edwards, Cathryn; King, Rob; Kawaguchi, So; Davidson, Andrew; Wright, Simon; Nichols, Peter D.; Virtue, Patti</t>
  </si>
  <si>
    <t>Development of a Continuous Phytoplankton Culture System for Ocean Acidification Experiments</t>
  </si>
  <si>
    <t>phytoplankton; continuous culture; ocean acidification</t>
  </si>
  <si>
    <t>SMALL-SCALE TURBULENCE; MARINE-PHYTOPLANKTON; CARBONATE CHEMISTRY; LOWERED PH; GROWTH; NUTRIENT; SEAWATER; DIATOMS; CO2; CALCIFICATION</t>
  </si>
  <si>
    <t>Around one third of all anthropogenic CO2 emissions have been absorbed by the oceans, causing changes in seawater pH and carbonate chemistry. These changes have the potential to affect phytoplankton, which are critically important for marine food webs and the global carbon cycle. However, our current knowledge of how phytoplankton will respond to these changes is limited to a few laboratory and mesocosm experiments. Long-term experiments are needed to determine the vulnerability of phytoplankton to enhanced pCO(2`). Maintaining phytoplankton cultures in exponential growth for extended periods of time is logistically difficult and labour intensive. Here we describe a continuous culture system that greatly reduces the time required to maintain phytoplankton cultures, and minimises variation in experimental pCO(2) treatments over time. This system is simple, relatively cheap, flexible, and allows long-term experiments to be performed to further our understanding of chronic responses and adaptation by phytoplankton species to future ocean acidification.</t>
  </si>
  <si>
    <t>[Wynn-Edwards, Cathryn; Kawaguchi, So; Davidson, Andrew; Wright, Simon; Virtue, Patti] Univ Tasmania, Inst Marine &amp; Antarctic Studies, Hobart, Tas 7001, Australia; [Wynn-Edwards, Cathryn; Kawaguchi, So; Davidson, Andrew; Wright, Simon; Nichols, Peter D.; Virtue, Patti] Univ Tasmania, Antarctic Climate &amp; Ecosyst Cooperat Res Ctr, Hobart, Tas 7001, Australia; [Wynn-Edwards, Cathryn; Nichols, Peter D.] CSIRO Wealth Oceans Flagship, Div Marine &amp; Atmospher Res, Hobart, Tas 7001, Australia; [Wynn-Edwards, Cathryn; King, Rob; Kawaguchi, So; Davidson, Andrew; Wright, Simon] Australian Antarctic Div, Kingston, Tas 7050, Australia</t>
  </si>
  <si>
    <t>cathryn@wynn-edwards.com; Rob.King@aad.gov.au; So.Kawaguchi@aad.gov.au; Andrew.Davidson@aad.gov.au; Simon.Wright@aad.gov.au; Peter.Nichols@csiro.au; P.Virtue@utas.edu.au</t>
  </si>
  <si>
    <t>Nichols, Peter D/C-5128-2011; Kawaguchi, So/N-1795-2017</t>
  </si>
  <si>
    <t>Kawaguchi, So/0000-0002-2042-5095; Virtue, Patti/0000-0002-9870-1256; King, Robert/0000-0002-4650-2335; Wynn-Edwards, Cathryn/0000-0001-9078-0394</t>
  </si>
  <si>
    <t>We thank Tasha Waller for technical support and guidance, Rick van den Enden for technical support in preparation and imaging of microalgal samples with FESEM and Dan Holdsworth for managing the CSIRO GC and GC-MS facility. We thank the staff at the Australian Antarctic Division Workshop for constructing integral parts of the continuous culture system. C Wynn-Edwards was supported by an Endeavour International Postgraduate Research scholarship at UTAS and a CSIRO Wealth from Oceans top-up scholarship. This work was supported by Holsworth Wildlife Research Endowment [V0018333] and the Australian Antarctic Science Program Project No. 4037 and 4026. We thank two anonymous journal referees for their comments on the manuscript.</t>
  </si>
  <si>
    <t>10.3390/w6061860</t>
  </si>
  <si>
    <t>Green Published, Green Submitted, Green Accepted, gold</t>
  </si>
  <si>
    <t>WOS:000338741700020</t>
  </si>
  <si>
    <t>Macqueen, DJ; de la Serrana, DG; Johnston, IA</t>
  </si>
  <si>
    <t>Macqueen, Daniel J.; de la Serrana, Daniel Garcia; Johnston, Ian A.</t>
  </si>
  <si>
    <t>Cardiac myoglobin deficit has evolved repeatedly in teleost fishes</t>
  </si>
  <si>
    <t>myoglobin; oxygen supply; fish evolution; climate change</t>
  </si>
  <si>
    <t>LIMITATION; EXPRESSION; OXYGEN</t>
  </si>
  <si>
    <t>Myoglobin (Mb) is the classic vertebrate oxygen-binding protein present in aerobic striated muscles. It functions principally in oxygen delivery and provides muscle with its characteristic red colour. Members of the Antarctic icefish family (Channichthyidae) are widely thought to be extraordinary for lacking cardiac Mb expression, a fact that has been attributed to their low metabolic rate and unusual evolutionary history. Here, we report that cardiac Mb deficit, associated with pale heart colour, has evolved repeatedly during teleost evolution. This trait affects both gill-and air-breathing species from temperate to tropical habitats across a full range of salinities. Cardiac Mb deficit results from total pseudogenization in three-spined stickleback and is associated with a massive reduction in mRNA level in two species that evidently retain functional Mb. The results suggest that near or complete absence of Mb-assisted oxygen delivery to heart muscle is a common facet of teleost biodiversity, even affecting lineages with notable oxygen demands. We suggest that Mb deficit may affect how different teleost species deal with increased tissue oxygen demands arising under climate change.</t>
  </si>
  <si>
    <t>[Macqueen, Daniel J.] Univ Aberdeen, Inst Biol &amp; Environm Sci, Aberdeen AB24 2TZ, Scotland; [Macqueen, Daniel J.; de la Serrana, Daniel Garcia; Johnston, Ian A.] Univ St Andrews, Scottish Oceans Inst, St Andrews KY16 8LB, Fife, Scotland</t>
  </si>
  <si>
    <t>University of Aberdeen; University of St Andrews</t>
  </si>
  <si>
    <t>Macqueen, DJ (corresponding author), Univ Aberdeen, Inst Biol &amp; Environm Sci, Tillydrone Ave, Aberdeen AB24 2TZ, Scotland.</t>
  </si>
  <si>
    <t>daniel.macqueen@abdn.ac.uk</t>
  </si>
  <si>
    <t>Johnston, Ian A./AAE-2044-2019; Macqueen, Daniel/A-7456-2013; Garcia de la serrana, Daniel/R-9956-2018; Johnston, Ian/D-6592-2013</t>
  </si>
  <si>
    <t>Garcia de la serrana, Daniel/0000-0001-6630-3379; Johnston, Ian/0000-0002-7796-5754</t>
  </si>
  <si>
    <t>Marine Alliance for Science and Technology for Scotland (Scottish Funding Council) [HR09011]</t>
  </si>
  <si>
    <t>Marine Alliance for Science and Technology for Scotland (Scottish Funding Council)</t>
  </si>
  <si>
    <t>The study was supported by the Marine Alliance for Science and Technology for Scotland (Scottish Funding Council grant no. HR09011).</t>
  </si>
  <si>
    <t>10.1098/rsbl.2014.0225</t>
  </si>
  <si>
    <t>AK3UZ</t>
  </si>
  <si>
    <t>WOS:000338351500007</t>
  </si>
  <si>
    <t>Thometz, NM; Tinker, MT; Staedler, MM; Mayer, KA; Williams, TM</t>
  </si>
  <si>
    <t>Thometz, N. M.; Tinker, M. T.; Staedler, M. M.; Mayer, K. A.; Williams, T. M.</t>
  </si>
  <si>
    <t>Energetic demands of immature sea otters from birth to weaning: implications for maternal costs, reproductive behavior and population-level trends</t>
  </si>
  <si>
    <t>Energetics; Enhydra lutris; Maternal investment; Ontogeny; Oxygen consumption</t>
  </si>
  <si>
    <t>ANTARCTIC FUR SEALS; TIME BUDGETS; ACTIVITY PATTERNS; DIVING BEHAVIOR; THERMOREGULATION; TACTICS; GROWTH; CARE; MORTALITY; DOLPHINS</t>
  </si>
  <si>
    <t>Sea otters (Enhydra lutris) have the highest mass-specific metabolic rate of any marine mammal, which is superimposed on the inherently high costs of reproduction and lactation in adult females. These combined energetic demands have been implicated in the poor body condition and increased mortality of female sea otters nearing the end of lactation along the central California coast. However, the cost of lactation is unknown and currently cannot be directly measured for this marine species in the wild. Here, we quantified the energetic demands of immature sea otters across five developmental stages as a means of assessing the underlying energetic challenges associated with pup rearing that may contribute to poor maternal condition. Activity-specific metabolic rates, daily activity budgets and field metabolic rates (FMR) were determined for each developmental stage. Mean FMR of pre-molt pups was 2.29 +/- 0.81 MJ day(-1) and increased to 6.16 +/- 2.46 and 7.41 +/- 3.17 MJ day(-1) in post-molt pups and dependent immature animals, respectively. Consequently, daily energy demands of adult females increase 17% by 3 weeks postpartum and continue increasing to 96% above pre-pregnancy levels by the average age of weaning. Our results suggest that the energetics of pup rearing superimposed on small body size, marine living and limited on-board energetic reserves conspire to make female sea otters exceptionally vulnerable to energetic shortfalls. By controlling individual fitness, maternal behavior and pup provisioning strategies, this underlying metabolic challenge appears to be a major factor influencing current population trends in southern sea otters (Enhydra lutris nereis).</t>
  </si>
  <si>
    <t>[Thometz, N. M.; Williams, T. M.] Univ Calif Santa Cruz, Dept Ecol &amp; Evolutionary Biol, Long Marine Lab, Santa Cruz, CA 95060 USA; [Tinker, M. T.] Univ Calif Santa Cruz, US Geol Survey, Ctr Ocean Hlth, Long Marine Lab, Santa Cruz, CA 95060 USA; [Staedler, M. M.; Mayer, K. A.] Monterey Bay Aquarium, Monterey, CA 93950 USA</t>
  </si>
  <si>
    <t>University of California System; University of California Santa Cruz; United States Department of the Interior; United States Geological Survey; University of California System; University of California Santa Cruz; Monterey Bay Aquarium Research Institute</t>
  </si>
  <si>
    <t>Thometz, NM (corresponding author), Univ Calif Santa Cruz, Dept Ecol &amp; Evolutionary Biol, Long Marine Lab, 100 Shaffer Rd, Santa Cruz, CA 95060 USA.</t>
  </si>
  <si>
    <t>nthometz@ucsc.edu</t>
  </si>
  <si>
    <t>; Tinker, Martin/D-3249-2018</t>
  </si>
  <si>
    <t>Thometz, Nicole/0000-0002-5035-5219; Tinker, Martin/0000-0002-3314-839X</t>
  </si>
  <si>
    <t>U.S. Geological Survey Western Ecological Research Center; Office of Naval Research [N00014-08-1-1273]; Otter Cove Foundation; Dr Earl A. &amp; Ethyl M. Myers Oceanographic and Marine Trust</t>
  </si>
  <si>
    <t>U.S. Geological Survey Western Ecological Research Center(United States Geological Survey); Office of Naval Research(Office of Naval Research); Otter Cove Foundation; Dr Earl A. &amp; Ethyl M. Myers Oceanographic and Marine Trust</t>
  </si>
  <si>
    <t>Funding was provided by the U.S. Geological Survey Western Ecological Research Center; the Office of Naval Research [N00014-08-1-1273 to T.M.W.]; the Otter Cove Foundation; and the Dr Earl A. &amp; Ethyl M. Myers Oceanographic and Marine Trust [to N.M.T.].</t>
  </si>
  <si>
    <t>10.1242/jeb.099739</t>
  </si>
  <si>
    <t>AK6ER</t>
  </si>
  <si>
    <t>WOS:000338521400009</t>
  </si>
  <si>
    <t>Núñez-Pons, L; Avila, C</t>
  </si>
  <si>
    <t>Nunez-Pons, Laura; Avila, Conxita</t>
  </si>
  <si>
    <t>Defensive Metabolites from Antarctic Invertebrates: Does Energetic Content Interfere with Feeding Repellence?</t>
  </si>
  <si>
    <t>MARINE DRUGS</t>
  </si>
  <si>
    <t>chemical ecology; marine natural products; amphipod Cheirimedon femoratus; hexactinellid sponges; colonial ascidians; soft corals; chemical defense</t>
  </si>
  <si>
    <t>MARINE NATURAL-PRODUCTS; CHEMICAL DEFENSES; BIOCHEMICAL-COMPOSITION; APLIDIUM-MERIDIANUM; SOFT CORALS; SPONGES; MICROORGANISMS; SYNERGISMS; ECOLOGY; TAURINE</t>
  </si>
  <si>
    <t>Many bioactive products from benthic invertebrates mediating ecological interactions have proved to reduce predation, but their mechanisms of action, and their molecular identities, are usually unknown. It was suggested, yet scarcely investigated, that nutritional quality interferes with defensive metabolites. This means that antifeedants would be less effective when combined with energetically rich prey, and that higher amounts of defensive compounds would be needed for predator avoidance. We evaluated the effects of five types of repellents obtained from Antarctic invertebrates, in combination with diets of different energetic values. The compounds came from soft corals, ascidians and hexactinellid sponges; they included wax esters, alkaloids, a meroterpenoid, a steroid, and the recently described organic acid, glassponsine. Feeding repellency was tested through preference assays by preparing diets (alginate pearls) combining different energetic content and inorganic material. Experimental diets contained various concentrations of each repellent product, and were offered along with control compound-free pearls, to the Antarctic omnivore amphipod Cheirimedon femoratus. Meridianin alkaloids were the most active repellents, and wax esters were the least active when combined with foods of distinct energetic content. Our data show that levels of repellency vary for each compound, and that they perform differently when mixed with distinct assay foods. The natural products that interacted the most with energetic content were those occurring in nature at higher concentrations. The bioactivity of the remaining metabolites tested was found to depend on a threshold concentration, enough to elicit feeding repellence, independently from nutritional quality.</t>
  </si>
  <si>
    <t>[Nunez-Pons, Laura] Univ Barcelona, Fac Biol, Dept Anim Biol Invertebrates, ES-08028 Barcelona, Catalonia, Spain; Univ Barcelona, Fac Biol, Biodivers Res Inst IrBio, ES-08028 Barcelona, Catalonia, Spain</t>
  </si>
  <si>
    <t>University of Barcelona; University of Barcelona</t>
  </si>
  <si>
    <t>Núñez-Pons, L (corresponding author), Univ Barcelona, Fac Biol, Dept Anim Biol Invertebrates, Av Diagonal 643, ES-08028 Barcelona, Catalonia, Spain.</t>
  </si>
  <si>
    <t>lauranp@hawaii.edu; conxita.avila@ub.edu</t>
  </si>
  <si>
    <t>Avila, Conxita/B-9466-2008</t>
  </si>
  <si>
    <t>Avila, Conxita/0000-0002-5489-8376</t>
  </si>
  <si>
    <t>Postdoctoral program of Fundacion Ramon Areces (Madrid, Spain); Spanish Government [CGL/2004-03356/ANT, CGL2007-65453/ANT, CTM2010-17415/ANT]</t>
  </si>
  <si>
    <t>Postdoctoral program of Fundacion Ramon Areces (Madrid, Spain); Spanish Government(Spanish Government)</t>
  </si>
  <si>
    <t>We thank M. Carbone and M. Gavagnin for corroborating the chemical structural data, and F. Castelluccio, M. Rodriguez-Arias, C. Angulo, J. Cristobo, B. Figuerola, J. Vazquez, J. Moles and S. Taboada for support and help in the lab. Thanks are due to El Rey Moro (P. Casanova) and L. Orlando for the artwork. We are also grateful to W. Arntz and the crew of R/V Polarstern, UTM (CSIC), Las Palmas and BAE Gabriel de Castilla crews for logistic support. First author is granted by the Postdoctoral program of Fundacion Ramon Areces (Madrid, Spain). Funding was provided by the Spanish Government through three Antarctic projects (CGL/2004-03356/ANT, CGL2007-65453/ANT and CTM2010-17415/ANT).</t>
  </si>
  <si>
    <t>1660-3397</t>
  </si>
  <si>
    <t>MAR DRUGS</t>
  </si>
  <si>
    <t>Mar. Drugs</t>
  </si>
  <si>
    <t>10.3390/md12063770</t>
  </si>
  <si>
    <t>AK1QC</t>
  </si>
  <si>
    <t>WOS:000338189200035</t>
  </si>
  <si>
    <t>Wet hibernacula promote inoculative freezing and limit the potential for cryoprotective dehydration in the Antarctic midge, Belgica antarctica</t>
  </si>
  <si>
    <t>Antarctic Peninsula; Cryoprotective dehydration; Freeze tolerance; Inoculative freezing; Microenvironments; Overwintering</t>
  </si>
  <si>
    <t>COLD-HARDINESS; ICE NUCLEATION; TOLERANCE; SOIL; DIPTERA; WATER; CHIRONOMIDAE; LARVAE</t>
  </si>
  <si>
    <t>The terrestrial midge, Belgica antarctica, occupies a diverse range of microhabitats along the Antarctic Peninsula. Although overwintering larvae have the physiological potential to survive by freezing or cryoprotective dehydration, use of the latter strategy may be constrained by inoculative freezing within hibernacula. To investigate the influence of microhabitat type on larval overwintering, we selected four substrate types that differed markedly in their composition and hydric characteristics. Organic content of these substrates ranged from 14 to 89 %. High organic content was associated with higher values for saturation moisture content (up to 2.0 H2O g(-1) dry mass) as well as elevated levels of field moisture content. Seasonal values of field moisture content remained near or above the saturation moisture value for each microhabitat type, and when larvae were cooled in substrates rehydrated to field-based levels, they were unable to avoid inoculation by environmental ice, regardless of substrate type. Consequently, our data suggest that wet hibernacula would force most larvae to overwinter in a frozen state. Yet, dehydrated larvae were collected in April during the seasonal transition to winter suggesting that spatial and temporal variations in precipitation and microhabitat conditions may expose larvae to dehydration and promote larval overwintering in a cryoprotectively dehydrated state.</t>
  </si>
  <si>
    <t>[Kawarasaki, Yuta; Lee, Richard E., Jr.] Miami Univ, Dept Zool, Oxford, OH 45056 USA; [Kawarasaki, Yuta] Gustavus Adolphus Coll, Dept Biol, St Peter, MN 56082 USA; [Teets, Nicholas M.; Denlinger, David L.] Ohio State Univ, Dept Entomol, Columbus, OH 43210 USA; [Denlinger, David L.] Ohio State Univ, Dept Evolut Ecol &amp; Organismal Biol, Columbus, OH 43210 USA</t>
  </si>
  <si>
    <t>University System of Ohio; Miami University; Gustavus Adolphus College; University System of Ohio; Ohio State University; University System of Ohio; Ohio State University</t>
  </si>
  <si>
    <t>Kawarasaki, Y (corresponding author), Gustavus Adolphus Coll, Dept Biol, 800 West Coll Ave, St Peter, MN 56082 USA.</t>
  </si>
  <si>
    <t>National Science Foundation [ANT-0837559, ANT-0837613]; NSF [ANT-1141908]</t>
  </si>
  <si>
    <t>National Science Foundation(National Science Foundation (NSF)); NSF(National Science Foundation (NSF))</t>
  </si>
  <si>
    <t>This research was supported by the National Science Foundation (ANT-0837559 and ANT-0837613). We are grateful for the hard work and assistance of the support staff at Palmer Station. We also appreciate data provided by the University of Wisconsin-Madison Antarctic Meteorological Research Center (NSF Grant Number: ANT-1141908). John Bailer, Jon Costanzo, Kathleen Killian, Paul Schaeffer, and three anonymous reviewers provided critical comments and suggestions on this manuscript.</t>
  </si>
  <si>
    <t>10.1007/s00300-014-1475-0</t>
  </si>
  <si>
    <t>AK2VR</t>
  </si>
  <si>
    <t>WOS:000338278200001</t>
  </si>
  <si>
    <t>Cipro, CVZ; Cherel, Y; Caurant, F; Miramand, P; Méndez-Fernandez, P; Bustamante, P</t>
  </si>
  <si>
    <t>Cipro, Caio V. Z.; Cherel, Yves; Caurant, Florence; Miramand, Pierre; Mendez-Fernandez, Paula; Bustamante, Paco</t>
  </si>
  <si>
    <t>Trace elements in tissues of white-chinned petrels (Procellaria aequinoctialis) from Kerguelen waters, Southern Indian Ocean</t>
  </si>
  <si>
    <t>Heavy metals; Seabirds; Procellariiformes; Southern Ocean; Sub-Antarctic Islands</t>
  </si>
  <si>
    <t>HEAVY-METAL CONCENTRATIONS; MERCURY CONTAMINATION; MARINE-ENVIRONMENT; ATLANTIC-OCEAN; SEABIRDS; CADMIUM; BIRDS; BIOACCUMULATION; ISLANDS; MAMMALS</t>
  </si>
  <si>
    <t>The use of seabirds to assess marine contamination by trace elements in areas remote from pollutant emission points has already been done at various latitudes. Nevertheless, little information is available concerning the Southern Indian Ocean. Determining the contaminants levels, there appears necessary not only due to several deleterious effects reported in literature, but also as previous studies have highlighted elevated concentrations of cadmium (Cd) and mercury (Hg) in mollusks, crustaceans and fish. Within this context, the white-chinned petrel appears as a key species due to its lifespan, diet and trophic position. Thirty-three accidentally killed (collision with lights/bycatch in longline vessels) individuals collected in Kerguelen waters were analysed for Cd, copper (Cu), Hg, selenium (Se) and zinc (Zn) in liver, kidney, pectoral muscle, feathers and for mature males, testis. Elevated Hg concentrations (average 58.4 mu g g(-1) dw in liver) are likely due to the presence of mesopelagic prey in the diet of Procellaria aequinoctialis. Cd concentrations (average of 65.7 mu g g(-1) dw in kidney) can be attributed to a high level of fisheries offal consumption, as well as crustacean and squid ingestion. Correlation of Hg with Se indicates its detoxification by co-precipitation, and correlation of Cd with Zn suggests its displacement by Cd on metallothioneins binding sites. This work also indirectly confirms ecological data (range and diet composition) from the wintering period of the species, which is rather scarce. Seasonal diet change and moulting accounted more for the obtained results than sex of the birds.</t>
  </si>
  <si>
    <t>[Cipro, Caio V. Z.; Caurant, Florence; Miramand, Pierre; Mendez-Fernandez, Paula; Bustamante, Paco] Univ La Rochelle, CNRS, UMR 7266, Littoral Environm &amp; Soc LIENSs, F-17042 La Rochelle 01, France; [Cipro, Caio V. Z.; Cherel, Yves] CNRS, UPR 1934, Ctr Etud Biol Chize, F-79360 Villiers En Bois, France</t>
  </si>
  <si>
    <t>La Rochelle Universite; Centre National de la Recherche Scientifique (CNRS); Centre National de la Recherche Scientifique (CNRS)</t>
  </si>
  <si>
    <t>Cipro, CVZ (corresponding author), Univ La Rochelle, CNRS, UMR 7266, Littoral Environm &amp; Soc LIENSs, 2 Rue Olympe Gouges, F-17042 La Rochelle 01, France.</t>
  </si>
  <si>
    <t>caiovzc@gmail.com</t>
  </si>
  <si>
    <t>Bustamante, Paco/G-5833-2011; Zecchin Cipro, Caio Vinicius/C-6338-2014</t>
  </si>
  <si>
    <t>Bustamante, Paco/0000-0003-3877-9390; Zecchin Cipro, Caio Vinicius/0000-0002-7028-6353</t>
  </si>
  <si>
    <t>Agence Nationale de la Recherche (programme POLARTOP); Institut Polaire Francais Paul Emile Victor (IPEV) [109]; Terres Australes et Antarctiques Francaises (TAAF); University of La Rochelle; CNRS (French acronym for National Council of Scientific Research)</t>
  </si>
  <si>
    <t>Agence Nationale de la Recherche (programme POLARTOP)(Agence Nationale de la Recherche (ANR)); Institut Polaire Francais Paul Emile Victor (IPEV); Terres Australes et Antarctiques Francaises (TAAF); University of La Rochelle; CNRS (French acronym for National Council of Scientific Research)</t>
  </si>
  <si>
    <t>The authors thank the fieldworkers who helped with collecting the petrels. The present work was supported financially and logistically by the Agence Nationale de la Recherche (programme POLARTOP, O. Chastel), the Institut Polaire Francais Paul Emile Victor (IPEV, programme no. 109, H. Weimerskirch) and the Terres Australes et Antarctiques Francaises (TAAF). C.V.Z. Cipro was supported financially through a post-doctoral grant from the University of La Rochelle and the CNRS (French acronym for National Council of Scientific Research).</t>
  </si>
  <si>
    <t>10.1007/s00300-014-1476-z</t>
  </si>
  <si>
    <t>WOS:000338278200002</t>
  </si>
  <si>
    <t>Lee, JE; Terauds, A; Chown, SL</t>
  </si>
  <si>
    <t>Lee, Jennifer E.; Terauds, Aleks; Chown, Steven L.</t>
  </si>
  <si>
    <t>Natural dispersal to sub-Antarctic Marion Island of two arthropod species</t>
  </si>
  <si>
    <t>Biological invasions; Dispersal; DNA barcoding; Frontal systems; Natural colonization; Prince Edward Islands</t>
  </si>
  <si>
    <t>PROPAGULE PRESSURE; 1ST RECORD; ESTABLISHMENT; CONSERVATION; INVERTEBRATES; BIOGEOGRAPHY; TERRESTRIAL; DIVERSITY; PACIFIC; SPIDERS</t>
  </si>
  <si>
    <t>Distinguishing between species that are recent natural colonists, recent anthropogenic introductions, or previously unknown, but long-term resident native species, is a challenge for those who manage the conservation of the Antarctic region. Here, we report the discovery of two new arthropod species on sub-Antarctic Marion Island-Nabis capsiformis Germar (Heteroptera: Nabidae) and Tetragnatha sp. (Araneomorphae: Tetragnathidae). On the basis of their habitat use, dispersal abilities, historic biodiversity survey records, and limited information on genetic diversity, we conclude that the colonization events were natural.</t>
  </si>
  <si>
    <t>[Lee, Jennifer E.; Terauds, Aleks] Univ Stellenbosch, Dept Bot &amp; Zool, Ctr Invas Biol, ZA-7602 Matieland, South Africa; [Terauds, Aleks] Australian Antarctic Div, Dept Environm Water Heritage &amp; Arts, Kingston, Tas 7050, Australia; [Chown, Steven L.] Monash Univ, Sch Biol Sci, Melbourne, Vic 3800, Australia</t>
  </si>
  <si>
    <t>Stellenbosch University; Australian Antarctic Division; Monash University</t>
  </si>
  <si>
    <t>Chown, SL (corresponding author), Monash Univ, Sch Biol Sci, Melbourne, Vic 3800, Australia.</t>
  </si>
  <si>
    <t>steven.chown@monash.edu</t>
  </si>
  <si>
    <t>Chown, Steven/ABD-7646-2021; Terauds, Aleks/A-4991-2010; Chown, Steven/H-3347-2011</t>
  </si>
  <si>
    <t>Chown, Steven/0000-0001-6069-5105; Terauds, Aleks/0000-0001-7804-6648</t>
  </si>
  <si>
    <t>South African National Research Foundation [SNA2011110700005]</t>
  </si>
  <si>
    <t>South African National Research Foundation(National Research Foundation - South Africa)</t>
  </si>
  <si>
    <t>A. Dippenaar-Schoeman and R. Stals, and D. H. Jacobs provided taxonomic assistance with the spider and bugs, respectively. J. K. Davis and A. Tshautshau provided assistance in the field. A. Treasure provided assistance with the figures and comments on the MS. Three anonymous reviewers provided helpful comments on the MS. This work was supported by South African National Research Foundation Grant SNA2011110700005.</t>
  </si>
  <si>
    <t>10.1007/s00300-014-1479-9</t>
  </si>
  <si>
    <t>WOS:000338278200004</t>
  </si>
  <si>
    <t>Terauds, A; Doube, J; McKinlay, J; Springer, K</t>
  </si>
  <si>
    <t>Terauds, Aleks; Doube, James; McKinlay, John; Springer, Keith</t>
  </si>
  <si>
    <t>Using long-term population trends of an invasive herbivore to quantify the impact of management actions in the sub-Antarctic</t>
  </si>
  <si>
    <t>Biological invasion; Census techniques; Thermal imaging; Macquarie Island; Rabbits; Adaptively smoothed P-spline regression</t>
  </si>
  <si>
    <t>RABBITS ORYCTOLAGUS-CUNICULUS; MACQUARIE ISLAND; CLIMATE-CHANGE; COASTAL SLOPES; SIGHT COUNTS; ERADICATION; VEGETATION; CONSERVATION; COMMUNITIES; AUSTRALIA</t>
  </si>
  <si>
    <t>Accurate, long-term population estimates of invasive vertebrate pests are a key element of ecosystem management. Not only can they clarify the role of invasive species in changing ecosystem dynamics, they are also necessary to evaluate and assess management actions. Rabbits were first introduced to sub-Antarctic Macquarie Island in the 1870s, and since the 1960s have been targeted and influenced by a range of management programs. Here, for the first time, we model population trends of rabbits on Macquarie Island from the beginning of these management actions to the end of a recent, successful eradication attempt. We show that over a 38-year time frame, the population has undergone substantial fluctuations, peaking at over 350,000 individuals (27 indiv ha(-1)) in the late 1970s, before declining to less than 30,000 individuals (2-3 indiv ha(-1)) through the 1980s and early 1990s. From the late 1990s to 2005, the population increased relatively rapidly, this time peaking at approximately 221,000 individuals. After the commencement of eradication operations in 2010, the population dropped sharply, decreasing from 135,707 +/- 25,995 to effectively zero in just over 12 months. This research contributes to our understanding of the complex population dynamics of sub-Antarctic invasive species and highlights the importance of monitoring in planning, understanding and assessing management actions. The development of models described here allowed population trends to be identified on Macquarie Island, despite 'noise' in the data from seasonality or sporadic observations. In consequence, the impacts of both long- and short-term management actions could be quantified. These techniques are applicable to other locations and species where long-term census data exist.</t>
  </si>
  <si>
    <t>[Terauds, Aleks; Doube, James; McKinlay, John] Australian Antarctic Div, Dept Environm, Kingston, Tas 7050, Australia; [Springer, Keith] Tasmania Pk &amp; Wildlife Serv, Moonah, Tas 7009, Australia</t>
  </si>
  <si>
    <t>Terauds, A (corresponding author), Australian Antarctic Div, Dept Environm, Channel Highway, Kingston, Tas 7050, Australia.</t>
  </si>
  <si>
    <t>Aleks.Terauds@gmail.com</t>
  </si>
  <si>
    <t>Terauds, Aleks/A-4991-2010</t>
  </si>
  <si>
    <t>Terauds, Aleks/0000-0001-7804-6648; McKinlay, John/0000-0003-4858-2604</t>
  </si>
  <si>
    <t>10.1007/s00300-014-1485-y</t>
  </si>
  <si>
    <t>WOS:000338278200008</t>
  </si>
  <si>
    <t>Nottestad, L; Krafft, BA; Soiland, H; Skaret, G</t>
  </si>
  <si>
    <t>Nottestad, L.; Krafft, B. A.; Soiland, H.; Skaret, G.</t>
  </si>
  <si>
    <t>Observations of cetaceans in the south-east Atlantic sector of the Southern Ocean, during summer 2008</t>
  </si>
  <si>
    <t>Megaptera novaeangliae; Spatial distribution; Oceanography; Southern Ocean; Humpback whales; Bouvetoya</t>
  </si>
  <si>
    <t>WESTERN ANTARCTIC PENINSULA; MINKE WHALES; BALEEN WHALES; SEA; ABUNDANCE; ECOSYSTEM; KRILL</t>
  </si>
  <si>
    <t>Knowledge of cetacean species composition and their distribution in the south-east Atlantic sector of the Southern Ocean is scarce. During a survey in February-March 2008, systematic whale sightings were carried out along transect lines following the 5 degrees and 15 degrees E meridians between 35 degrees and 67 degrees S. In total, 67 toothed whales and 126 baleen whales were observed. Both fin whales (four animals) and Antarctic minke whales Balaenoptera bonaerenses (three animals) in addition to 16 individuals of unidentified species were among the observed baleen whales. The dominating baleen whale species in our study was humpback whales Megaptera novaeangliae with 108 individuals observed. They occurred single or in groups up to seven individuals (N-mean = 2.5 ind) and eight of the counts were of calves. The relationship between humpback whale occurrence and environmental variables including Antarctic krill (Euphausia superba) abundance from acoustic recordings, hydrography, bathymetry and production was tested using general additive models. Only temperature increased the predictive power of the model with whale occurrence increasing with the decreasing temperature in more southern areas.</t>
  </si>
  <si>
    <t>[Nottestad, L.; Krafft, B. A.; Soiland, H.; Skaret, G.] Inst Marine Res, N-5817 Nordnes, Norway</t>
  </si>
  <si>
    <t>Institute of Marine Research - Norway</t>
  </si>
  <si>
    <t>Nottestad, L (corresponding author), Inst Marine Res, POB 1870, N-5817 Nordnes, Norway.</t>
  </si>
  <si>
    <t>leif.nottestad@imr.no</t>
  </si>
  <si>
    <t>Norsk Hydro (StatoilHydro); Norwegian Petroleum Directorate</t>
  </si>
  <si>
    <t>The Royal Norwegian Ministry of Fisheries and Coastal Affairs commissioned and contributed substantially to the AKES expedition. In addition, the survey and project were made possible due to contributions by the Institute of Marine Research, The University of Bergen, Norwegian Antarctic Research Expeditions (NARE), The Research Council of Norway, and was also sponsored by Norsk Hydro (StatoilHydro) and The Norwegian Petroleum Directorate. We would like to thank the whale observers (Eirik Gronningseter and Stuart Murray) for their expertise and the crew onboard G.O. Sars for their assistance on collecting the various oceanographic data.</t>
  </si>
  <si>
    <t>10.1007/s00300-014-1477-y</t>
  </si>
  <si>
    <t>WOS:000338278200012</t>
  </si>
  <si>
    <t>Bianchi, AC; Olazábal, L; Torre, A; Loperena, L</t>
  </si>
  <si>
    <t>Clara Bianchi, Ana; Olazabal, Laura; Torre, Alejandra; Loperena, Lyliam</t>
  </si>
  <si>
    <t>Antarctic microorganisms as source of the omega-3 polyunsaturated fatty acids</t>
  </si>
  <si>
    <t>Antarctic marine bacteria; Psychrophile and psychrotrophic microorganism; Polyunsaturated fatty acids; EPA; DHA</t>
  </si>
  <si>
    <t>EICOSAPENTAENOIC ACID; BIOSYNTHESIS; ENHANCEMENT; METABOLITES; GREENLAND; CULTURE; GROWTH; OILS</t>
  </si>
  <si>
    <t>Docosahexaenoic acid (DHA) and eicosapentaenoic acid (EPA) are long-chain polyunsaturated fatty acids (PUFAs) that belong to the omega-3 group. They are essential fatty acids found in phospholipid of cell membranes. There is strong evidence that these nutrients may also favorably modulate many diseases. Primary sources of omega-3 PUFAs in the human diet are fish and fish-derived products. The fishing industry worldwide, however, is becoming unable to satisfy the growing demand for these PUFAs. A promising cost-effective alternative source of PUFAs is bacterial production. We identified 40 Antarctic marine bacterial isolates by 16S rRNA gene sequence analysis. Fifteen genera in three phyla were represented in the collection. Isolates were tested for ability to produce EPA using a method in which their ability to reduce 2,3,5-triphenyltetrazolium chloride (TTC) is determined and by gas chromatography coupled to mass spectrometry (GC-MS). All isolates could reduce TTC, and GC-MS analysis showed that four produced EPA and that six produced DHA. We show for the first time that isolates identified as Cellulophaga, Pibocella and Polaribacter can produce EPA and DHA, only DHA or only EPA, respectively. One isolate, Shewanella sp. (strain 8-5), is indicated to be a good candidate for further study to optimize growth and EPA production. In conclusion, a rapid method was tested for identification of new EPA producing strains from marine environments. New EPA and DHA producing strains were found as well as a potentially useful PUFA production strain.</t>
  </si>
  <si>
    <t>[Clara Bianchi, Ana; Loperena, Lyliam] Fac Ingn, Inst Ingn Quim, Dept Bioingn, Montevideo 11300, Uruguay; [Olazabal, Laura; Torre, Alejandra] Lab Tecnol Uruguay, Dept Desarrollo Metodos Analit, Montevideo 11500, Uruguay</t>
  </si>
  <si>
    <t>Laboratorio Tecnologico del Uruguay (LATU)</t>
  </si>
  <si>
    <t>Loperena, L (corresponding author), Fac Ingn, Inst Ingn Quim, Dept Bioingn, Julio Herrera &amp; Reissig 565, Montevideo 11300, Uruguay.</t>
  </si>
  <si>
    <t>lilianl@fing.edu.uy</t>
  </si>
  <si>
    <t>Instituto Antartico Uruguayo</t>
  </si>
  <si>
    <t>We thank Dr. Paul R. Gill for English corrections and valuable comments on this manuscript. This study was supported by a grant from the Instituto Antartico Uruguayo.</t>
  </si>
  <si>
    <t>10.1007/s11274-014-1607-2</t>
  </si>
  <si>
    <t>AK0WM</t>
  </si>
  <si>
    <t>WOS:000338136800019</t>
  </si>
  <si>
    <t>Shetye, SS; Mohan, R; Nair, A</t>
  </si>
  <si>
    <t>Shetye, Suhas S.; Mohan, Rahul; Nair, Abhilash</t>
  </si>
  <si>
    <t>Latitudinal shifts in the Polar Front in Indian sector of the Southern Ocean: evidences from silicoflagellate assemblage</t>
  </si>
  <si>
    <t>GEOSCIENCES JOURNAL</t>
  </si>
  <si>
    <t>silicoflagellate; Southern Ocean; Antarctica; insolation</t>
  </si>
  <si>
    <t>LAST GLACIAL MAXIMUM; SURFACE CIRCULATION; ATLANTIC SECTOR; TRANSPORT; SEDIMENTS; ZONATION</t>
  </si>
  <si>
    <t>We used silicoflagellate assemblage records to describe the polar frontal variability over the last 48kyr in the Indian sector of the Southern Ocean. The studied core was collected onboard ORV Sagar Nidhi from within the Polar frontal zone (PFZ) during the 4th Indian Scientific Expedition to Southern Ocean. The Polar front is dominated by silica-rich sediments (diatoms and silicoflagellates). Silicoflagellates were dominated by Distephanus speculum and Dictyocha fibula species. The biostratigraphic record of these silicoflagellates was used qualitatively to examine past changes in polar frontal variability in the Southern Ocean. Warming is indicated by an increase (decrease) in Dictyocha sp. (Distephanus sp.) from the LGM to the Holocene. Dictyocha sp. abundance indicates warmer temperatures during 43-45 kyr and is nearly synchronous with the warming event recorded in an Antarctic ice core. Dictyocha/Distephanus ratio also suggests a northern and southern shift in the polar front during LGM and 43-45 kyr respectively. The southward displacement of the frontal system is linked to an increase in sea surface temperature as evidenced from the delta O-18 Byrd Antarctic ice core data and solar insolation data. The low dust flux, higher delta O-18 and absence of an upwelling indicator diatom, Thallasionema nitzchoides during the Antarctic warming event also suggest stronger thermal stratification during the Antarctic warming event as compared to LGM. The present study would improve our understanding of the frontal variability under future warming scenarios.</t>
  </si>
  <si>
    <t>[Shetye, Suhas S.; Mohan, Rahul; Nair, Abhilash] Natl Ctr Antarctic &amp; Ocean Res, Headland Sada 403804, Goa, India</t>
  </si>
  <si>
    <t>Shetye, SS (corresponding author), Natl Ctr Antarctic &amp; Ocean Res, Headland Sada 403804, Goa, India.</t>
  </si>
  <si>
    <t>GEOLOGICAL SOCIETY KOREA</t>
  </si>
  <si>
    <t>NEW BLD RM 813, KSTC, 835-4, YEOKSAM-DONG, KANGNAM-GU, SEOUL, 135-703, SOUTH KOREA</t>
  </si>
  <si>
    <t>1226-4806</t>
  </si>
  <si>
    <t>1598-7477</t>
  </si>
  <si>
    <t>GEOSCI J</t>
  </si>
  <si>
    <t>Geosci. J.</t>
  </si>
  <si>
    <t>10.1007/s12303-013-0061-8</t>
  </si>
  <si>
    <t>AK0JM</t>
  </si>
  <si>
    <t>WOS:000338098800010</t>
  </si>
  <si>
    <t>Varsani, A; Kraberger, S; Jennings, S; Porzig, EL; Julian, L; Massaro, M; Pollard, A; Ballard, G; Ainley, DG</t>
  </si>
  <si>
    <t>Varsani, Arvind; Kraberger, Simona; Jennings, Scott; Porzig, Elizabeth L.; Julian, Laurel; Massaro, Melanie; Pollard, Annie; Ballard, Grant; Ainley, David G.</t>
  </si>
  <si>
    <t>A novel papillomavirus in Adelie penguin (Pygoscelis adeliae) faeces sampled at the Cape Crozier colony, Antarctica</t>
  </si>
  <si>
    <t>JOURNAL OF GENERAL VIROLOGY</t>
  </si>
  <si>
    <t>MULTIPLE SEQUENCE ALIGNMENT; HUMAN ALPHA-PAPILLOMAVIRUS; OPEN READING FRAMES; DNA VIRUSES; GENOMIC CHARACTERIZATION; DETECTING RECOMBINATION; AVIAN PAPILLOMAVIRUSES; PHYLOGENETIC EVIDENCE; MOSAIC STRUCTURE; DISEASE-VIRUS</t>
  </si>
  <si>
    <t>Papillomaviruses are epitheliotropic viruses that have circular dsDNA genomes encapsidated in non-enveloped virions. They have been found to infect a variety of mammals, reptiles and birds, but so far they have not been found in amphibians. Using a next-generation sequencing de novo assembly contig-informed recovery, we cloned and Sanger sequenced the complete genome of a novel papillomavirus from the faecal matter of Adelie penguins (Pygoscelis adeliae) nesting on Ross Island, Antarctica. The genome had all the usual features of a papillomavirus and an E9 ORF encoding a protein of unknown function that is found in all avian papillomaviruses to date. This novel papillomavirus genome shared similar to 60% pairwise identity with the genomes of the other three known avian papillomaviruses: Fringilla coelebs papilloma virus 1 (FcPV1), Francolinus leucoscepus papillomavirus 1 (FIPV1) and Psittacus erithacus papillomavirus 1. Pairwise identity analysis and phylogenetic analysis of the major capsid protein gene clearly indicated that it represents a novel species, which we named Pygoscelis adeliae papilloma virus 1 (PaCV1). No evidence of recombination was detected in the genome of PaCV1, but we did detect a recombinant region (119 nt) in the E6 gene of FIPV1 with the recombinant region being derived from ancestral FcPV1-like sequences. Previously only paramyxoviruses, orthomyxoviruses and avian pox viruses have been genetically identified in penguins; however, the majority of penguin viral identifications have been based on serology or histology. This is the first report, to our knowledge, of a papillomavirus associated with a penguin species.</t>
  </si>
  <si>
    <t>[Varsani, Arvind; Kraberger, Simona; Julian, Laurel] Univ Canterbury, Sch Biol Sci, Christchurch 8140, New Zealand; [Varsani, Arvind; Kraberger, Simona; Julian, Laurel] Univ Canterbury, Biomol Interact Ctr, Christchurch 8140, New Zealand; [Varsani, Arvind] Univ Florida, Dept Plant Pathol, Gainesville, FL 32611 USA; [Varsani, Arvind] Univ Florida, Emerging Pathogens Inst, Gainesville, FL 32611 USA; [Varsani, Arvind] Univ Cape Town, Dept Clin Lab Sci, Div Med Biochem, Electron Microscope Unit, ZA-7700 Observatory, South Africa; [Jennings, Scott] Oregon State Univ, Dept Fisheries &amp; Wildlife, Oregon Cooperat Fish &amp; Wildlife Res Unit, US Geol Survey, Corvallis, OR 97331 USA; [Porzig, Elizabeth L.; Pollard, Annie; Ainley, David G.] HT Harvey &amp; Associates, Los Gatos, CA 95032 USA; [Massaro, Melanie] Charles Sturt Univ, Sch Environm Sci, Albury, NSW 2640, Australia; [Ballard, Grant] Point Blue Conservat Sci, Petaluma, CA 94954 USA</t>
  </si>
  <si>
    <t>University of Canterbury; University of Canterbury; State University System of Florida; University of Florida; State University System of Florida; University of Florida; University of Cape Town; United States Department of the Interior; United States Geological Survey; Oregon State University; Charles Sturt University</t>
  </si>
  <si>
    <t>Varsani, A (corresponding author), Univ Canterbury, Sch Biol Sci, Private Bag 4800, Christchurch 8140, New Zealand.</t>
  </si>
  <si>
    <t>arvind.varsani@canterbury.ac.nz</t>
  </si>
  <si>
    <t>Varsani, Arvind/JOZ-5299-2023; Massaro, Melanie/P-4791-2017</t>
  </si>
  <si>
    <t>Varsani, Arvind/0000-0003-4111-2415; Kraberger, Simona/0000-0002-7037-9242; Massaro, Melanie/0000-0001-9039-1268</t>
  </si>
  <si>
    <t>US National Science Foundation (NSF) [ANT-0944411]; School of Biological Sciences (University of Canterbury, New Zealand) scholarship; Office of Polar Programs (OPP); Directorate For Geosciences [0944411, 0944141] Funding Source: National Science Foundation</t>
  </si>
  <si>
    <t>US National Science Foundation (NSF)(National Science Foundation (NSF)); School of Biological Sciences (University of Canterbury, New Zealand) scholarship; Office of Polar Programs (OPP); Directorate For Geosciences(National Science Foundation (NSF)NSF - Directorate for Geosciences (GEO))</t>
  </si>
  <si>
    <t>The field work was supported the US National Science Foundation (NSF) under grant ANT-0944411, with logistics supplied by the US Antarctic Program. Field work was conducted under Animal Care and Use Permit #4130 through Oregon State University, Corvallis, OR, USA, and Antarctic Conservation Act Permit #2006-010 from NSF. S. K. is supported by a School of Biological Sciences (University of Canterbury, New Zealand) scholarship.</t>
  </si>
  <si>
    <t>0022-1317</t>
  </si>
  <si>
    <t>1465-2099</t>
  </si>
  <si>
    <t>J GEN VIROL</t>
  </si>
  <si>
    <t>J. Gen. Virol.</t>
  </si>
  <si>
    <t>10.1099/vir.0.064436-0</t>
  </si>
  <si>
    <t>Biotechnology &amp; Applied Microbiology; Virology</t>
  </si>
  <si>
    <t>AK1LN</t>
  </si>
  <si>
    <t>WOS:000338176700016</t>
  </si>
  <si>
    <t>Evans, J; Smith, PM</t>
  </si>
  <si>
    <t>Evans, John; Smith, Philip M.</t>
  </si>
  <si>
    <t>Mt. Vinson and the evolution of US policy on Antarctic mountaineering, 1960-1966</t>
  </si>
  <si>
    <t>POLAR RECORD</t>
  </si>
  <si>
    <t>The full extent of the height and scale of the Sentinel Range, Antarctica, was not known until reconnaissance flights and scientific traverses in the International Geophysical Year (IGY), 1957-1958. These explorations revealed the range to be twenty miles in length, with a large number of high peaks culminating in Mt. Vinson, the highest on the Antarctic continent at nearly 4900 meters. The discoveries captured the interest of the U.S. and world mountaineering communities setting off a competition to achieve the first climb of Vinson. The challenge was tempered only by the range's remoteness from the coast of Antarctica and the formidable logistics of mounting a mountaineering expedition. The US which had the most advanced ski-equipped cargo aircraft, had an established post-IGY policy that prohibited adventure expeditions that could divert logistic resources from the scientific programme. This paper discusses Mt. Vinson competition within the US and international climbing communities, mounting national pressures to achieve the first climb, and a reversal in policy by the US Antarctic Policy Group that resulted in the 1966-1967 American Antarctic Mountaineering Expedition's first ascents of Vinson and five other high peaks. Today, between 100 and 200 persons climb Mt. Vinson each austral summer.</t>
  </si>
  <si>
    <t>Evans, J (corresponding author), 29571 Dorothy Rd, Evergreen, CO 80439 USA.</t>
  </si>
  <si>
    <t>smithphil767@gmail.com</t>
  </si>
  <si>
    <t>0032-2474</t>
  </si>
  <si>
    <t>1475-3057</t>
  </si>
  <si>
    <t>POLAR REC</t>
  </si>
  <si>
    <t>POLAR REC.</t>
  </si>
  <si>
    <t>10.1017/S0032247413000211</t>
  </si>
  <si>
    <t>AJ5TZ</t>
  </si>
  <si>
    <t>WOS:000337752900004</t>
  </si>
  <si>
    <t>Dodds, K</t>
  </si>
  <si>
    <t>Dodds, Klaus</t>
  </si>
  <si>
    <t>Queen Elizabeth Land</t>
  </si>
  <si>
    <t>This note considers the decision by the UK government to rename the southern portion of the Antarctic Peninsula - Queen Elizabeth Land. Named in honour of the UK Head of State, it was intended to be a 'gift' recognising her Diamond Jubilee. However, the 169,000 square mile territory in question is counter-claimed by Argentina and Chile. The circumstances surrounding this declaration, in December 2012, reveals both the contested politics of Antarctic place naming, and a growing willingness of the UK government to strengthen its 'strategic presence' in the Antarctic and wider South Atlantic/Falkland Islands region. This naming event provoked Argentina to issue a formal protest note to the UK Ambassador to Argentina.</t>
  </si>
  <si>
    <t>[Dodds, Klaus] Univ London, Dept Geog, Egham TW20 0EX, Surrey, England</t>
  </si>
  <si>
    <t>University of London; Royal Holloway University London</t>
  </si>
  <si>
    <t>Dodds, K (corresponding author), Univ London, Dept Geog, Egham TW20 0EX, Surrey, England.</t>
  </si>
  <si>
    <t>K.Dodds@rhul.ac.uk</t>
  </si>
  <si>
    <t>10.1017/S0032247413000016</t>
  </si>
  <si>
    <t>WOS:000337752900009</t>
  </si>
  <si>
    <t>Ho, TCW; Li-Chan, ECY; Skura, BJ; Higgs, DA; Dosanjh, B</t>
  </si>
  <si>
    <t>Ho, Thomas C. W.; Li-Chan, Eunice C. Y.; Skura, Brent J.; Higgs, David A.; Dosanjh, Bakshish</t>
  </si>
  <si>
    <t>Pacific hake (Merluccius productus Ayres, 1855) hydrolysates as feed attractants for juvenile Chinook salmon (Oncorhynchus tshawytscha Walbaum, 1792)</t>
  </si>
  <si>
    <t>AQUACULTURE RESEARCH</t>
  </si>
  <si>
    <t>Pacific hake; chinook salmon; fish protein hydrolysate; feed attractant</t>
  </si>
  <si>
    <t>FRACTIONATED FISH HYDROLYSATE; PLANT PROTEIN DIETS; ATLANTIC SALMON; SOYBEAN-MEAL; KUDOA-THYRSITES; RAINBOW-TROUT; SEA-WATER; GROWTH-PERFORMANCE; BODY-COMPOSITION; FLESH QUALITY</t>
  </si>
  <si>
    <t>Soybean meal (SBM) inclusion in salmonid diets can lower feed cost, but dramatically reduces growth and feed utilization, and increases mortality in juvenile chinook salmon Oncorhynchus tshawytscha, due to diminished diet palatability and/or other adverse physiological effects exerted by antinutritional factors in SBM. The objective of this study was to investigate whether commercial Antarctic krill meal Euphausia superba or hydrolysates enzymatically produced from Pacific hake Merluccius productus could reverse the negative palatability effects of SBM inclusion in juvenile chinook salmon diets. Diets without SBM or with SBM and no added feed attractant were used as positive and negative control diets respectively. Incorporation of 2% krill meal or Alcalase (R)-produced hydrolysates into SBM-containing diets (20% of dry matter by isonitrogenous replacement of fishmeal) significantly (P&lt;0.05) increased feed intake, feed utilization, fish weight gain and thermal growth coefficient during a 5-week trial. Nevertheless, the negative effects on fish performance incurred by dietary inclusion of 20% SBM could not be fully reversed, indicating that most of those effects were likely unrelated to palatability. This study demonstrates the potential for using Pacific hake hydrolysates as a dietary feed attractant for salmonid diets, and supports the need for further research to optimize its application for ideal fish performance.</t>
  </si>
  <si>
    <t>[Ho, Thomas C. W.; Li-Chan, Eunice C. Y.; Skura, Brent J.] Univ British Columbia, Food Nutr &amp; Hlth Program, Vancouver, BC V6T 1Z4, Canada; [Higgs, David A.] Fisheries &amp; Oceans Canada DFO UBC, Ctr Aquaculture &amp; Environm Res, W Vancouver, BC V7V 1N6, Canada; [Dosanjh, Bakshish] EWOS Canada, Surrey, BC, Canada</t>
  </si>
  <si>
    <t>University of British Columbia; Fisheries &amp; Oceans Canada</t>
  </si>
  <si>
    <t>Li-Chan, ECY (corresponding author), Univ British Columbia, Food Nutr &amp; Hlth Program, 2205 East Mall, Vancouver, BC V6T 1Z4, Canada.</t>
  </si>
  <si>
    <t>Eunice.Li-Chan@ubc.ca</t>
  </si>
  <si>
    <t>Li-Chan, Eunice/Y-2850-2019</t>
  </si>
  <si>
    <t>Li-Chan, Eunice/0000-0001-8946-575X</t>
  </si>
  <si>
    <t>Natural Sciences and Engineering Research Council of Canada (NSERC)</t>
  </si>
  <si>
    <t>Natural Sciences and Engineering Research Council of Canada (NSERC)(Natural Sciences and Engineering Research Council of Canada (NSERC))</t>
  </si>
  <si>
    <t>Funding for this research was provided by a strategic project grant from the Natural Sciences and Engineering Research Council of Canada (NSERC). The authors wish to thank Nicholas Knott and Ron de Silva for providing the Pacific hake fish and associated information used in producing hydrolysates for this project, Dr A Khan for assistance with FPH production, EWOS for their generous donation of materials and Mahmoud Rowshandeli and other Department of Fisheries and Oceans staff for technical assistance during the feeding trials.</t>
  </si>
  <si>
    <t>1355-557X</t>
  </si>
  <si>
    <t>1365-2109</t>
  </si>
  <si>
    <t>AQUAC RES</t>
  </si>
  <si>
    <t>Aquac. Res.</t>
  </si>
  <si>
    <t>10.1111/are.12056</t>
  </si>
  <si>
    <t>AJ4XZ</t>
  </si>
  <si>
    <t>gold</t>
  </si>
  <si>
    <t>WOS:000337684600005</t>
  </si>
  <si>
    <t>Yang, XY; He, ZG</t>
  </si>
  <si>
    <t>Yang, Xiao-Yi; He, Zhigang</t>
  </si>
  <si>
    <t>Decadal change of Antarctic Intermediate Water in the region of Brazil and Malvinas confluence</t>
  </si>
  <si>
    <t>Antarctic Intermediate Water (AAIW); Brazil and Malvinas current confluence; Decadal change; Eddy buoyancy flux; Potential vorticity (PV)</t>
  </si>
  <si>
    <t>OCEAN; CIRCULATION; PACIFIC; VARIABILITY; TEMPERATURE; RENEWAL; MODEL</t>
  </si>
  <si>
    <t>The Antarctic Intermediate Water (AAIW) exhibits a decadal variability during recent years, i.e., salinification before 1997 and freshening thereafter, with the maximum anomalies locating at the region of Brazil and Malvinas currents confluence. Our study proposed that the local mesoscale eddies may play an important role in triggering this decadal oscillation. The eddy activity intensification (weakening) leads to the increase (decrease) of poleward cross-frontal eddy salinity flux and upward eddy buoyancy flux, which results in the weakening (strengthening) of the subsurface stratification and potential vorticity (PV). The PV anomalies facilitate (block) the poleward transport of warm saline subtropical water, while the stratification weakening favors the further downward transmission of salinity anomalies by processes of eddy flux as well as mean-flow advection (the stratification strengthening inhibits the vertical transport), then initiates the decadal change of the AAIW property. The whole process of the eddy-related propagation of salinity anomalies takes about 4 to 6 years. (C) 2014 Elsevier Ltd. All rights reserved.</t>
  </si>
  <si>
    <t>[Yang, Xiao-Yi] Xiamen Univ, State Key Lab Marine Environm Sci, Xiamen 361102, Fujian, Peoples R China; [Yang, Xiao-Yi; He, Zhigang] Xiamen Univ, Coll Oceanog &amp; Earth Sci, Xiamen 361102, Fujian, Peoples R China</t>
  </si>
  <si>
    <t>Yang, XY (corresponding author), Xiamen Univ, State Key Lab Marine Environm Sci, C3-418,Xiping Bldg,Xiang Campus, Xiamen 361102, Fujian, Peoples R China.</t>
  </si>
  <si>
    <t>xyyang@xmu.edu.cn</t>
  </si>
  <si>
    <t>National Basic Research Program of China [2012CB417402]; Natural Science Foundation of China [41006113]</t>
  </si>
  <si>
    <t>National Basic Research Program of China(National Basic Research Program of China); Natural Science Foundation of China(National Natural Science Foundation of China (NSFC))</t>
  </si>
  <si>
    <t>Two anonymous reviewers are greatly appreciated for their insightful suggestions and comments. This study is supported by the National Basic Research Program of China (2012CB417402) and by the Natural Science Foundation of China (Grant 41006113).</t>
  </si>
  <si>
    <t>10.1016/j.dsr.2014.02.007</t>
  </si>
  <si>
    <t>AJ4PR</t>
  </si>
  <si>
    <t>WOS:000337658800001</t>
  </si>
  <si>
    <t>Zammit-Mangion, A; Rougier, J; Bamber, J; Schön, N</t>
  </si>
  <si>
    <t>Zammit-Mangion, Andrew; Rougier, Jonathan; Bamber, Jonathan; Schoen, Nana</t>
  </si>
  <si>
    <t>Resolving the Antarctic contribution to sea-level rise: a hierarchical modelling framework</t>
  </si>
  <si>
    <t>ENVIRONMETRICS</t>
  </si>
  <si>
    <t>spatial statistics; stochastic partial differential equations; sea-level rise; source separation; remote sensing</t>
  </si>
  <si>
    <t>RADAR; FLOW; PREDICTION; SIGNAL; UPLIFT; GRACE</t>
  </si>
  <si>
    <t>Determining the Antarctic contribution to sea-level rise from observational data is a complex problem. The number of physical processes involved (such as ice dynamics and surface climate) exceeds the number of observables, some of which have very poor spatial definition. This has led, in general, to solutions that utilise strong prior assumptions or physically based deterministic models to simplify the problem. Here, we present a new approach for estimating the Antarctic contribution, which only incorporates descriptive aspects of the physically based models in the analysis and in a statistical manner. By combining physical insights with modern spatial statistical modelling techniques, we are able to provide probability distributions on all processes deemed to play a role in both the observed data and the contribution to sea-level rise. Specifically, we use stochastic partial differential equations and their relation to geostatistical fields to capture our physical understanding and employ a Gaussian Markov random field approach for efficient computation. The method, an instantiation of Bayesian hierarchical modelling, naturally incorporates uncertainty in order to reveal credible intervals on all estimated quantities. The estimated sea-level rise contribution using this approach corroborates those found using a statistically independent method. (c) 2013 The Authors. Environmetrics Published by John Wiley &amp; Sons, Ltd.</t>
  </si>
  <si>
    <t>[Zammit-Mangion, Andrew; Bamber, Jonathan; Schoen, Nana] Univ Bristol, Sch Geog Sci, Bristol BS8 1SS, Avon, England; [Zammit-Mangion, Andrew; Rougier, Jonathan] Univ Bristol, Dept Math, Bristol BS8 1TW, Avon, England</t>
  </si>
  <si>
    <t>University of Bristol; University of Bristol</t>
  </si>
  <si>
    <t>Zammit-Mangion, A (corresponding author), Univ Bristol, Sch Geog Sci, Bristol BS8 1SS, Avon, England.</t>
  </si>
  <si>
    <t>A.ZammitMangion@bristol.ac.uk</t>
  </si>
  <si>
    <t>Zammit-Mangion, Andrew/I-5356-2016; Bamber, Jonathan/C-7608-2011</t>
  </si>
  <si>
    <t>Zammit-Mangion, Andrew/0000-0002-4164-6866; Bamber, Jonathan/0000-0002-2280-2819; Rougier, Jonathan/0000-0003-3072-7043</t>
  </si>
  <si>
    <t>NERC [NE/I027401/1]; EPSRC [EP/D063485/1] Funding Source: UKRI; NERC [NE/I027401/1] Funding Source: UKRI</t>
  </si>
  <si>
    <t>NERC(UK Research &amp; Innovation (UKRI)Natural Environment Research Council (NERC)); EPSRC(UK Research &amp; Innovation (UKRI)Engineering &amp; Physical Sciences Research Council (EPSRC)); NERC(UK Research &amp; Innovation (UKRI)Natural Environment Research Council (NERC))</t>
  </si>
  <si>
    <t>This work was made possible by the NERC grant NE/I027401/1. The authors would like to thank Finn Lindgren, Botond Cseke, Ruud Hurkmans, Bert Wouters and Volker Klemann for helpful suggestions and discussions, and also Scott Luthcke, Frederique Remy, Thomas Flament, Matt King and Liz Petrie for support throughout the project.</t>
  </si>
  <si>
    <t>1180-4009</t>
  </si>
  <si>
    <t>1099-095X</t>
  </si>
  <si>
    <t>Environmetrics</t>
  </si>
  <si>
    <t>10.1002/env.2247</t>
  </si>
  <si>
    <t>Environmental Sciences; Mathematics, Interdisciplinary Applications; Statistics &amp; Probability</t>
  </si>
  <si>
    <t>Environmental Sciences &amp; Ecology; Mathematics</t>
  </si>
  <si>
    <t>AJ2TT</t>
  </si>
  <si>
    <t>WOS:000337517100005</t>
  </si>
  <si>
    <t>Coggins, JHJ; McDonald, AJ; Jolly, B</t>
  </si>
  <si>
    <t>Coggins, Jack H. J.; McDonald, Adrian J.; Jolly, Ben</t>
  </si>
  <si>
    <t>Synoptic climatology of the Ross Ice Shelf and Ross Sea region of Antarctica: k-means clustering and validation</t>
  </si>
  <si>
    <t>Antarctic; meteorology; synoptic; climatology; wind; temperature</t>
  </si>
  <si>
    <t>SURFACE WIND-FIELD; TERRA-NOVA BAY; SEMIANNUAL OSCILLATION; SIPLE COAST; ATMOSPHERIC CIRCULATION; MESOSCALE CYCLOGENESIS; NUMERICAL-SIMULATION; CONFLUENCE ZONE; WEST ANTARCTICA; AIR-FLOW</t>
  </si>
  <si>
    <t>The surface wind regime of the Ross Ice Shelf (RIS) is dominated by northward outflow influenced by drainage from both East and West Antarctica and synoptic disturbances over the Ross Sea. To quantify the effects of the wind regime on the climate of the region, we produce a synoptic climatology of the RIS and Ross Sea via a k-means clustering technique applied to surface (10m) winds from the ERA Interim reanalysis (1979-2011). We describe the generation of the climatology and discuss composites of surface winds, mean sea-level pressure and temperature, which show a high degree of internally consistent structure and are similar to previous synoptic climatologies. While some small-scale features are not fully resolved by the reanalysis, such as the channelling of katabatic flows, we identify a high degree of coherence between clustering results and available in situ data sources, suggesting that the ERA Interim represents the region well. We find that the surface wind field of the ice shelf is highly sensitive to the strength and position of cyclonic disturbances in the Ross Sea, the presence of which can aid outflow from the continental interior. Temperature displays a high level of sensitivity to circulation conditions due to the effects of steep temperature gradients surrounding the shelf and advective heat transport. Cold temperatures on the ice shelf coincide with drainage from East Antarctica, while warmer periods coincide with West Antarctic drainage; this is particularly clear during RIS air stream (RAS) events. The warmest periods occur during southward transport from the Ross Sea. The sensitivity of temperature to the origin of flows suggests circulation changes in the region are likely to significantly impact surface climate. Analysis of the frequency of varying synoptic events and their persistence confirms RAS is a very common and persistent feature of the region.</t>
  </si>
  <si>
    <t>[Coggins, Jack H. J.; McDonald, Adrian J.; Jolly, Ben] Univ Canterbury, Dept Phys &amp; Astron, Christchurch 1, New Zealand</t>
  </si>
  <si>
    <t>University of Canterbury</t>
  </si>
  <si>
    <t>Coggins, JHJ (corresponding author), Univ Canterbury, Dept Phys &amp; Astron, Christchurch 1, New Zealand.</t>
  </si>
  <si>
    <t>jack.coggins@pg.canterbury.ac.nz</t>
  </si>
  <si>
    <t>McDonald, Adrian/0000-0002-1456-6254</t>
  </si>
  <si>
    <t>New Zealand Ministry of Foreign Affairs and Trade, Ross Sea Dependency Scholarship; University of Canterbury Doctoral Scholarship</t>
  </si>
  <si>
    <t>The authors wish to thank John Cassano and two anonymous reviewers for insightful comments on the manuscript. We also thank James Renwick and Andrew Orr for comments on an early version of the work. This work was supported by a New Zealand Ministry of Foreign Affairs and Trade, Ross Sea Dependency Scholarship and a University of Canterbury Doctoral Scholarship.</t>
  </si>
  <si>
    <t>10.1002/joc.3842</t>
  </si>
  <si>
    <t>AJ3HX</t>
  </si>
  <si>
    <t>WOS:000337558200017</t>
  </si>
  <si>
    <t>Saurral, R; Barros, V; Camilloni, I</t>
  </si>
  <si>
    <t>Saurral, Ramiro; Barros, Vicente; Camilloni, Ines</t>
  </si>
  <si>
    <t>Sea ice concentration variability over the Southern Ocean and its impact on precipitation in southeastern South America</t>
  </si>
  <si>
    <t>sea ice variability; South American climate; precipitation; rivers</t>
  </si>
  <si>
    <t>SURFACE TEMPERATURE; CLIMATE-CHANGE; ANTARCTIC OSCILLATION; HEMISPHERE CLIMATE; ANNULAR MODE; EL-NINO; CIRCULATION; ANOMALIES; TRENDS; REANALYSES</t>
  </si>
  <si>
    <t>This article quantifies the relationship between sea ice cover (SIC) on the Southern Ocean and precipitation and river discharges over southeastern and eastern South America. The period of analysis covers from 1981 to 2008 and includes monthly mean data of SIC over the Ross, Amundsen-Bellingshausen and Weddell Seas, as well as atmospheric variables and discharges of selected rivers in eastern South America. To isolate the effect of known modes of climate variability on SIC, the signals of El Nino-Southern Oscillation and the Southern Annual Mode are removed from all time series through regression analysis. Composites of precipitation differences over South America reveal a pattern of enhanced rainfall activity over the South Atlantic Convergence Zone (SACZ) in summer (JFM) when SIC is above average particularly over the Weddell Sea area, while winter (ASO) SIC anomalies show negative and significant correlations with rainfall over much of South America. Moisture fluxes patterns in summer reveal increased moisture transport towards the SACZ region and decreased low-level jet activity (and precipitation) over northern Argentina. In particular a large dry bias over southeastern South America associated to positive SIC anomalies on the Weddell Sea in September is shown to impact the discharges of the Uruguay and Iguazu Rivers, with the largest effects found two months after the SIC anomaly (November). Although less robust, a relationship with the Parana River is also found. These results suggest that increased SIC over the Weddell Sea during September can help to forecast drier conditions particularly on the Uruguay basin and somewhat wetter conditions in the SACZ region within the following season.</t>
  </si>
  <si>
    <t>UBA, CONICET, CIMA, UMI IFAECI,CNRS, Buenos Aires, DF, Argentina; UBA, Dept Ciencias Atmosfera &amp; Oceanos FCEN, Buenos Aires, DF, Argentina</t>
  </si>
  <si>
    <t>Consejo Nacional de Investigaciones Cientificas y Tecnicas (CONICET); University of Buenos Aires; University of Buenos Aires</t>
  </si>
  <si>
    <t>Saurral, R (corresponding author), Ctr Invest Mar &amp; Atmosfera, Int Guiraldes 2160,Ciudad Univ,Pab 2 C1428EGA, Buenos Aires, DF, Argentina.</t>
  </si>
  <si>
    <t>saurral@cima.fcen.uba.ar</t>
  </si>
  <si>
    <t>Saurral, Ramiro Ignacio/0000-0002-8600-199X</t>
  </si>
  <si>
    <t>University of Buenos Aires [UBACYT- 20020100100803]; Consejo Nacional de Investigaciones Cientificas y Tecnicas [PIP2009-00444]; Agencia Nacional de Promocion Cientifica y Tecnologica [PICT07-00400]</t>
  </si>
  <si>
    <t>University of Buenos Aires(University of Buenos Aires); Consejo Nacional de Investigaciones Cientificas y Tecnicas(Consejo Nacional de Investigaciones Cientificas y Tecnicas (CONICET)); Agencia Nacional de Promocion Cientifica y Tecnologica(ANPCyTSpanish Government)</t>
  </si>
  <si>
    <t>This research was supported by the University of Buenos Aires UBACYT- 20020100100803, Consejo Nacional de Investigaciones Cientificas y Tecnicas PIP2009-00444 and Agencia Nacional de Promocion Cientifica y Tecnologica PICT07-00400. Thanks to two anonymous reviewers for their comments that helped improve this article.</t>
  </si>
  <si>
    <t>10.1002/joc.3844</t>
  </si>
  <si>
    <t>WOS:000337558200019</t>
  </si>
  <si>
    <t>Rubin, AE</t>
  </si>
  <si>
    <t>Rubin, Alan E.</t>
  </si>
  <si>
    <t>Shock and annealing in the amphibole- and mica-bearing R chondrites</t>
  </si>
  <si>
    <t>UNEQUILIBRATED ORDINARY CHONDRITES; IMPACT-MELT BRECCIA; CARBONACEOUS CHONDRITES; ACAPULCO METEORITE; AQUEOUS ALTERATION; THERMAL HISTORIES; CO3 CHONDRITES; CARLISLE LAKES; RELICT GRAINS; METAMORPHISM</t>
  </si>
  <si>
    <t>MIL 11207 (R6) and LAP 04840 (R6) contain hornblende and phlogopite; MIL 07440 (R6) contains accessory titan-phlogopite and no hornblende. All three meteorites have been shocked: MIL 11207 contains extensive sulfide veins, pyroxene that formed from dehydrated hornblende, and an extensive network of plagioclase glass; MIL 07440 contains chromite-plagioclase assemblages, chromite veinlets and blebs, pincer-shaped plagioclase patches, but no sulfide veins; LAP 04840 contains olivine grains with chromite-bleb-laden cores and opaque-free rims, rare grains of pyroxene that formed from dehydrated hornblende, and no sulfide veins. These meteorites appear to have been heated to maximum temperatures of approximately 700-900 degrees C under conditions of moderately high PH2O (perhaps 250-500 bars). All three samples underwent postshock annealing. During this process, olivine crystal lattices healed (giving the rocks the appearance of shock-stage S1), and diffusion of Fe and S from thin sulfide veins to coarse sulfide grains caused the veins to disappear in MIL 07440 and LAP 04840. This latter process apparently also occurred in most S1-S2 ordinary chondrites of high petrologic type. The pressure-temperature conditions responsible for forming the amphibole and mica in these rocks may have been present at depths of a few tens of kilometers (as suggested in the literature). A giant impact or a series of smaller impacts would then have been required to excavate the hornblende- and biotite-bearing rocks and bring them closer to the surface. It was in that latter location where the samples were shocked, deposited in a hot ejecta blanket of low thermal diffusivity, and annealed.</t>
  </si>
  <si>
    <t>Univ Calif Los Angeles, Inst Geophys &amp; Planetary Phys, Los Angeles, CA 90095 USA</t>
  </si>
  <si>
    <t>University of California System; University of California Los Angeles</t>
  </si>
  <si>
    <t>Rubin, AE (corresponding author), Univ Calif Los Angeles, Inst Geophys &amp; Planetary Phys, Los Angeles, CA 90095 USA.</t>
  </si>
  <si>
    <t>aerubin@ucla.edu</t>
  </si>
  <si>
    <t>NASA [NNG06GF95G]</t>
  </si>
  <si>
    <t>I thank A. H. Treiman and J. T. Wasson for fruitful discussions. The paper benefited from very useful reviews by A. H. Treiman, an anonymous referee, and associate editor A. Ruzicka. Thin sections were provided by the Antarctic Meteorite Working Group and the staff at Johnson Space Center. This work was supported by NASA Cosmochemistry grant NNG06GF95G.</t>
  </si>
  <si>
    <t>10.1111/maps.12315</t>
  </si>
  <si>
    <t>AJ4ER</t>
  </si>
  <si>
    <t>WOS:000337625200008</t>
  </si>
  <si>
    <t>Mah, C; Neill, K; Eléaume, M; Foltz, D</t>
  </si>
  <si>
    <t>Mah, Christopher; Neill, Kate; Eleaume, Marc; Foltz, David</t>
  </si>
  <si>
    <t>New species and global revision of Hippasteria (Hippasterinae: Goniasteridae; Asteroidea; Echinodermata)</t>
  </si>
  <si>
    <t>ZOOLOGICAL JOURNAL OF THE LINNEAN SOCIETY</t>
  </si>
  <si>
    <t>benthos; corallivore; deep-sea; global distribution; molecular phylogeography; morphology; New Caledonia; New Zealand; polar; taxonomy</t>
  </si>
  <si>
    <t>DEEP; GENUS; GULF; CALIFORNIA; PHYLOGENY</t>
  </si>
  <si>
    <t>A molecular phylogenetic analysis of the genus Hippasteria, rooted against Evoplosoma, has provided the basis for taxonomic revisions and provided insight into the biogeography of a widely occurring, cold-water group of corallivorous asteroids. Herein, we describe three new species, Hippasteria mcknighti sp. nov., Hippasteria muscipula sp. nov., and Hippasteria tiburoni sp. nov., from deep-water settings. Additionally, in light of taxonomic changes, we further elaborate on distribution data for multiple species. Range extensions for Hippasteria phrygiana and Hippasteria californica are included. Discussions about biogeography, cladogenic events, and morphology are also presented.(c) 2014 The Linnean Society of London</t>
  </si>
  <si>
    <t>[Mah, Christopher; Foltz, David] Louisiana State Univ, Dept Biol Sci, Baton Rouge, LA 70803 USA; [Mah, Christopher] Smithsonian Inst, Dept Invertebrate Zool, NMNH, Washington, DC 20013 USA; [Neill, Kate] Natl Inst Water &amp; Atmospher Res, Wellington, New Zealand; [Eleaume, Marc] Museum Natl Hist Nat, Dept Milieux &amp; Peuplements Aquat, UMR BOREA MNHN CNRS UPMC IRD 7208, CP26, F-75231 Paris 05, France</t>
  </si>
  <si>
    <t>Louisiana State University System; Louisiana State University; Smithsonian Institution; Smithsonian National Museum of Natural History; National Institute of Water &amp; Atmospheric Research (NIWA) - New Zealand; Museum National d'Histoire Naturelle (MNHN); Sorbonne Universite</t>
  </si>
  <si>
    <t>Mah, C (corresponding author), Louisiana State Univ, Dept Biol Sci, Baton Rouge, LA 70803 USA.</t>
  </si>
  <si>
    <t>brisinga@gmail.com</t>
  </si>
  <si>
    <t>Neill, Kate/0000-0002-1639-2403</t>
  </si>
  <si>
    <t>New Zealand Ministry of Fisheries; New Zealand International Polar Year-Census of Antarctic Marine Life; NSF [DEB-1036358]; NIWA [2012/13 SCI]; Direct For Biological Sciences; Division Of Environmental Biology [1036358] Funding Source: National Science Foundation</t>
  </si>
  <si>
    <t>New Zealand Ministry of Fisheries; New Zealand International Polar Year-Census of Antarctic Marine Life; NSF(National Science Foundation (NSF)); NIWA; Direct For Biological Sciences; Division Of Environmental Biology(National Science Foundation (NSF)NSF - Directorate for Biological Sciences (BIO))</t>
  </si>
  <si>
    <t>The authors of this paper thank numerous individuals for access to their collections and for assistance with processing specimens and making specimens available to us. This includes: Nadia Ameziane, Philippe Bouchet, and Sarah Samadi, MNHN; Rich Mooi, Kelly Markello, and Chrissy Piotrowski, CAS; Martha Nizinski, National Marine Fisheries; Amber York, WHOI; Lonny Lundsten, Linda Kuhnz, and David Clague, Monterey Bay Aquarium Research Institute; Craig McClain, National Evolutionary Synthesis Center; Paul Greenhall and Linda Ward, USNM; Neil McDaniel, and Roger Clark. Further thanks to Taylor M. Bass and Scott Fatland, LSU, for laboratory assistance. New Zealand specimens from the NIWA Invertebrate Collection were collected under two programs: the Scientific Observer Program funded by the New Zealand Ministry of Fisheries, and the New Zealand International Polar Year-Census of Antarctic Marine Life with project governance provided by the MPI Science Team and the Ocean Survey 20/20 CAML Advisory Group (LINZ, MPI, Antarctica New Zealand, Ministry of Foreign Affairs and Trade and NIWA); New Zealand Foundation for Research, Science and Technology, and CSIRO's Division of Marine and Atmospheric Research. Stephen Cairns, USNM, identified gut contents Metallogorgia (for H. muscipula) and Javania borealis (for H. californica) as indicated in the text. Mah is grateful to Andrey Gebruk, Anna Dilman, and especially Alexy Smirnov for assistance with locating type specimens. Loic Villier, Sabine Stohr, and Peter Hayward contributed valuable editorial comments. Funding was provided by NSF award DEB-1036358 to D. Foltz and C. Mah, as well as by two REU supplements to the above award. Funding was provided to K. Neill by NIWA under Coasts and Oceans Research Programme 2 (2012/13 SCI).</t>
  </si>
  <si>
    <t>0024-4082</t>
  </si>
  <si>
    <t>1096-3642</t>
  </si>
  <si>
    <t>ZOOL J LINN SOC-LOND</t>
  </si>
  <si>
    <t>Zool. J. Linn. Soc.</t>
  </si>
  <si>
    <t>10.1111/zoj.12131</t>
  </si>
  <si>
    <t>AJ2TW</t>
  </si>
  <si>
    <t>WOS:000337517500006</t>
  </si>
  <si>
    <t>Ubelmann, C; Fu, LL; Brown, S; Peral, E; Esteban-Fernandez, D</t>
  </si>
  <si>
    <t>Ubelmann, Clement; Fu, Lee-Lueng; Brown, Shannon; Peral, Eva; Esteban-Fernandez, Daniel</t>
  </si>
  <si>
    <t>The Effect of Atmospheric Water Vapor Content on the Performance of Future Wide-Swath Ocean Altimetry Measurement</t>
  </si>
  <si>
    <t>MICROWAVE RADIOMETER</t>
  </si>
  <si>
    <t>Measurement of sea surface height (SSH) over a finite swath along satellite tracks has been planned for future space missions. The effect of water vapor in the troposphere on the delay of radar signal must be corrected for in the SSH measurement. The efficacy of a nadir-looking radiometer that has been the approach for conventional altimetry is examined in the study. The focus is placed on the cross-track variability of water vapor that is not measured by the nadir-looking radiometer. Simulations of the 2D field of water vapor were performed by spectral analysis of existing radiometer data. The residual error from the application of the correction made by a nadir-looking radiometer was computed over the global ocean and compared to the SSH signal estimated from satellite altimeter data. Global maps of the signal-to-error ratio (the square root of spectral variance at wavelengths shorter than 500 km) were created, showing values of 20-50 in the regions of high SSH variability of the boundary currents and the Antarctic Circumpolar Current, and 3-5 in the regions of low SSH variability in the tropics. Improvement in the correction by using a two-beam radiometer looking off nadir for measuring the slope of the cross-track variability was also explored, leading to a reduction of the error to below 1 cm at wavelengths of 10-500 km.</t>
  </si>
  <si>
    <t>[Ubelmann, Clement; Fu, Lee-Lueng; Brown, Shannon; Peral, Eva; Esteban-Fernandez, Daniel] CALTECH, Jet Prop Lab, Pasadena, CA 91109 USA</t>
  </si>
  <si>
    <t>National Aeronautics &amp; Space Administration (NASA); NASA Jet Propulsion Laboratory (JPL); California Institute of Technology</t>
  </si>
  <si>
    <t>Ubelmann, C (corresponding author), CALTECH, Jet Prop Lab, 4800 Oak Grove Dr, Pasadena, CA 91109 USA.</t>
  </si>
  <si>
    <t>clement.ubelmann@jpl.nasa.gov</t>
  </si>
  <si>
    <t>SWOT projects</t>
  </si>
  <si>
    <t>The research presented in the paper was carried out at the Jet Propulsion Laboratory, California Institute of Technology, under contract with the National Aeronautic and Space Administration. Government sponsorship is acknowledged. Support from SWOT projects is acknowledged.</t>
  </si>
  <si>
    <t>10.1175/JTECH-D-13-00179.1</t>
  </si>
  <si>
    <t>AI8VJ</t>
  </si>
  <si>
    <t>WOS:000337204800019</t>
  </si>
  <si>
    <t>Lorrey, A; Fauchereau, N; Stanton, C; Chappell, P; Phipps, S; Mackintosh, A; Renwick, J; Goodwin, I; Fowler, A</t>
  </si>
  <si>
    <t>Lorrey, Andrew; Fauchereau, Nicolas; Stanton, Craig; Chappell, Petra; Phipps, Steven; Mackintosh, Andrew; Renwick, James; Goodwin, Ian; Fowler, Anthony</t>
  </si>
  <si>
    <t>The Little Ice Age climate of New Zealand reconstructed from Southern Alps cirque glaciers: a synoptic type approach</t>
  </si>
  <si>
    <t>Little Ice Age; New Zealand; Glaciers; Equilibrium line altitude; Synoptic types; Southern Hemisphere; Palaeoclimate</t>
  </si>
  <si>
    <t>SEA-SURFACE TEMPERATURE; PACIFIC CONVERGENCE ZONE; OXYGEN-ISOTOPE RECORDS; TREE-RING RECORDS; ATMOSPHERIC CIRCULATION; ANTARCTIC PENINSULA; TROPICAL PACIFIC; EAST ANTARCTICA; DAILY RAINFALL; VARIABILITY</t>
  </si>
  <si>
    <t>Little Ice Age (LIA) austral summer temperature anomalies were derived from palaeoequilibrium line altitudes at 22 cirque glacier sites across the Southern Alps of New Zealand. Modern analog seasons with temperature anomalies akin to the LIA reconstructions were selected, and then applied in a sampling of high-resolution gridded New Zealand climate data and global reanalysis data to generate LIA climate composites at local, regional and hemispheric scales. The composite anomaly patterns assist in improving our understanding of atmospheric circulation contributions to the LIA climate state, allow an interrogation of synoptic type frequency changes for the LIA relative to present, and provide a hemispheric context of the past conditions in New Zealand. An LIA summer temperature anomaly of -0.56 A degrees C (+/- 0.29 A degrees C) for the Southern Alps based on palaeo-equilibrium lines compares well with local tree-ring reconstructions of austral summer temperature. Reconstructed geopotential height at 1,000 hPa (z1000) suggests enhanced southwesterly flow across New Zealand occurred during the LIA to generate the terrestrial temperature anomalies. The mean atmospheric circulation pattern for summer resulted from a crucial reduction of the 'HSE'-blocking synoptic type (highs over and to the west of NZ; largely settled conditions) and increases in both the 'T'- and 'SW'-trough synoptic types (lows passing over NZ; enhanced southerly and southwesterly flow) relative to normal. Associated land-based temperature and precipitation anomalies suggest both colder- and wetter-than-normal conditions were a pervasive component of the base climate state across New Zealand during the LIA, as were colder-than-normal Tasman Sea surface temperatures. Proxy temperature and circulation evidence were used to corroborate the spatially heterogeneous Southern Hemisphere composite z1000 and sea surface temperature patterns generated in this study. A comparison of the composites to climate mode archetypes suggests LIA summer climate and atmospheric circulation over New Zealand was driven by increased frequency of weak El Nio-Modoki in the tropical Pacific and negative Southern Annular Mode activity.</t>
  </si>
  <si>
    <t>[Lorrey, Andrew; Fauchereau, Nicolas; Stanton, Craig; Chappell, Petra] Natl Inst Water &amp; Atmospher Res Ltd, Auckland, New Zealand; [Phipps, Steven] Univ New S Wales, ARC Ctr Excellence Climate Syst Sci, Climate Change Res Ctr, CSIRO Wealth Oceans Flagship, Sydney, NSW, Australia; [Mackintosh, Andrew] Victoria Univ Wellington, Antarctic Res Ctr, Wellington, New Zealand; [Renwick, James] Victoria Univ Wellington, Sch Geog, Wellington, New Zealand; [Goodwin, Ian] Macquarie Univ, Marine Climate Risk Grp, Sydney, NSW 2109, Australia; [Goodwin, Ian] Macquarie Univ, Dept Geog &amp; Environm, Sydney, NSW 2109, Australia; [Fowler, Anthony] Univ Auckland, Sch Environm, Auckland 1, New Zealand</t>
  </si>
  <si>
    <t>National Institute of Water &amp; Atmospheric Research (NIWA) - New Zealand; University of New South Wales Sydney; ARC Centre of Excellence for Climate System Science; Commonwealth Scientific &amp; Industrial Research Organisation (CSIRO); Victoria University Wellington; Victoria University Wellington; Macquarie University; Macquarie University; University of Auckland</t>
  </si>
  <si>
    <t>Lorrey, A (corresponding author), Natl Inst Water &amp; Atmospher Res Ltd, Auckland, New Zealand.</t>
  </si>
  <si>
    <t>a.lorrey@niwa.co.nz</t>
  </si>
  <si>
    <t>IPO, PAGES/JXY-7546-2024; Phipps, Steven/B-3135-2008</t>
  </si>
  <si>
    <t>Mackintosh, Andrew/0000-0002-6430-4711; Goodwin, Ian/0000-0001-8682-6409; Renwick, James/0000-0002-9141-2486; Phipps, Steven/0000-0001-5657-8782</t>
  </si>
  <si>
    <t>core funding NIWA; Royal Society of New Zealand Marsden Fund</t>
  </si>
  <si>
    <t>core funding NIWA; Royal Society of New Zealand Marsden Fund(Royal Society of New ZealandMarsden Fund (NZ))</t>
  </si>
  <si>
    <t>This work was supported by core funding NIWA receives from the government of New Zealand's Ministry of Business, Industry and Enterprise as part of the 'Climate Present and Past' project. Additional support was provided by the Royal Society of New Zealand Marsden Fund (awarded to AML). Jonathan Palmer is thanked for providing the Oroko Swamp temperature reconstruction data. Trevor Chinn is thanked for discussing details of Southern Alps cirque glaciers. This work is a contribution from New Zealand to the PAGES AUS2 k effort.</t>
  </si>
  <si>
    <t>11-12</t>
  </si>
  <si>
    <t>10.1007/s00382-013-1876-8</t>
  </si>
  <si>
    <t>AI6KX</t>
  </si>
  <si>
    <t>WOS:000336984000012</t>
  </si>
  <si>
    <t>Malherbe, J; Landman, WA; Engelbrecht, FA</t>
  </si>
  <si>
    <t>Malherbe, Johan; Landman, Willem A.; Engelbrecht, Francois A.</t>
  </si>
  <si>
    <t>The bi-decadal rainfall cycle, Southern Annular Mode and tropical cyclones over the Limpopo River Basin, southern Africa</t>
  </si>
  <si>
    <t>SOUTHWEST INDIAN-OCEAN; INTERANNUAL VARIABILITY; ANTARCTIC OSCILLATION; NCEP/NCAR REANALYSIS; CLIMATE VARIABILITY; SUMMER RAINFALL; SATELLITE DATA; NORTH PACIFIC; DRY SUMMERS; EL-NINO</t>
  </si>
  <si>
    <t>The association between bi-decadal rainfall variability over southern Africa and the rainfall contributed by tropical cyclonic systems from the Southwest Indian Ocean (SWIO) provides a potential means towards understanding decadal-scale variability over parts of the region. A multi-decadal period is considered, focusing on the anomalous tropospheric patterns that induced a particularly wet 8-year long sub-period over the Limpopo River Basin. The wet sub-period was also characterized by a larger contribution to rainfall by tropical cyclones and depressions. The findings suggest that a broadening of the Hadley circulation underpinned by an anomalous anticyclonic pattern to the east of southern Africa altered tropospheric steering flow, relative vorticity and moisture contents spatially during the sub-period of 8 years. These circulation modulations induced enhanced potential for tropical systems from the SWIO to cause precipitation over the Limpopo River Basin. The same patterns are also conducive to increasing rainfall over the larger subcontinent, therefore explaining the positive association in the bi-decadal rainfall cycle and rainfall contributed by tropical cyclonic systems from the SWIO. An overview of regional circulation anomlies during alternating near-decadal wet and dry epochs is given. The regional circulation anomalies are also explained in hemispheric context, specifically in relation to the Southern Annular Mode, towards understanding variation over other parts of the Southern Hemisphere at this time scale.</t>
  </si>
  <si>
    <t>[Malherbe, Johan] Agr Res Council, Inst Soil Climate &amp; Water, Pretoria, South Africa; [Malherbe, Johan; Landman, Willem A.] Univ Pretoria, Dept Geog Geoinformat &amp; Meteorol, ZA-0002 Pretoria, South Africa; [Landman, Willem A.; Engelbrecht, Francois A.] CSIR Nat Resources &amp; Environm Climate Studies Mod, Pretoria, South Africa; [Engelbrecht, Francois A.] Univ Witwatersrand, Sch Geog Archeol &amp; Environm Studies, Johannesburg, South Africa</t>
  </si>
  <si>
    <t>Agricultural Research Council of South Africa; Institute for Soil, Climate and Water, Agricultural Research Council; University of Pretoria; University of Witwatersrand</t>
  </si>
  <si>
    <t>Malherbe, J (corresponding author), Univ Pretoria, Dept Geog Geoinformat &amp; Meteorol, ZA-0002 Pretoria, South Africa.</t>
  </si>
  <si>
    <t>Johan@arc.agric.za</t>
  </si>
  <si>
    <t>Landman, Willem Adolf/JVN-5114-2024</t>
  </si>
  <si>
    <t>Landman, Willem/0000-0002-9475-6655</t>
  </si>
  <si>
    <t>Water Research Commission (WRC) in South Africa [K5/1847]; Agricultural Research Council [GW 50/053]; ACCESS (Applied Centre for Climate and Earth System Science)</t>
  </si>
  <si>
    <t>Water Research Commission (WRC) in South Africa; Agricultural Research Council; ACCESS (Applied Centre for Climate and Earth System Science)</t>
  </si>
  <si>
    <t>The authors would like to acknowledge the Water Research Commission (WRC Project No. K5/1847) in South Africa, the Agricultural Research Council (Project No. GW 50/053) and ACCESS (Applied Centre for Climate and Earth System Science) for supporting this research. ACCESS is a South African Centre of Excellence of the Department of Science and Technology. The contributions of two anonymous reviewers are gratefully acknowledged. Editing by Dr TP Fyfield at the ARC is also much appreciated.</t>
  </si>
  <si>
    <t>10.1007/s00382-013-2027-y</t>
  </si>
  <si>
    <t>WOS:000336984000017</t>
  </si>
  <si>
    <t>Si, YX; Song, JJ; Fang, NY; Wang, W; Wang, ZJ; Yang, JM; Qian, GY; Yin, SJ; Park, YD</t>
  </si>
  <si>
    <t>Si, Yue-Xiu; Song, Jin-Jie; Fang, Nai-Yun; Wang, Wei; Wang, Zhi-Jiang; Yang, Jun-Mo; Qian, Guo-Ying; Yin, Shang-Jun; Park, Yong-Doo</t>
  </si>
  <si>
    <t>Purification, characterization, and unfolding studies of arginine kinase from Antarctic krill</t>
  </si>
  <si>
    <t>Arginine kinase; Euphausia superba; Unfolding</t>
  </si>
  <si>
    <t>PHOSPHAGEN KINASE; SHRIMP; MUSCLE; EVOLUTION; EXPRESSION; ACRYLAMIDE; RESPONSES; SEQUENCE; ALLERGEN; BINDING</t>
  </si>
  <si>
    <t>The regulation of enzymatic activity and unfolding studies of arginine kinase (AK) from various invertebrates have been the focus of investigation. To gain insight into the structural and folding mechanisms of AK from Euphausia superba (ESAK), we purified ESAK from muscle properly. The enzyme behaved as a monomeric protein with a molecular mass of about 40 kDa and had pH and temperature optima of 8.0 and 30 degrees C, respectively. The K-m(Arg) and K-m(ATP) for the synthesis of phosphoarginine were 0.30 and 0.47 mM, respectively, and k(cat)/K-m(Arg) was 282.7 s(-1)/mM. A study of the inhibition kinetics of structural unfolding in the denaturant sodium dodecyl sulfate (SOS) was conducted. The results showed that ESAK was almost completely inactivated by 1.0 mM SDS. The kinetics analyzed via time-interval measurements revealed that the inactivation was a first-order reaction, with the kinetic processes shifting from a monophase to biphase as SDS concentrations increased. Measurements of intrinsic and 1-anilinonaphthalene-8-sulfonate-binding fluorescence showed that SDS concentrations lower than 5 mM did not induce conspicuous changes in tertiary structures, while higher concentrations of SDS exposed hydrophobic surfaces and induced conformational changes. These results confirmed that the active region of AK is more flexible than the overall enzyme molecule.(C) 2014 Elsevier B.V. All rights reserved.</t>
  </si>
  <si>
    <t>[Si, Yue-Xiu; Song, Jin-Jie; Fang, Nai-Yun; Wang, Wei; Wang, Zhi-Jiang; Qian, Guo-Ying; Yin, Shang-Jun; Park, Yong-Doo] Zhejiang Wanli Univ, Coll Biol &amp; Environm Sci, Ningbo 315100, Zhejiang, Peoples R China; [Park, Yong-Doo] Tsinghua Univ, Zhejiang Prov Key Lab Appl Enzymol, Yangtze Delta Reg Inst, Jiaxing 314006, Peoples R China; [Yang, Jun-Mo] Sungkyunkwan Univ, Dept Dermatol, Samsung Med Ctr, Sch Med, Seoul 135710, South Korea</t>
  </si>
  <si>
    <t>Zhejiang Wanli University; Tsinghua University; Sungkyunkwan University (SKKU); Samsung Medical Center</t>
  </si>
  <si>
    <t>yinshangjun@163.com; parkyd@hotmail.com</t>
  </si>
  <si>
    <t>Ningbo international cooperation project [2012D10012]; National Natural Science Foundation of China [31272638]; Innovation Team Project of Ningbo Municipal Science and Technology Bureau [2012B82016]; Zhejiang Leading Team of Science and Technology Innovation [2010R50019]; Korea Health Technology RD Project; Ministry of Health &amp; Welfare, Republic of Korea [HI12C1299]; Samsung Biomedical Research Institute [GL1-B2-181-1]; Science and Technology Planning Project of Jiaxing [2012AY1041]</t>
  </si>
  <si>
    <t>Ningbo international cooperation project; National Natural Science Foundation of China(National Natural Science Foundation of China (NSFC)); Innovation Team Project of Ningbo Municipal Science and Technology Bureau; Zhejiang Leading Team of Science and Technology Innovation; Korea Health Technology RD Project; Ministry of Health &amp; Welfare, Republic of Korea(Ministry of Health &amp; Welfare (MOHW), Republic of Korea); Samsung Biomedical Research Institute(Samsung); Science and Technology Planning Project of Jiaxing</t>
  </si>
  <si>
    <t>This study was supported by the Ningbo international cooperation project (No. 2012D10012). Dr. Guo-Ying Qian was supported by the National Natural Science Foundation of China (No. 31272638) and the Innovation Team Project of Ningbo Municipal Science and Technology Bureau (No. 2012B82016). Dr. Shang-Jun Yin was supported by a grant from the 624 project supported by the Zhejiang Leading Team of Science and Technology Innovation (Team No. 2010R50019). Dr. Jun-Mo Yang was supported by a grant of the Korea Health Technology R&amp;D Project, Ministry of Health &amp; Welfare, Republic of Korea (No. HI12C1299) and by a grant from the Samsung Biomedical Research Institute (GL1-B2-181-1). Dr. Yong-Doo Park was supported by a fund from the Science and Technology Planning Project of Jiaxing (No. 2012AY1041).</t>
  </si>
  <si>
    <t>10.1016/j.ijbiomac.2014.03.044</t>
  </si>
  <si>
    <t>AI5BU</t>
  </si>
  <si>
    <t>WOS:000336881200058</t>
  </si>
  <si>
    <t>Su, Z; Stewart, AL; Thompson, AF</t>
  </si>
  <si>
    <t>Su, Zhan; Stewart, Andrew L.; Thompson, Andrew F.</t>
  </si>
  <si>
    <t>An Idealized Model of Weddell Gyre Export Variability</t>
  </si>
  <si>
    <t>ANTARCTIC BOTTOM WATER; BAROCLINIC INSTABILITY; SCOTIA SEA; CIRCULATION; OCEAN; TRANSPORT; DEEP; IMPACT</t>
  </si>
  <si>
    <t>Recent observations suggest that the export of Antarctic Bottom Water (AABW) from the Weddell Sea has a seasonal cycle in its temperature and salinity that is correlated with annual wind stress variations. This variability has been attributed to annual vertical excursions of the isopycnals in the Weddell Gyre, modifying the water properties at the depth of the Orkney Passage. Recent studies attribute these variations to locally wind-driven barotropic dynamics in the northern Weddell Sea boundary current. This paper explores an alternative mechanism in which the isopycnals respond directly to surface Ekman pumping, which is coupled to rapidly responding mesoscale eddy buoyancy fluxes near the gyre boundary. A conceptual model of the interface that separates Weddell Sea Deep Water from Circumpolar Deep Water is described in which the bounding isopycnal responds to a seasonal oscillation in the surface wind stress. Different parameterizations of the mesoscale eddy diffusivity are tested. The model accurately predicts the observed phases of the temperature and salinity variability in relationship to the surface wind stress. The model, despite its heavy idealization, also accounts for more than 50% of the observed oscillation amplitude, which depends on the strength of the seasonal wind variability and the parameterized eddy diffusivity. These results highlight the importance of mesoscale eddies in modulating the export of AABW in narrow boundary layers around the Antarctic margins.</t>
  </si>
  <si>
    <t>[Su, Zhan] CALTECH, Div Geol &amp; Planetary Sci, Pasadena, CA 91125 USA; [Stewart, Andrew L.; Thompson, Andrew F.] CALTECH, Pasadena, CA 91125 USA</t>
  </si>
  <si>
    <t>California Institute of Technology; California Institute of Technology</t>
  </si>
  <si>
    <t>Su, Z (corresponding author), CALTECH, Div Geol &amp; Planetary Sci, 1200 East Calif Blvd, Pasadena, CA 91125 USA.</t>
  </si>
  <si>
    <t>zssu@caltech.edu</t>
  </si>
  <si>
    <t>Stewart, Andrew/0000-0001-5861-4070</t>
  </si>
  <si>
    <t>NSF [AST-1109299, OCE-1235488]; Directorate For Geosciences; Division Of Ocean Sciences [1235488] Funding Source: National Science Foundation</t>
  </si>
  <si>
    <t>NSF(National Science Foundation (NSF)); Directorate For Geosciences; Division Of Ocean Sciences(National Science Foundation (NSF)NSF - Directorate for Geosciences (GEO))</t>
  </si>
  <si>
    <t>Z.S.'s research was supported NSF Award AST-1109299. A.L.S.'s and A.F.T.'s research was supported NSF Award OCE-1235488. We thank Arnold L. Gordon and Bruce Huber for providing the M3 mooring data and Alberto Naveira Garabato for useful conversations related to this study. We also thank two anonymous reviewers for helpful suggestions that improved the manuscript.</t>
  </si>
  <si>
    <t>10.1175/JPO-D-13-0263.1</t>
  </si>
  <si>
    <t>AI5EK</t>
  </si>
  <si>
    <t>WOS:000336888000011</t>
  </si>
  <si>
    <t>Friis, DS; Johnsen, JL; Kristiansen, E; Westh, P; Ramlov, H</t>
  </si>
  <si>
    <t>Friis, Dennis S.; Johnsen, Johannes L.; Kristiansen, Erlend; Westh, Peter; Ramlov, Hans</t>
  </si>
  <si>
    <t>Low thermodynamic but high kinetic stability of an antifreeze protein from Rhagium mordax</t>
  </si>
  <si>
    <t>antifreeze protein; thermodynamics; differential scanning calorimetry; circular dichroism; refolding; protein melting temperature</t>
  </si>
  <si>
    <t>DIFFERENTIAL SCANNING CALORIMETRY; DISULFIDE BOND FORMATION; ANTARCTIC BACTERIUM; FREEZING RESISTANCE; SECONDARY STRUCTURE; FISHES; LARVAE; GLYCOPROTEINS; EXPRESSION; MECHANISM</t>
  </si>
  <si>
    <t>The equilibrium heat stability and the kinetic heat tolerance of a recombinant antifreeze protein (AFP) from the beetle Rhagium mordax (RmAFP1) are studied through differential scanning calorimetry and circular dichroism spectroscopy. In contrast to other insect AFPs studied with this respect, the RmAFP1 has only one disulfide bridge. The melting temperature, Tm, of the protein is determined to be 28.5 degrees C (pH 7.4), which is much lower than most of those reported for AFPs or globular proteins in general. Despite its low melting temperature, both biophysical and activity measurements show that the protein almost completely refolds into the native state after repeated exposure of 70 degrees C. RmAFP1 thus appears to be kinetically stable even far above its melting temperature. Thermodynamically, the insect AFPs seem to be dividable in three groups, relating to their content of disulfide bridges and widths of the ice binding motifs; high melting temperature AFPs (high disulfide content, TxT motifs), low melting temperature but high refolding capability AFPs (one disulfide bridge, TxTxTxT motifs) and irreversibly unfolded AFPs at low temperatures (no disulfide bridges, TxTxTxTxT motifs). The property of being able to cope with high temperature exposures may appear peculiar for proteins which strictly have their effect at subzero temperatures. Different aspects of this are discussed.</t>
  </si>
  <si>
    <t>[Friis, Dennis S.; Johnsen, Johannes L.; Kristiansen, Erlend; Westh, Peter; Ramlov, Hans] Roskilde Univ, Dept Sci Syst &amp; Models, DK-4000 Roskilde, Denmark</t>
  </si>
  <si>
    <t>Roskilde University</t>
  </si>
  <si>
    <t>Friis, DS (corresponding author), Roskilde Univ, Dept Sci Syst &amp; Models, Univ Vej 1,POB 260,Bldg 18-1, DK-4000 Roskilde, Denmark.</t>
  </si>
  <si>
    <t>dsf@ruc.dk</t>
  </si>
  <si>
    <t>Westh, Peter/AAR-9731-2021; Friis, Dennis S/B-8279-2012; Kristiansen, Erlend/H-8572-2016</t>
  </si>
  <si>
    <t>Westh, Peter/0000-0002-6185-0637; Ramlov, Hans/0000-0003-1113-0583; Friis, Dennis/0000-0001-5938-1619; Buch, Johannes Lorup/0000-0003-4214-3934; Kristiansen, Erlend/0000-0002-4383-086X</t>
  </si>
  <si>
    <t>Danish Council for Independent Research - Technology and Production Sciences [10-082261]</t>
  </si>
  <si>
    <t>Danish Council for Independent Research - Technology and Production Sciences(Det Frie Forskningsrad (DFF))</t>
  </si>
  <si>
    <t>Grant sponsor: The Danish Council for Independent Research - Technology and Production Sciences; Grant number: 10-082261.</t>
  </si>
  <si>
    <t>10.1002/pro.2459</t>
  </si>
  <si>
    <t>AI4NW</t>
  </si>
  <si>
    <t>WOS:000336843100009</t>
  </si>
  <si>
    <t>Giuliani, M; Parrilli, E; Sannino, F; Apuzzo, GA; Marino, G; Tutino, ML</t>
  </si>
  <si>
    <t>Giuliani, Maria; Parrilli, Ermenegilda; Sannino, Filomena; Apuzzo, Gennaro Antonio; Marino, Gennaro; Tutino, Maria Luisa</t>
  </si>
  <si>
    <t>Recombinant production of a single-chain antibody fragment in Pseudoalteromonas haloplanktis TAC125</t>
  </si>
  <si>
    <t>APPLIED MICROBIOLOGY AND BIOTECHNOLOGY</t>
  </si>
  <si>
    <t>scFvOx; Single-chain antibody; Pseudoalteromonas haloplanktis TAC125; Psychrophilic gene expression system</t>
  </si>
  <si>
    <t>ESCHERICHIA-COLI PERIPLASM; ANTARCTIC BACTERIUM; ADAPTED BACTERIUM; EXPRESSION; PROTEINS; SEQUENCE; SYSTEM; EXPORT; FKPA</t>
  </si>
  <si>
    <t>Recombinant protein production in cold-adapted bacteria has proved to be a valuable option to overcome solubility concerns often came up in conventional expression hosts. ScFvs are examples of difficult proteins due to their tendency to form inclusion bodies when expressed in Escherichia coli. In this paper, the recombinant production of a single-chain antibody (ScFvOx) in the psychrophilic bacterium Pseudoalteromonas haloplanktis TAC125 is reported. The expression vector for the ScFvOx production was designed to address the recombinant protein in the periplasmic space and to allow the formation of the antibody disulphide bonds. For periplasmic export, two different export mechanisms were evaluated. By combining the genetic tools available for recombinant protein expression in psychrophilic hosts with an ad hoc medium and fermentation modality and optimised expression conditions at low temperatures, we obtained the highest yield of soluble and epitope-binding ScFvOx reported so far by conventional prokaryotic expression. The observed proficiency of the Antarctic bacterium to produce recombinant antibody fragments was related to the unusually high number of genes encoding peptidyl prolyl cis-trans isomerases found in P. haloplanktis TAC125 genome, making this bacterium the host of choice for the recombinant production of this protein class.</t>
  </si>
  <si>
    <t>[Giuliani, Maria; Parrilli, Ermenegilda; Sannino, Filomena; Apuzzo, Gennaro Antonio; Marino, Gennaro; Tutino, Maria Luisa] Univ Naples Federico II, Dipartimento Sci Chim, I-80126 Naples, Italy; [Sannino, Filomena] CNR, Ist Biochim Prot, I-80134 Naples, Italy</t>
  </si>
  <si>
    <t>Tutino, ML (corresponding author), Univ Naples Federico II, Dipartimento Sci Chim, Complesso Univ Monte St Angelo,Via Cintia, I-80126 Naples, Italy.</t>
  </si>
  <si>
    <t>maria.giuliani@ymail.com; erparril@unina.it; filomena.sannino2@unina.it; gen.apuzzo@gmail.com; gmarino@unina.it; tutino@unina.it</t>
  </si>
  <si>
    <t>TUTINO, MARIA LUISA/L-1834-2013; parrilli, ermenegilda/K-4616-2016; parrilli, ermenegilda/JAZ-0586-2023</t>
  </si>
  <si>
    <t>parrilli, ermenegilda/0000-0002-9002-5409; Tutino, Maria Luisa/0000-0002-4978-6839; Sannino, Filomena/0000-0002-3013-8321</t>
  </si>
  <si>
    <t>Programma Nazionale di Ricerche in Antartide [PDR 2010/A1.05]</t>
  </si>
  <si>
    <t>Programma Nazionale di Ricerche in Antartide(Ministry of Education, Universities and Research (MIUR))</t>
  </si>
  <si>
    <t>This work was supported by Programma Nazionale di Ricerche in Antartide PDR 2010/A1.05.</t>
  </si>
  <si>
    <t>0175-7598</t>
  </si>
  <si>
    <t>1432-0614</t>
  </si>
  <si>
    <t>APPL MICROBIOL BIOT</t>
  </si>
  <si>
    <t>Appl. Microbiol. Biotechnol.</t>
  </si>
  <si>
    <t>10.1007/s00253-014-5582-1</t>
  </si>
  <si>
    <t>AH6VC</t>
  </si>
  <si>
    <t>WOS:000336268900010</t>
  </si>
  <si>
    <t>Jacob, J; Ghosh, P; Dineshbabu, AP; Sabu, P; Srinivas, K; Sulochanan, B</t>
  </si>
  <si>
    <t>Jacob, Josia; Ghosh, Prosenjit; Dineshbabu, A. P.; Sabu, P.; Srinivas, K.; Sulochanan, Bindu</t>
  </si>
  <si>
    <t>Hydrographical characteristics and oxygen isotopic signatures of water in a coastal environment (Mangalore) along the southeastern Arabian Sea</t>
  </si>
  <si>
    <t>JOURNAL OF OCEANOGRAPHY</t>
  </si>
  <si>
    <t>Hydrographic characteristics; delta O-18; Coastal waters; Monthly variations; Mangalore; Southeastern Arabian Sea</t>
  </si>
  <si>
    <t>SUMMER MONSOON SEASON; MIXED-LAYER PROCESSES; SOUTHWEST MONSOON; WEST-COAST; TEMPERATURE INVERSIONS; BIOLOGICAL RESPONSE; WARM POOL; VARIABILITY; BAY; EVOLUTION</t>
  </si>
  <si>
    <t>Coastal marine environments are important links between the continents and the open ocean. The coast off Mangalore forms part of the upwelling zone along the southeastern Arabian Sea. The temperature, salinity, density, dissolved oxygen and stable oxygen isotope ratio (delta O-18) of surface waters as well as those of bottom waters off coastal Mangalore were studied every month from October 2010 to May 2011. The coastal waters were stratified in October and November due to precipitation and runoff. The region was characterised by upwelled bottom waters in October, whereas the region exhibited a temperature inversion in November. The surface and bottom waters presented almost uniform properties from December until April. The coastal waters were observed to be most dense in January and May. Comparatively cold and poorly oxygenated bottom waters during the May sampling indicated the onset of upwelling along the region. delta O-18 of the coastal waters successfully documented the observed variations in the hydrographical characteristics of the Mangalore coast during the monthly sampling period. We also noted that the monthly variability in the properties of the coastal waters of Mangalore was related to the hydrographical characteristics of the adjacent open ocean inferred from satellite-derived surface winds, sea surface height anomaly data and sea surface temperatures.</t>
  </si>
  <si>
    <t>[Jacob, Josia; Ghosh, Prosenjit] Indian Inst Sci, Ctr Earth Sci, Bangalore 560012, Karnataka, India; [Ghosh, Prosenjit] Indian Inst Sci, Div Ctr Climate Change, Bangalore 560012, Karnataka, India; [Dineshbabu, A. P.; Sulochanan, Bindu] Indian Council Agr Res, Mangalore Res Ctr, Cent Marine Fisheries Res Inst, Mangalore 575001, India; [Sabu, P.] Natl Ctr Antarctic &amp; Ocean Res, Minist Earth Sci, Goa 403804, India; [Srinivas, K.] Indian Natl Ctr Ocean Informat Serv, Minist Earth Sci, Hyderabad 500090, Andhra Pradesh, India</t>
  </si>
  <si>
    <t>Indian Institute of Science (IISC) - Bangalore; Indian Institute of Science (IISC) - Bangalore; Indian Council of Agricultural Research (ICAR); ICAR - Central Marine Fisheries Research Institute; Ministry of Earth Sciences (MoES) - India; National Centre for Polar and Ocean Research (NCPOR); Ministry of Earth Sciences (MoES) - India; Indian National Centre for Ocean Information Services (INCOIS)</t>
  </si>
  <si>
    <t>Jacob, J (corresponding author), Indian Inst Sci, Ctr Earth Sci, Bangalore 560012, Karnataka, India.</t>
  </si>
  <si>
    <t>josia@ceas.iisc.ernet.in</t>
  </si>
  <si>
    <t>Ghosh, Prosenjit/0000-0001-7828-577X</t>
  </si>
  <si>
    <t>Department of Science and Technology (DST), New Delhi, India under the Women Scientists Scheme [SR/WOS-A/ES-09/2009]</t>
  </si>
  <si>
    <t>Department of Science and Technology (DST), New Delhi, India under the Women Scientists Scheme(Department of Science &amp; Technology (India))</t>
  </si>
  <si>
    <t>This work forms part of a project sanctioned by the Department of Science and Technology (DST), New Delhi, India under the Women Scientists Scheme (SR/WOS-A/ES-09/2009). The first author is thankful for the grants received for this work. Prof. D. Senguptha, Centre for Atmospheric and Oceanic Sciences, Indian Institute of Science, Bangalore, India is gratefully acknowledged for his suggestions, which led to the evolution of this manuscript. Dr. Smitha, B.R., Centre for Marine Living Resources &amp; Ecology, Ministry of Earth Sciences, Kochi, India is also acknowledged for her comments and suggestions which helped to improve the quality of this manuscript. The authors thank the India Meteorological Department (IMD), India for providing the rainfall datasets for the coastal Mangalore station (Panambur). The authors also thank Dr. Venkat Shesu, R., Indian National Centre for Ocean Information Services, Ministry of Earth Sciences, Hyderabad, India for the tide data from New Mangalore Port. We are thankful to the anonymous reviewers for their valuable suggestions which helped to improve the manuscript.</t>
  </si>
  <si>
    <t>0916-8370</t>
  </si>
  <si>
    <t>1573-868X</t>
  </si>
  <si>
    <t>J OCEANOGR</t>
  </si>
  <si>
    <t>J. Oceanogr.</t>
  </si>
  <si>
    <t>10.1007/s10872-014-0228-6</t>
  </si>
  <si>
    <t>AI3ZB</t>
  </si>
  <si>
    <t>WOS:000336803500005</t>
  </si>
  <si>
    <t>Raimilla, V; Suazo, CG; Robertson, G; Rau, JR</t>
  </si>
  <si>
    <t>Raimilla, Victor; Suazo, Cristian G.; Robertson, Graham; Rau, Jaime R.</t>
  </si>
  <si>
    <t>OBSERVATIONS SUGGESTING COOPERATIVE BREEDING BY STRIATED CARACARAS (PHALCOBOENUS AUSTRALIS)</t>
  </si>
  <si>
    <t>JOURNAL OF RAPTOR RESEARCH</t>
  </si>
  <si>
    <t>Striated Caracara; Phalcoboenus australis; Cape Horn; cooperative breeding Diego Ramirez Archipelago; raptor; social behavior; sub-Antarctic Chile.</t>
  </si>
  <si>
    <t>FALKLAND ISLANDS; RAPTORS; GMELIN; CHILE</t>
  </si>
  <si>
    <t>[Raimilla, Victor] Univ Los Lagos, Programa Magister, Osorno, Chile; [Raimilla, Victor] Univ Los Lagos, Ecol Lab, Osorno, Chile; [Raimilla, Victor] Ctr Estudios Agr &amp; Ambientales, Programa Conservac Ayes Rapaces &amp; Control Biol, Valdivia, Chile; [Suazo, Cristian G.; Rau, Jaime R.] Univ Los Lagos, Dept Ciencias Biol &amp; Biodiversidad, Ecol Lab, Osorno, Chile; [Suazo, Cristian G.; Rau, Jaime R.] Univ Los Lagos, Programa IBAM, Osorno, Chile; [Robertson, Graham] Australian Antarctic Div, Kingston, Tas 7050, Australia</t>
  </si>
  <si>
    <t>Universidad de Los Lagos; Universidad de Los Lagos; Universidad de Los Lagos; Universidad de Los Lagos; Australian Antarctic Division</t>
  </si>
  <si>
    <t>Raimilla, V (corresponding author), Univ Los Lagos, Programa Magister, Casilla 933, Osorno, Chile.</t>
  </si>
  <si>
    <t>phalcoboenus@gmail.com</t>
  </si>
  <si>
    <t>Raimilla, Victor/0000-0003-2093-580X; Suazo, Cristian/0000-0003-3336-3660</t>
  </si>
  <si>
    <t>RAPTOR RESEARCH FOUNDATION INC</t>
  </si>
  <si>
    <t>HASTINGS</t>
  </si>
  <si>
    <t>14377 117TH STREET SOUTH, HASTINGS, MN 55033 USA</t>
  </si>
  <si>
    <t>0892-1016</t>
  </si>
  <si>
    <t>2162-4569</t>
  </si>
  <si>
    <t>J RAPTOR RES</t>
  </si>
  <si>
    <t>J. Raptor Res.</t>
  </si>
  <si>
    <t>10.3356/JRR-12-49.1</t>
  </si>
  <si>
    <t>AI0RF</t>
  </si>
  <si>
    <t>WOS:000336556400010</t>
  </si>
  <si>
    <t>Zhuo, HT; Wang, YM; Shi, HS; Zhu, M; He, M; Chen, WT; Li, H</t>
  </si>
  <si>
    <t>Zhuo, Haiteng; Wang, Yingmin; Shi, Hesheng; Zhu, Ming; He, Min; Chen, Weitao; Li, Hua</t>
  </si>
  <si>
    <t>Seismic geomorphology, architecture and genesis of Miocene shelf sand ridges in the Pearl River Mouth Basin, northern South China Sea</t>
  </si>
  <si>
    <t>MARINE AND PETROLEUM GEOLOGY</t>
  </si>
  <si>
    <t>Shelf sand ridge; Paleoceanography; Ocean current; Topography; Pearl River Mouth Basin; South China Sea</t>
  </si>
  <si>
    <t>SHANNON SANDSTONE; CONTINENTAL-SHELF; FORCED REGRESSIONS; VARIABILITY; WAVES; CIRCULATION; DEPOSITION; MECHANISM; EXAMPLES; IMPACTS</t>
  </si>
  <si>
    <t>Multiple stages of large-scale shelf sand ridges, including the shoreface-attached and the offshore types, have developed in the Miocene successions on the mid-shelf region of the Pear River Mouth Basin, northern South China Sea. Utilizing a high-quality 3D seismic data set, accompanying 2D seismic profiles and well logs, the morphology, architecture and genesis of these shelf sand ridges have been systematically investigated in this study. The ridges are of very large scale, with the largest one having a maximum height of 64 m, a width of more than 20 km and a length of 37 km within the 3D survey area. Being mound-shaped, they also display obvious asymmetry character, with the ridge crest preferentially located on the SE side. Three main internal components, including the ridge front, central ridge and the ridge tail, have been recognized through careful anatomy analysis of the two most well-imaged ridges, each displaying distinct expressions on seismic amplitudes and geometries. In the plan view, most of the shelf sand ridges are generally NE SW oriented and widening to the SW direction. Scouring features can also be clearly observed along the SW direction, including scour depressions and linear sandy remnants. On well logs, the shelf sand ridges are represented by an overall coarsening-upward pattern. Intervals with blocky sandstones are preferentially present on higher locations due to a differential winnowing process controlled by shelf topography. Plenty of evidence indicates that these ridges were primarily formed by the reworking of forced regressive or lowstand deltaic deposits under a persistent southwesterly flowing current during the subsequent transgression. This very current is a composite one, which is speculated to consist of winter oceanic current, SCSBK (South China Sea Branch of Kuroshio) intrusion onto the shelf and internal waves propagating from the Luzon Strait. Tidal currents might have contributed to the SE growth of the ridge. In response to the reglaciation of Antarctic ice-sheet and the closure of Pacific-Indian ocean seaway in the middle Miocene, the intensification of the North Pacific western boundary current was considered to have potential links to the initiation of the shelf sand ridges at similar to 12 Ma. The development of shelf ridges was terminated and replaced by rapid deltaic progradation at similar to 5.5 Ma. (C) 2014 Elsevier Ltd. All rights reserved.</t>
  </si>
  <si>
    <t>[Zhuo, Haiteng; Wang, Yingmin; Li, Hua] China Univ Petr, State Key Lab Petr Resources &amp; Prospecting, Beijing 102249, Peoples R China; [Zhuo, Haiteng; Wang, Yingmin; Li, Hua] China Univ Petr, Coll Geosci, Beijing 102249, Peoples R China; [Shi, Hesheng; Zhu, Ming; He, Min; Chen, Weitao] China Natl Offshore Oil Corp Ltd Shenzhen, Guangzhou 510000, Guangdong, Peoples R China</t>
  </si>
  <si>
    <t>China University of Petroleum; China University of Petroleum; China National Offshore Oil Corporation (CNOOC)</t>
  </si>
  <si>
    <t>Zhuo, HT (corresponding author), China Univ Petr, State Key Lab Petr Resources &amp; Prospecting, 18 Fuxue Rd, Beijing 102249, Peoples R China.</t>
  </si>
  <si>
    <t>zhuohaiteng@hotmail.com; wym3939@vip.sina.com</t>
  </si>
  <si>
    <t>wang, ying/GQY-5077-2022; Zhuo, Haiteng/JGM-8422-2023; wang, yan/JBJ-7462-2023; wang, yingying/JCE-4984-2023; wang, yingying/GRS-3058-2022; wang, yan/GSE-6489-2022; Zhuo, Haiteng/M-9113-2015</t>
  </si>
  <si>
    <t>Zhuo, Haiteng/0000-0001-7769-3296</t>
  </si>
  <si>
    <t>National Natural Science Foundation of China [41372115, 40972077]</t>
  </si>
  <si>
    <t>This study was funded by the National Natural Science Foundation of China (Grants No. 41372115 and 40972077). We would like to express our gratitude to the China National Offshore Oil Corporation (CNOOC) for providing subsurface data and permitting publishing of the results. Wan Diao, Haiqing Wan and Liliang Wang are thanked for their help during the early preparation of this paper. The insightful reviews by editor Riyadh A. Rahmani and the anonymous reviewers significantly improved the final manuscript, for which we are grateful.</t>
  </si>
  <si>
    <t>0264-8172</t>
  </si>
  <si>
    <t>1873-4073</t>
  </si>
  <si>
    <t>MAR PETROL GEOL</t>
  </si>
  <si>
    <t>Mar. Pet. Geol.</t>
  </si>
  <si>
    <t>10.1016/j.marpetgeo.2014.03.002</t>
  </si>
  <si>
    <t>AI2TW</t>
  </si>
  <si>
    <t>WOS:000336712000008</t>
  </si>
  <si>
    <t>Liu, Y; Cheng, X; Hui, FM; Wang, XW; Wang, F; Cheng, C</t>
  </si>
  <si>
    <t>Liu Yan; Cheng Xiao; Hui FengMing; Wang XianWei; Wang Fang; Cheng Cheng</t>
  </si>
  <si>
    <t>Detection of crevasses over polar ice shelves using Satellite Laser Altimeter</t>
  </si>
  <si>
    <t>satellite laser altimeter; ICESat-1/GLAS; crevasse; depth detection; ice shelves</t>
  </si>
  <si>
    <t>EAST ANTARCTICA; GROUNDING ZONE; PROPAGATION; FRACTURE; RADAR; INSAR; MODIS</t>
  </si>
  <si>
    <t>Ice shelf breakups account for most mass loss from the Antarctic Ice Sheet as the consequence of the propagation of crevasses (or rift) in response to stress. Thus there is a pressing need for detecting crevasses' location and depth, to understand the mechanism of calving processes. This paper presents a method of crevasse detection using the ICESat-1/GLAS data. A case study was taken at the Amery Ice Shelf of Antarctica to verify the accuracy of geo-location and depth of crevasses detected. Moreover, based on the limited crevasse points, we developed a method to detect the peak stress points which can be used to track the location of the crack tips and to identify the possible high-risk area where an ice shelf begins to break up. The spatial and temporal distribution of crevasse depth and the spatial distribution of peak stress points of the Amery Ice Shelf were analyzed through 132 tracks in 16 campaign periods of ICESat-1/GLAS between 2003 and 2008. The results showed that the depth of the detected crevasse points ranged from 2 to 31.7 m, which were above the sea level; the crevasse that advected downstream to the front edge of an ice shelf has little possibility to directly result in breakups because the crevasse depth did not show any increasing trend over time; the local stress concentration is distributed mainly in the suture zones on the ice shelves.</t>
  </si>
  <si>
    <t>[Liu Yan; Cheng Xiao; Hui FengMing; Wang XianWei; Wang Fang] Beijing Normal Univ, State Key Lab Remote Sensing Sci, Beijing 100875, Peoples R China; [Liu Yan; Cheng Xiao; Hui FengMing; Wang XianWei; Wang Fang] Chinese Acad Sci, State Key Lab Remote Sensing Sci, Inst Remote Sensing &amp; Digital Earth, Beijing 100875, Peoples R China; [Liu Yan; Cheng Xiao; Hui FengMing; Wang XianWei; Wang Fang; Cheng Cheng] Beijing Normal Univ, Coll Global Change &amp; Earth Syst Sci, Beijing 100875, Peoples R China; [Cheng Cheng] Beijing Univ Civil Engn &amp; Architecture, Sch Surveying &amp; Urban Spatial Informat Sci, Beijing 100044, Peoples R China</t>
  </si>
  <si>
    <t>Beijing Normal University; Chinese Academy of Sciences; The Institute of Remote Sensing &amp; Digital Earth, CAS; Beijing Normal University; Beijing University of Civil Engineering &amp; Architecture</t>
  </si>
  <si>
    <t>Cheng, X (corresponding author), Beijing Normal Univ, State Key Lab Remote Sensing Sci, Beijing 100875, Peoples R China.;Cheng, X (corresponding author), Chinese Acad Sci, State Key Lab Remote Sensing Sci, Inst Remote Sensing &amp; Digital Earth, Beijing 100875, Peoples R China.</t>
  </si>
  <si>
    <t>xcheng@bnu.edu.cn</t>
  </si>
  <si>
    <t>Liu）, 刘岩（Yan/AAT-5481-2020; Wang, Fang/B-1923-2016</t>
  </si>
  <si>
    <t>Chinese Arctic and Antarctic Administration; Fundamental Research Funds for the Central Universities [105560GK]; National Basic Research Program of China [2012CB957704]; National High-tech RAMP;D Program of China [2008AA121702, 2008AA09Z117]; National Natural Science Foundation of China [41176163, 41106157]</t>
  </si>
  <si>
    <t>Chinese Arctic and Antarctic Administration; Fundamental Research Funds for the Central Universities(Fundamental Research Funds for the Central Universities); National Basic Research Program of China(National Basic Research Program of China); National High-tech RAMP;D Program of China; National Natural Science Foundation of China(National Natural Science Foundation of China (NSFC))</t>
  </si>
  <si>
    <t>This work was supported by the Chinese Arctic and Antarctic Administration, Fundamental Research Funds for the Central Universities (Grant No. 105560GK), National Basic Research Program of China (Grant No. 2012CB957704), National High-tech R&amp;D Program of China (Grant Nos. 2008AA121702 and 2008AA09Z117), and National Natural Science Foundation of China (Grant Nos. 41176163 and 41106157). We are grateful to the National Snow and Ice Data Center (NSIDC) for providing GLA12 dataset of ICESat-1/GLAS and MODIS Mosaic of Antarctica (MOA) dataset. We thank the anonymous reviewers for their valuable comments and suggestions.</t>
  </si>
  <si>
    <t>10.1007/s11430-013-4796-x</t>
  </si>
  <si>
    <t>AH8IE</t>
  </si>
  <si>
    <t>WOS:000336380400013</t>
  </si>
  <si>
    <t>Chen, LQ; Gao, ZY; Sun, H; Chen, BS; Cai, WJ</t>
  </si>
  <si>
    <t>Chen Liqi; Gao Zhongyong; Sun Heng; Chen Baoshan; Cai Wei-jun</t>
  </si>
  <si>
    <t>Distributions and air-sea fluxes of CO2 in the summer Bering Sea</t>
  </si>
  <si>
    <t>partial pressure of CO2; CO2 system; air-sea CO2 flux; Bering Sea</t>
  </si>
  <si>
    <t>NET COMMUNITY PRODUCTION; SURFACE-WATER; SPATIAL VARIABILITY; INORGANIC CARBON; OCEAN; EXCHANGE; CHUKCHI; PACIFIC; DIOXIDE; MARGINS</t>
  </si>
  <si>
    <t>The 3rd Chinese National Arctic Research Expedition (CHINARE-Arctic III) was carried out from July to September in 2008. The partial pressure of CO2 (pCO(2)) in the atmosphere and in surface seawater were determined in the Bering Sea during July 11-27, 2008, and a large number of seawater samples were taken for total alkalinity (TA) and total dissolved inorganic carbon (DIC) analysis. The distributions of CO2 parameters in the Bering Sea and their controlling factors were discussed. The pCO(2) values in surface seawater presented a drastic variation from 148 to 563 mu atm (1 mu atm = 1.013 25x10(-1) Pa). The lowest pCO(2) values were observed near the Bering Sea shelf break while the highest pCO(2) existed at the western Bering Strait. The Bering Sea generally acts as a net sink for atmospheric CO2 in summer. The air-sea CO2 fluxes in the Bering Sea shelf, slope, and basin were estimated at -9.4, -16.3, and -5.1 mmol/(m(2)center dot d), respectively. The annual uptake of CO2 was about 34 Tg C in the Bering Sea.</t>
  </si>
  <si>
    <t>[Chen Liqi; Gao Zhongyong; Sun Heng] State Ocean Adm, Inst Oceanog 3, Key Lab Global Change &amp; Marine Atmospher Chem, Xiamen 361005, Peoples R China; [Chen Baoshan; Cai Wei-jun] Univ Georgia, Dept Marine Sci, Athens, GA 30602 USA</t>
  </si>
  <si>
    <t>Third Institute of Oceanography, Ministry of Natural Resources; University System of Georgia; University of Georgia</t>
  </si>
  <si>
    <t>Chen, LQ (corresponding author), State Ocean Adm, Inst Oceanog 3, Key Lab Global Change &amp; Marine Atmospher Chem, Xiamen 361005, Peoples R China.</t>
  </si>
  <si>
    <t>lqchen@soa.gov.cn</t>
  </si>
  <si>
    <t>Cai, Wei-Jun/C-1361-2013</t>
  </si>
  <si>
    <t>The National Natural Science Foundation of China (NSFC) [40976116, 40531007]; Fujian Science Foundation [2009J06025]; SOA Youth Foundation [2012538]; Chinese Projects for Investigations and Assessments of the Arctic and Antarctic [CHINARE2012: 01-04, CHINARE2012: 02-01, CHINARE2012: 03-04, CHINARE2012: 04-03, CHINARE2012: 04-04, CHINARE2013: 01-04, CHINARE2013: 02-01, CHINARE2013: 03-04, CHINARE2013: 04-03, CHINARE2013: 04-04]; Chinese International Cooperation Projects [IC201114, IC201201, IC201308, HC120601]; Scientific Research Foundation of Third Institute of Oceanography, SOA [2012006, 2014006]</t>
  </si>
  <si>
    <t>The National Natural Science Foundation of China (NSFC)(National Natural Science Foundation of China (NSFC)); Fujian Science Foundation; SOA Youth Foundation; Chinese Projects for Investigations and Assessments of the Arctic and Antarctic; Chinese International Cooperation Projects; Scientific Research Foundation of Third Institute of Oceanography, SOA</t>
  </si>
  <si>
    <t>Foundation item: The National Natural Science Foundation of China (NSFC) under contract Nos 40976116 and 40531007; the Fujian Science Foundation under contract No. 2009J06025; the SOA Youth Foundation Grant under contract No. 2012538; the Chinese Projects for Investigations and Assessments of the Arctic and Antarctic under contract Nos CHINARE2012: 01-04, 02-01, 03-04, 04-03, 04-04, and CHINARE2013: 01-04, 02-01, 03-04, 04-03, 04-04; the Chinese International Cooperation Projects under contract Nos IC201114, IC201201, IC201308, and HC120601; the Scientific Research Foundation of Third Institute of Oceanography, SOA under contract Nos 2012006 and 2014006.</t>
  </si>
  <si>
    <t>10.1007/s13131-014-0483-9</t>
  </si>
  <si>
    <t>AH8YA</t>
  </si>
  <si>
    <t>WOS:000336422900001</t>
  </si>
  <si>
    <t>Chen, LQ; Zhang, JX; Zhan, LY; Li, YH; Sun, H</t>
  </si>
  <si>
    <t>Chen Liqi; Zhang Jiexia; Zhan Liyang; Li Yuhong; Sun Heng</t>
  </si>
  <si>
    <t>Differences in nitrous oxide distribution patterns between the Bering Sea basin and Indian Sector of the Southern Ocean</t>
  </si>
  <si>
    <t>nitrous oxide; Bering Sea basin; Southern Ocean; distribution</t>
  </si>
  <si>
    <t>DISSOLVED N2O; NORTH PACIFIC; DENITRIFICATION; WATER; NITRIFICATION; CIRCULATION; OXYGEN; THERMOHALINE; SIMULATIONS; ISOTOPOMERS</t>
  </si>
  <si>
    <t>Nitrous oxide (N2O) distribution patterns in the Bering Sea basin (BSB) and Indian Sector of the Southern Ocean (ISSO) were described and compared. In both sites, the waters were divided into four layers: surface layer, subsurface layer, N2O maximum layer, and deep water. Simulations were made to find out the most important factors that regulate the N2O distribution patterns in different layers of both sites. The results showed that in the surface water, N2O was more understaturated in the ISSO than the BSB. This phenomenon in the surface water of ISSO may result from ice melt water intrusion and northeastward transport of the Antarctic surface water. Results of the rough estimation of air-sea fluxes during the expedition were (-0.34 +/- 0.07)-(-0.64 +/- 0.13) mu mol/(m(2)center dot d) and (-1.47 +/- 0.42)-(-1.77 +/- 0.51) mu mol/(m(2)center dot d) for the BSB and the ISSO, respectively. Strongly stratified surface layer and temperature minimum layer restricted exchange across the thermocline. The N2O maximum existed in higher concentration and deeper in the BSB than the ISSO, but their contribution to the upper layer by eddy diffusions was negligible. In deep waters, a concentration difference of 5 nmol/L N2O between these two sites was found, which suggested that N2O production occurred during thermohaline circulation. N2O may be a useful tracer to study important large-scale hydrographic processes.</t>
  </si>
  <si>
    <t>[Chen Liqi; Zhang Jiexia] Xiamen Univ, Coll Ocean &amp; Earth Sci, Xiamen 361005, Peoples R China; [Chen Liqi; Zhang Jiexia; Zhan Liyang; Li Yuhong; Sun Heng] State Ocean Adm, Inst Oceanog 3, Key Lab Global Change &amp; Marine Atmospher Chem, Xiamen 361005, Peoples R China</t>
  </si>
  <si>
    <t>Xiamen University; Third Institute of Oceanography, Ministry of Natural Resources</t>
  </si>
  <si>
    <t>Chen, LQ (corresponding author), Xiamen Univ, Coll Ocean &amp; Earth Sci, Xiamen 361005, Peoples R China.</t>
  </si>
  <si>
    <t>Li, Yuhong/AAI-4668-2020</t>
  </si>
  <si>
    <t>The National Natural Science Foundation of China (NSFC) [40906102, 41230529]; CHINARE [-01-04-02, 01-02-01, 03-04-02]; CAA International Cooperation Projects [IC201201, IC201308]</t>
  </si>
  <si>
    <t>The National Natural Science Foundation of China (NSFC)(National Natural Science Foundation of China (NSFC)); CHINARE; CAA International Cooperation Projects</t>
  </si>
  <si>
    <t>Foundation item: The National Natural Science Foundation of China (NSFC) under contract Nos 40906102 and 41230529; the CHINARE under contract Nos 2012-2015 (-01-04-02), 2012-2015 (01-02-01) and 2012-2015 (03-04-02); the CAA International Cooperation Projects under contract Nos IC201201 and IC201308.</t>
  </si>
  <si>
    <t>10.1007/s13131-014-0484-8</t>
  </si>
  <si>
    <t>WOS:000336422900002</t>
  </si>
  <si>
    <t>Barton, JR; Irarrázaval, F</t>
  </si>
  <si>
    <t>Barton, Jonathan R.; Irarrazaval, Felipe</t>
  </si>
  <si>
    <t>Geographical representations: the role of the military in the development of contemporary Chilean geography</t>
  </si>
  <si>
    <t>AREA</t>
  </si>
  <si>
    <t>military geography; geopolitics; Chilean geography; geographical representations; Chile</t>
  </si>
  <si>
    <t>CARTOGRAPHY; SCIENCE</t>
  </si>
  <si>
    <t>This article points to two geographical representations. Both relate to the activities of the Military Geographical Institute (IGM) in Chile. The first representation, following on from the importance of the cartographic tradition in state-building, and the role of military institutions in this process, is a critical engagement with the representation of Chilean academic geography on the international stage via the IGM. The paper will reflect on the circumstances through which the IGM assumed this role, and questions its legitimacy as a consequence. The second points to the representation of geography as a cartographical exercise. Historically, similar institutions to the IGM in Latin America have played important roles in creating their national spaces, through mapping and other practices that communicate geopolitical representations of the national space. These representations of geography as cartography remain important since maps are used to communicate a 'national truth' to the wider population as well as associated expansionist geopolitical narrative. The representation of the 'Chilean Antarctic' will be used as an example of this activity. Both of these representations - of national space-building, and as the face of Chilean geography in international fora - are based on core elements of geopolitics that have to be engaged with critically since they reveal the continued importance of the military in representing national geographies. This article provides such an engagement, and concludes by arguing that representations of Chilean geography need to be democratised and demilitarised.</t>
  </si>
  <si>
    <t>[Barton, Jonathan R.; Irarrazaval, Felipe] Pontificia Univ Catolica Chile, Ctr Desarrollo Urbano Sustentable CEDEUS, Inst Estudios Urbanos &amp; Terr, Santiago, Chile; [Irarrazaval, Felipe] Univ Metropolitana Ciencias Educ, Dept Hist &amp; Geog, Santiago, Chile</t>
  </si>
  <si>
    <t>Pontificia Universidad Catolica de Chile; Universidad Metropolitana de Ciencias de la Educacion (UMCE)</t>
  </si>
  <si>
    <t>Barton, JR (corresponding author), Pontificia Univ Catolica Chile, Ctr Desarrollo Urbano Sustentable CEDEUS, Inst Estudios Urbanos &amp; Terr, Alameda 340, Santiago, Chile.</t>
  </si>
  <si>
    <t>jbarton@uc.cl</t>
  </si>
  <si>
    <t>Barton, Jonathan/E-8512-2011</t>
  </si>
  <si>
    <t>Barton, Jonathan/0000-0001-6250-8684; Irarrazaval, Felipe/0000-0002-8402-9526</t>
  </si>
  <si>
    <t>0004-0894</t>
  </si>
  <si>
    <t>1475-4762</t>
  </si>
  <si>
    <t>Area</t>
  </si>
  <si>
    <t>10.1111/area.12082</t>
  </si>
  <si>
    <t>Geography</t>
  </si>
  <si>
    <t>AG9QJ</t>
  </si>
  <si>
    <t>WOS:000335754000002</t>
  </si>
  <si>
    <t>Layton, C; Fulton, CJ</t>
  </si>
  <si>
    <t>Layton, Cayne; Fulton, Christopher J.</t>
  </si>
  <si>
    <t>Status-dependent foraging behaviour in coral reef wrasses</t>
  </si>
  <si>
    <t>CORAL REEFS</t>
  </si>
  <si>
    <t>Activity budget; Protogynous hermaphrodites; Social systems; Fish</t>
  </si>
  <si>
    <t>GREAT-BARRIER-REEF; SEX-CHANGE; LABRID FISHES; HABITAT USE; PATTERNS; PISCES; HALICHOERES; FLEXIBILITY; EXPOSURE; SIZE</t>
  </si>
  <si>
    <t>Field observations using underwater video were used to reveal differences in the duration and frequency that fish engaged in daily behaviours such as chasing, searching, feeding, and travelling, according to their social patterns [passive or aggressive terminal phases (TPs), pair-spawning, or promiscuous groups] and intraspecific status (terminal or initial colour phases). Marked differences were apparent according to status, but this was not consistent among the three species; TP Cheilinus fasciatus tended to swim in longer bouts with less frequent searching or feeding than initial phase (IP) conspecifics; TP Cirrhilabrus punctatus exhibited less frequent feeding and travelling than IP conspecifics, while the most aggressive species Stethojulis bandanensis displayed no significant intraspecific differences. We highlight the importance of social context and individual status when examining fish foraging activities and the utility of underwater video for recording the duration and frequency that fish engage in essential daily activities.</t>
  </si>
  <si>
    <t>[Layton, Cayne; Fulton, Christopher J.] Australian Natl Univ, ARC Ctr Excellence Coral Reef Studies, Res Sch Biol, Canberra, ACT 0200, Australia</t>
  </si>
  <si>
    <t>Australian National University</t>
  </si>
  <si>
    <t>Layton, C (corresponding author), Univ Tasmania, Inst Marine &amp; Antarctic Studies, Private Bag 129, Hobart, Tas 7001, Australia.</t>
  </si>
  <si>
    <t>cayne.layton@utas.edu.au</t>
  </si>
  <si>
    <t>Layton, Cayne/J-8443-2013; Fulton, Christopher J/A-5971-2008</t>
  </si>
  <si>
    <t>Layton, Cayne/0000-0002-3390-6437; Fulton, Christopher J/0000-0002-1140-1999</t>
  </si>
  <si>
    <t>Australian National University; Australian Research Council</t>
  </si>
  <si>
    <t>Australian National University(Australian National University); Australian Research Council(Australian Research Council)</t>
  </si>
  <si>
    <t>Thank you to J. Pink, D. Roche, and Lizard Island Research Station staff for field assistance, D. Starrs and A. Kahn for helpful discussions, M. Noble for illustrations, the Australian National University and Australian Research Council for funding and A. Harborne and three anonymous reviewers for helpful comments. Conducted under Great Barrier Reef Marine Park Authority permit G09/30054.1 and ANU Animal Experimentation Ethics Committee approval F.BTZ.41.10.</t>
  </si>
  <si>
    <t>0722-4028</t>
  </si>
  <si>
    <t>1432-0975</t>
  </si>
  <si>
    <t>Coral Reefs</t>
  </si>
  <si>
    <t>10.1007/s00338-014-1138-1</t>
  </si>
  <si>
    <t>AH6DC</t>
  </si>
  <si>
    <t>WOS:000336219900008</t>
  </si>
  <si>
    <t>Zhao, J; Wei, SS; Liu, F; Liu, DC</t>
  </si>
  <si>
    <t>Zhao, Jiao; Wei, Shanshan; Liu, Fei; Liu, Daicheng</t>
  </si>
  <si>
    <t>Separation and characterization of acetone-soluble phosphatidylcholine from Antarctic krill (Euphausia superba) oil</t>
  </si>
  <si>
    <t>EUROPEAN FOOD RESEARCH AND TECHNOLOGY</t>
  </si>
  <si>
    <t>Antarctic krill; Acetone-soluble PC; Separation; Characterization</t>
  </si>
  <si>
    <t>FATTY-ACIDS; PHOSPHOLIPIDS; CONSUMPTION; LECITHIN; LIPIDS</t>
  </si>
  <si>
    <t>Antarctic krill is the biggest fishery resource in the world with high content of phosphatidylcholine (PC) as a valuable natural product. A new method was developed to extract and separate Antarctic krill PC. The PC was extracted only by acetone from Antarctic krill oil and separated by silica gel column chromatography mixtures of chloroform and methanol as eluting solvents. Thin-layer chromatography, high-performance liquid chromatography, and Fourier-transform infrared spectroscopy analyses were used to characterize the acetone-soluble Antarctic krill PC. The purity of the purified PC was able to reach 97.77 +/- A 0.65 %, which provided a reference basis for the preparation of standard Antarctic krill PC. Moreover, it was found in the fatty acid analysis that the purified PC contained mainly five fatty acids, including palmitic acid (41.25 %), oleic acid (8.62 %), 7-hexadecenoic acid (4.60 %), EPA (31.34 %), and DHA (14.52 %). The result is helpful for the analysis of Antarctic krill PC's molecular structures and the evaluation of its nutritional value.</t>
  </si>
  <si>
    <t>[Zhao, Jiao; Wei, Shanshan; Liu, Fei; Liu, Daicheng] Shandong Normal Univ, Coll Life Sci, Key Lab Anim Resistance, Jinan 250014, Peoples R China</t>
  </si>
  <si>
    <t>Shandong Normal University</t>
  </si>
  <si>
    <t>Liu, DC (corresponding author), Shandong Normal Univ, Coll Life Sci, Key Lab Anim Resistance, 88 East Wenhua Rd, Jinan 250014, Peoples R China.</t>
  </si>
  <si>
    <t>987028281@qq.com; liudch@sdnu.edu.cn</t>
  </si>
  <si>
    <t>1438-2377</t>
  </si>
  <si>
    <t>1438-2385</t>
  </si>
  <si>
    <t>EUR FOOD RES TECHNOL</t>
  </si>
  <si>
    <t>Eur. Food Res. Technol.</t>
  </si>
  <si>
    <t>10.1007/s00217-014-2178-z</t>
  </si>
  <si>
    <t>Food Science &amp; Technology</t>
  </si>
  <si>
    <t>AH6VE</t>
  </si>
  <si>
    <t>WOS:000336269200013</t>
  </si>
  <si>
    <t>Lovatt, FM; Hoelzel, AR</t>
  </si>
  <si>
    <t>Lovatt, Fiona M.; Hoelzel, A. Rus</t>
  </si>
  <si>
    <t>Impact on Reindeer (Rangifer tarandus) Genetic Diversity from Two Parallel Population Bottlenecks Founded from a Common Source</t>
  </si>
  <si>
    <t>EVOLUTIONARY BIOLOGY</t>
  </si>
  <si>
    <t>Reindeer; Rangifer tarandus; Deer; Bottlenecks; Conservation; Microsatellite DNA</t>
  </si>
  <si>
    <t>COMPUTER-PROGRAM; VARIABILITY; PATTERNS; SIZE; DIFFERENTIATION; HETEROZYGOSITY; FREQUENCIES; DISPERSAL; TESTS</t>
  </si>
  <si>
    <t>Population bottlenecks and founder events reduce genetic diversity through stochastic processes associated with the sampling of alleles at the time of the bottleneck, and the recombination of alleles that are identical by descent. At the same time bottlenecks and founder events can structure populations through the stochastic distortion of allele frequencies. Here we undertake an empirical assessment of the impact of two independent bottlenecks of known size from a known source, and consider inference about evolutionary process in the context of simulations and theoretical expectations. We find a similar level of reduced variation in the parallel bottleneck events, with the greater impact on the population that began with the smaller number of females. The level of diversity remaining was consistent with model predictions, but only if re-growth of the population was essentially exponential and polygeny was minimal at the early stages. There was a high level of differentiation seen compared to the source population and between the two bottlenecked populations, reflecting the stochastic distortion of allele frequencies. We provide empirical support for the theoretical expectations that considerable diversity can remain following a severe bottleneck event, given rapid demographic recovery, and that populations founded from the same source can become quickly differentiated. These processes may be important during the evolution of population genetic structure for species affected by rapid changes in available habitat.</t>
  </si>
  <si>
    <t>[Lovatt, Fiona M.; Hoelzel, A. Rus] Univ Durham, Sch Biol &amp; Biomed Sci, Dept Biol Sci, Durham DH1 3LE, England</t>
  </si>
  <si>
    <t>Durham University</t>
  </si>
  <si>
    <t>Hoelzel, AR (corresponding author), Univ Durham, Sch Biol &amp; Biomed Sci, Dept Biol Sci, S Rd, Durham DH1 3LE, England.</t>
  </si>
  <si>
    <t>a.r.hoelzel@durham.ac.uk</t>
  </si>
  <si>
    <t>Lovatt, Fiona/0000-0003-2298-9174</t>
  </si>
  <si>
    <t>British Ecological Society; Shackleton Scholarship Fund; Trans-Antarctic Association</t>
  </si>
  <si>
    <t>Funds were provided by small project grants awarded by the British Ecological Society, the Shackleton Scholarship Fund and the Trans-Antarctic Association. Thanks to members of BSES Expeditions and the British Antarctic Survey as well as a number of individuals in South Georgia, the Falkland Islands and Norway who assisted in the collection and transportation of samples.</t>
  </si>
  <si>
    <t>0071-3260</t>
  </si>
  <si>
    <t>1934-2845</t>
  </si>
  <si>
    <t>EVOL BIOL</t>
  </si>
  <si>
    <t>Evol. Biol.</t>
  </si>
  <si>
    <t>10.1007/s11692-013-9263-2</t>
  </si>
  <si>
    <t>Evolutionary Biology</t>
  </si>
  <si>
    <t>AH7QG</t>
  </si>
  <si>
    <t>WOS:000336327800007</t>
  </si>
  <si>
    <t>Lee, J; Lee, H; Noh, EK; Park, M; Park, H; Kim, JH; Kim, IC; Yim, JH</t>
  </si>
  <si>
    <t>Lee, Jungeun; Lee, Hyoungseok; Noh, Eun Kyeung; Park, Mira; Park, Hyun; Kim, Ji Hyun; Kim, Il-Chan; Yim, Joung Han</t>
  </si>
  <si>
    <t>Expression analysis of transcripts responsive to osmotic stress in Deschampsia antarctica Desv.</t>
  </si>
  <si>
    <t>GENES &amp; GENOMICS</t>
  </si>
  <si>
    <t>Antarctic; cDNA macroarray; Osmotic stress; Poaceae; P5CS</t>
  </si>
  <si>
    <t>2 P5CS GENES; PLANT-RESPONSES; SALT-STRESS; DROUGHT; ARABIDOPSIS; TOLERANCE; PROFILES; SALINITY; SORGHUM; FAMILY</t>
  </si>
  <si>
    <t>Deschampsia antarctica Desv., the only monocot species thriving in the tough conditions of the Antarctic region, is surrounded by regions with snow and ice where available amount of liquid water is very limited. Considering the species as an invaluable resource for the identification of genes associated with tolerance to osmotic stress, we have characterized the physiological response and the changes in gene expression induced by PEG treatment using a cDNA macroarray. Since relative chlorophyll contents of leaves decreased to 69 %, proline levels were changed significantly, and expression levels of dehydrin and late embryogenesis abundant protein were significantly up-regulated at 1 day after PEG treatment, we used corresponding plant samples as the material for gene expression analysis. As a result of hybridization and analysis of cDNA macroarray, we identified 44 and 20 transcripts that were up-regulated and down-regulated by PEG treatment respectively, and they were divided into several functional categories. Most of the up-regulated transcripts are involved in 'Response to stimulus', 'Amino acid metabolism', and 'Respiration'. On the other hand, most of the down-regulated transcripts are involved in 'Photosynthesis' and 'Translation'. Among the up-regulated transcripts, a dagger-1-pyrroline-5-carboxylate synthase 2 gene has shown the highest expression level at 1 day after PEG treatment suggesting its possible role as a main player for proline biosynthesis in D. antarctica under osmotic stress. Collectively, these data suggest that the transcripts differentially expressed under osmotic stress may represent candidate genes for dissecting molecular mechanism of adaptation to extreme environment for plants.</t>
  </si>
  <si>
    <t>[Lee, Jungeun; Lee, Hyoungseok; Noh, Eun Kyeung; Park, Mira; Park, Hyun; Kim, Ji Hyun; Kim, Il-Chan; Yim, Joung Han] Korea Polar Res Inst, Div Life Sci, Inchon 406840, South Korea</t>
  </si>
  <si>
    <t>Korea Institute of Ocean Science &amp; Technology (KIOST); Korea Polar Research Institute (KOPRI)</t>
  </si>
  <si>
    <t>Lee, H (corresponding author), Korea Polar Res Inst, Div Life Sci, 26 Songdomirae Ro, Inchon 406840, South Korea.</t>
  </si>
  <si>
    <t>soulaid@kopri.re.kr</t>
  </si>
  <si>
    <t>Park, Mira/F-8443-2015</t>
  </si>
  <si>
    <t>Lee, Hyoungseok/0000-0002-5831-6345; Park, Hyun/0000-0002-8055-2010</t>
  </si>
  <si>
    <t>Korea Polar Research Institute [PE13020, PE13040]</t>
  </si>
  <si>
    <t>This work was supported by Korea Polar Research Institute (Grants PE13020 and PE13040).</t>
  </si>
  <si>
    <t>1976-9571</t>
  </si>
  <si>
    <t>2092-9293</t>
  </si>
  <si>
    <t>GENES GENOM</t>
  </si>
  <si>
    <t>Genes Genom.</t>
  </si>
  <si>
    <t>10.1007/s13258-013-0166-5</t>
  </si>
  <si>
    <t>Biochemistry &amp; Molecular Biology; Biotechnology &amp; Applied Microbiology; Genetics &amp; Heredity</t>
  </si>
  <si>
    <t>AH8TS</t>
  </si>
  <si>
    <t>WOS:000336411700004</t>
  </si>
  <si>
    <t>Villar-Muñoz, L; Behrmann, JH; Diaz-Naveas, J; Klaeschen, D; Karstens, J</t>
  </si>
  <si>
    <t>Villar-Munoz, Lucia; Behrmann, Jan H.; Diaz-Naveas, Juan; Klaeschen, Dirk; Karstens, Jens</t>
  </si>
  <si>
    <t>Heat flow in the southern Chile forearc controlled by large-scale tectonic processes</t>
  </si>
  <si>
    <t>GEO-MARINE LETTERS</t>
  </si>
  <si>
    <t>11th International Conference on Gas in Marine Sediments</t>
  </si>
  <si>
    <t>SEP 04-07, 2012</t>
  </si>
  <si>
    <t>Nice, FRANCE</t>
  </si>
  <si>
    <t>BOTTOM SIMULATING REFLECTORS; GAS HYDRATE STABILITY; OFFSHORE ARAUCO; TRIPLE JUNCTION; SEISMIC GAP; SUBDUCTION; MARGIN; ZONE; EARTHQUAKES; EVOLUTION</t>
  </si>
  <si>
    <t>Between 33A degrees S and 47A degrees S, the southern Chile forearc is affected by the subduction of the aseismic Juan Fernandez Ridge, several major oceanic fracture zones on the subducting Nazca Plate, the active Chile Ridge spreading centre, and the underthrusting Antarctic Plate. The heat flow through the forearc was estimated using the depth of the bottom simulating reflector obtained from a comprehensive database of reflection seismic profiles. On the upper and middle continental slope along the whole forearc, heat flow is about 30-60 mW m(-2), a range of values common for the continental basement and overlying slope sediments. The actively deforming accretionary wedge on the lower slope, however, in places shows heat flow reaching about 90 mW m(-2). This indicates that advecting pore fluids from deeper in the subduction zone may transport a substantial part of the heat there. The large size of the anomalies suggests that fluid advection and outflow at the seafloor is overall diffuse, rather than being restricted to individual fault structures or mud volcanoes and mud mounds. One large area with very high heat flow is associated with a major tectonic feature. Thus, above the subducting Chile Ridge at 46A degrees S, values of up to 280 mW m(-2) indicate that the overriding South American Plate is effectively heated by subjacent zero-age oceanic plate material.</t>
  </si>
  <si>
    <t>[Villar-Munoz, Lucia; Behrmann, Jan H.; Klaeschen, Dirk; Karstens, Jens] GEOMAR Helmholtz Ctr Ocean Res, D-24148 Kiel, Germany; [Diaz-Naveas, Juan] Pontificia Univ Catolica Valparaiso, Escuela Ciencias Mar, Valparaiso 1480, Chile</t>
  </si>
  <si>
    <t>Helmholtz Association; GEOMAR Helmholtz Center for Ocean Research Kiel; Pontificia Universidad Catolica de Valparaiso</t>
  </si>
  <si>
    <t>Villar-Muñoz, L (corresponding author), GEOMAR Helmholtz Ctr Ocean Res, Wischhofstr 1-3, D-24148 Kiel, Germany.</t>
  </si>
  <si>
    <t>lvillar@geomar.de</t>
  </si>
  <si>
    <t>Karstens, Jens/JQJ-1482-2023; Karstens, Jens/AAU-4656-2020</t>
  </si>
  <si>
    <t>Karstens, Jens/0000-0002-9434-2479; Klaeschen, Dirk/0000-0002-8034-684X</t>
  </si>
  <si>
    <t>FONDEF [D00I11004]; postgraduate DAAD grant</t>
  </si>
  <si>
    <t>FONDEF; postgraduate DAAD grant</t>
  </si>
  <si>
    <t>We are grateful to the contributors of the programme Hidratos de gas submarinos: una nueva fuente de energia para el siglo XXI (FONDEF Grant D00I11004), who provided the time migrated data from R/V Vidal Gormaz cruises VG02 and 06. We thank GEOMAR for the use of data from R/V Sonne cruises S0161 and SO101. Special thanks are due to Steven Cande and Stephen Lewis, who acquired the openly available data (http://www.ig.utexas.edu/sdc/) of R/V Robert Conrad Cruise RC 2901. Lucia Villar-Munoz acknowledges tenure of a postgraduate DAAD grant, Heiner Villinger for stimulating input, and an invitation to participate in the ECORD Summer School 2011 at MARUM, Bremen, Germany. Constructive comments from two anonymous reviewers, as well as the guest editor Catherine Pierre and the journal editors were most helpful in improving the manuscript.</t>
  </si>
  <si>
    <t>0276-0460</t>
  </si>
  <si>
    <t>1432-1157</t>
  </si>
  <si>
    <t>GEO-MAR LETT</t>
  </si>
  <si>
    <t>Geo-Mar. Lett.</t>
  </si>
  <si>
    <t>2-3</t>
  </si>
  <si>
    <t>10.1007/s00367-013-0353-z</t>
  </si>
  <si>
    <t>AH8MU</t>
  </si>
  <si>
    <t>WOS:000336392800007</t>
  </si>
  <si>
    <t>Hoshino, E; Milner-Gulland, EJ; Hillary, RM</t>
  </si>
  <si>
    <t>Hoshino, Eriko; Milner-Gulland, E. J.; Hillary, Richard M.</t>
  </si>
  <si>
    <t>Why model assumptions matter for natural resource management: interactions between model structure and life histories in fishery models</t>
  </si>
  <si>
    <t>JOURNAL OF APPLIED ECOLOGY</t>
  </si>
  <si>
    <t>model structure; errors; resource management; fishery; bioeconomic; target reference point; uncertainty; life history</t>
  </si>
  <si>
    <t>STRATEGY EVALUATION; MARINE ECOSYSTEM; UNCERTAINTY; ADVICE; STOCK; IMPLEMENTATION; CONSERVATION; POPULATION; MORTALITY</t>
  </si>
  <si>
    <t>Bioeconomic models are increasingly used to provide benchmarks for harvest levels in wildlife and natural resource management, yet uncertainties related to model structure are underexplored. We investigate the importance of a range of uncertainties with a focus on model structure and life histories when estimating bioeconomic target reference point (TRPs) and assess the policy implications of ignoring these uncertainties. We use three contrasting case studies to investigate the interactions between model, observational and process errors related to life-history parameters: the short-lived Japanese common squid Todarodes pacificus and Pacific saury Cololabis saira, and the slow-growing Patagonian toothfish Dissostichus eleginoides. We developed a simulation framework to test the harvest strategies resulting from bioeconomic TRPs under various assumptions about model structures and parameters. We found the relative importance of different types of uncertainties affecting precision and accuracy of the model outputs varied according to the life-history traits. Little difference in TRP estimates was found between simple vs. complex population models for saury, while large differences were found for toothfish. The assumptions made about stock structure for squid not only resulted in different TRP estimates (generally, smaller for the multistock models), but also different economic outcomes depending on the balance of effort allocation between stocks. Synthesis and applications. We use models similar to those used in the actual management of three case study species to explore the effects of interacting uncertainties on the management advice. We show that the interactions between structural elements of the models lead to very different management advice, depending on the life history of the species concerned. For the long-lived toothfish, life-history and gear selectivity parameters interacted strongly. For the short-lived squid which is managed as two stocks, spatial fishing effort allocation, correlation of environmental drivers between stocks and differential stock productivity interacted, producing very poor economic performance if assumptions about stock structure are incorrect. The key message for model-based natural resource management is that it is vital to investigate the major uncertainties related to model structure, process and estimation errors simultaneously, because they interact to produce non-intuitive results.</t>
  </si>
  <si>
    <t>[Hoshino, Eriko] Univ Tasmania, Inst Marine &amp; Antarctic Studies, Tasmanian Sch Business &amp; Econ, Hobart, Tas 7001, Australia; [Hoshino, Eriko; Milner-Gulland, E. J.] Imperial Coll London, Dept Life Sci, Ascot SL5 7PY, Berks, England; [Hillary, Richard M.] CSIRO Marine &amp; Atmospher Res, Wealth Oceans Natl Res Flagship, Hobart, Tas 7001, Australia</t>
  </si>
  <si>
    <t>University of Tasmania; Imperial College London; Commonwealth Scientific &amp; Industrial Research Organisation (CSIRO)</t>
  </si>
  <si>
    <t>Hoshino, E (corresponding author), Univ Tasmania, Inst Marine &amp; Antarctic Studies, Tasmanian Sch Business &amp; Econ, Bag 85, Hobart, Tas 7001, Australia.</t>
  </si>
  <si>
    <t>eriko.hoshino@utas.edu.au</t>
  </si>
  <si>
    <t>Hillary, Richard M/L-3300-2013; Hoshino, Eriko/N-7557-2013</t>
  </si>
  <si>
    <t>Hoshino, Eriko/0000-0001-7110-4251</t>
  </si>
  <si>
    <t>0021-8901</t>
  </si>
  <si>
    <t>1365-2664</t>
  </si>
  <si>
    <t>J APPL ECOL</t>
  </si>
  <si>
    <t>J. Appl. Ecol.</t>
  </si>
  <si>
    <t>10.1111/1365-2664.12225</t>
  </si>
  <si>
    <t>AH2PA</t>
  </si>
  <si>
    <t>WOS:000335962200009</t>
  </si>
  <si>
    <t>Buchanan, PJ; Swadling, KM; Eriksen, RS; Wild-Allen, K</t>
  </si>
  <si>
    <t>Buchanan, P. J.; Swadling, K. M.; Eriksen, R. S.; Wild-Allen, K.</t>
  </si>
  <si>
    <t>New evidence links changing shelf phytoplankton communities to boundary currents in southeast Tasmania</t>
  </si>
  <si>
    <t>REVIEWS IN FISH BIOLOGY AND FISHERIES</t>
  </si>
  <si>
    <t>Phytoplankton; Ocean warming; Ceratium; Leeuwin Current; East Australian Current; Range extension; Primary production regimes</t>
  </si>
  <si>
    <t>CLIMATE-CHANGE IMPACTS; NORTH-SEA; INTERANNUAL VARIABILITY; DINOFLAGELLATE CERATIUM; REGIME SHIFT; WATER MASSES; ZOOPLANKTON; OCEAN; CONVERGENCE; ADJACENT</t>
  </si>
  <si>
    <t>Southern Tasmanian shelf waters are host to the seasonal interplay of Australia's two poleward boundary currents; the East Australian Current (EAC) and the Leeuwin Current (LC). While the behaviour and properties of the LC remain underexplored, strong research focus has allowed insight into how an intensifying EAC has created greater subtropical influence, leading to changes in the physical and biological oceanography of the region. In this cool temperate setting seven species of dinoflagellates, all in the genus Ceratium, which are more typically associated with warm waters of eastern Australia, were observed. This coincided with the seasonal increase in the EAC's southward penetration beginning in October. Despite the seasonal peak in EAC activity, temperature-salinity plots, nutrient, chlorophyll a and phytoplankton concentrations all indicate the presence of subantarctic waters on the shelf and in coastal waters in summer. Our results are consistent with the description of the EAC as an erratic, eddy-driven current; this itself allowing the periodic influx of subantarctic waters across the shelf. In winter, temperature-salinity plots and nutrient concentrations indicate that the LC was present in southern shelf waters. In addition to its high nitrate signature, the LC displayed low silicate properties in southern Tasmania. Chlorophyll a concentrations revealed a distinct spring bloom event and an extended, productive summer, typical of temperate and subantarctic systems, respectively. This suggests the region is a transitional state between classic seasonal primary production cycles for temperate and subantarctic waters. This paper links changes in southern Tasmanian microphytoplankton communities to shelf ventilation by the EAC, the LC and subantarctic waters, and provides new insight into the oceanography of the region. Consequently, this study provides an awareness of potential phytoplankton perturbations that may be applied to other coastal cool temperate marine environments.</t>
  </si>
  <si>
    <t>[Buchanan, P. J.] Murdoch Univ, Sch Vet &amp; Life Sci, Murdoch, WA 6150, Australia; [Swadling, K. M.; Eriksen, R. S.] Univ Tasmania, Inst Marine &amp; Antarctic Studies, Hobart, Tas 7001, Australia; [Wild-Allen, K.] CSIRO Hobart Marine &amp; Atmospher Res Labs, Hobart, Tas 7001, Australia</t>
  </si>
  <si>
    <t>Murdoch University; University of Tasmania; Commonwealth Scientific &amp; Industrial Research Organisation (CSIRO)</t>
  </si>
  <si>
    <t>Buchanan, PJ (corresponding author), Murdoch Univ, Sch Vet &amp; Life Sci, South St, Murdoch, WA 6150, Australia.</t>
  </si>
  <si>
    <t>pearse.buchanan@hotmail.com</t>
  </si>
  <si>
    <t>Wild-Allen, Karen/D-9263-2018; Buchanan, Pearse/JZE-1421-2024; Buchanan, Pearse/O-1242-2019; Eriksen, Ruth/J-7760-2014</t>
  </si>
  <si>
    <t>Buchanan, Pearse/0000-0001-7142-882X; Swadling, Kerrie/0000-0002-7620-841X; Eriksen, Ruth/0000-0002-5184-2465</t>
  </si>
  <si>
    <t>0960-3166</t>
  </si>
  <si>
    <t>1573-5184</t>
  </si>
  <si>
    <t>REV FISH BIOL FISHER</t>
  </si>
  <si>
    <t>Rev. Fish. Biol. Fish.</t>
  </si>
  <si>
    <t>10.1007/s11160-013-9312-z</t>
  </si>
  <si>
    <t>AH7AW</t>
  </si>
  <si>
    <t>WOS:000336285600003</t>
  </si>
  <si>
    <t>Hamon, KG; Frusher, SD; Little, LR; Thébaud, O; Punt, AE</t>
  </si>
  <si>
    <t>Hamon, Katell G.; Frusher, Stewart D.; Little, L. Richard; Thebaud, Olivier; Punt, Andre E.</t>
  </si>
  <si>
    <t>Adaptive behaviour of fishers to external perturbations: simulation of the Tasmanian rock lobster fishery</t>
  </si>
  <si>
    <t>Tasmanian rock lobster; Fleet dynamics; Fishers behaviour; Climate change</t>
  </si>
  <si>
    <t>JASUS-EDWARDSII; FLEET DYNAMICS; CLIMATE-CHANGE; INDIVIDUAL VARIATION; AUSTRALIA; SIZE; MANAGEMENT; VICTORIA; MODEL</t>
  </si>
  <si>
    <t>The rock lobster, Jasus edwardsii, lies on a global hotspot for climate change in the southeastern Australian state of Tasmania. The short-term effects of climate change are predicted to lead to an increasing exploitable biomass in the south and declining biomass in the north of the state. The future of the fishery is highly uncertain due to climate change, but also due to insecurities linked to the market conditions. The market for Tasmanian rock lobster is driven by the demand of a single market, China, which absorbs 75 % of the catch. This study examines how fishers can adapt to external perturbations that affect the social and economic viability of the fleet and the ecological dynamics of the stock. Three fleet dynamic models of increasing complexity are used to investigate the effects of climate change and lobster price changes on the fishery. There could be local depletion leading to negative short-term profit for the fleet if it is static and the proportion of the total catch taken in each region of the fishery does not respond to climate-induced-changes. Better outcomes would occur if the fleet adapts dynamically to environmental conditions, and fishing effort follows stock abundance, which would counter-act the short-term effects of climate change. Only a model with explicit representation of economic drivers can fully capture the local economic and social impacts of large scale global perturbations.</t>
  </si>
  <si>
    <t>[Hamon, Katell G.; Thebaud, Olivier] IFREMER, UMR AMURE, Dept Econ Maritime, Plouzane, France; [Hamon, Katell G.; Little, L. Richard; Punt, Andre E.] CSIRO Marine &amp; Atmospher Res, CSIRO Wealth Oceans Natl Res Flagship, Hobart, Tas, Australia; [Hamon, Katell G.; Frusher, Stewart D.] Univ Tasmania, Inst Marine &amp; Antarctic Studies Fisheries Aquacul, Hobart, Tas, Australia; [Hamon, Katell G.] Univ Brest, Univ Europeenne Bretagne, UMR AMURE, IUEM, F-29238 Brest 3, France; [Hamon, Katell G.] LEI Wageningen UR, Aquat Resources, NL-2502 LS The Hague, Netherlands; [Thebaud, Olivier] CSIRO Marine &amp; Atmospher Res, CSIRO Wealth Oceans Natl Res Flagship, EcoSci Precinct, Brisbane, Qld, Australia; [Punt, Andre E.] Univ Washington, Sch Aquat &amp; Fishery Sci, Seattle, WA 98195 USA</t>
  </si>
  <si>
    <t>Universite de Bretagne Occidentale; Ifremer; Commonwealth Scientific &amp; Industrial Research Organisation (CSIRO); University of Tasmania; Universite de Bretagne Occidentale; Ifremer; Wageningen University &amp; Research; Commonwealth Scientific &amp; Industrial Research Organisation (CSIRO); University of Washington; University of Washington Seattle</t>
  </si>
  <si>
    <t>Hamon, KG (corresponding author), IFREMER, UMR AMURE, Dept Econ Maritime, Plouzane, France.</t>
  </si>
  <si>
    <t>kg.hamon@gmail.com</t>
  </si>
  <si>
    <t>Little, Rich/E-7578-2011; Thebaud, Olivier/D-9792-2011; Hamon, Katell G/C-7206-2011; Frusher, Stewart/G-5117-2014</t>
  </si>
  <si>
    <t>Little, Rich/0000-0002-5650-7391; Thebaud, Olivier/0000-0001-8665-3827; Frusher, Stewart/0000-0003-2493-3676; Hamon, Katell G./0000-0002-6419-8947; Punt, Andre/0000-0001-8489-2488</t>
  </si>
  <si>
    <t>IFREMER; CSIRO-UTAS Quantitative Marine Science program (QMS); French Embassy; French-Australian Scientific and Technological cooperation program</t>
  </si>
  <si>
    <t>We are grateful to Ingrid van Putten and Caleb Gardner for the ex-vessel prices of lobster and costs data and to Klaas Hartmann for the biological data on the fishery. We would like to thank Natalie Dowling, Neil Klaer and two anonymous reviewers for their comments on a previous version of the manuscript. The first author was supported by a PhD scholarship co-funded by IFREMER and the joint CSIRO-UTAS Quantitative Marine Science program (QMS). The collaboration was financially supported by a cotutelle travel grant from the French Embassy and the French-Australian Scientific and Technological cooperation program (http://www.umr-amure.fr/pg_fast.php).</t>
  </si>
  <si>
    <t>10.1007/s11160-013-9302-1</t>
  </si>
  <si>
    <t>Bronze, Green Submitted</t>
  </si>
  <si>
    <t>WOS:000336285600011</t>
  </si>
  <si>
    <t>Ivanova, J; Stoyancheva, G; Pouneva, I</t>
  </si>
  <si>
    <t>Ivanova, Juliana; Stoyancheva, Galina; Pouneva, Irina</t>
  </si>
  <si>
    <t>Lysis of Antarctic algal strains by bacterial pathogen</t>
  </si>
  <si>
    <t>Synechocystis salina; Microbacterium; Lytic bacteria; Electron microscopy; Pigments</t>
  </si>
  <si>
    <t>SYNECHOCYSTIS-SALINA; GENUS MICROBACTERIUM; ORLA-JENSEN; SP-NOV.; UV-B; CONTAMINATION</t>
  </si>
  <si>
    <t>The present paper describes the isolation, physiological and genetic characteristic of a bacterial agent which inhibits the growth of algae and causes death of laboratory cultures of Antarctic microalgal strains: prokaryotic cyanobacteria Synechocystis salina and green eukaryotic microalga Choricistis minor. The bacterial strain LB1 was isolated from algal damaged laboratory cultures of S. salina. It was established that this bacterium is obligate aerobic, Gram-positive, non-spore-forming, immotile, irregular rods with dimensions 0.3-2 mu m. Our results showed that LB1 has algicidal effect to S. salina as well as to C. minor. Transmission electron microscopy observations confirmed the destruction of S. salina by the bacterium. Biochemical analysis of LB1 revealed positive reaction to d-glucose, catalase, hydrolysis of gelatin, acid production from: lactose, l-arabinose, l-ramnose, esculin and beta-galactosidase. The partial sequence (1,404 bp) of the 16S rRNA gene of LB1 showed 99 % similarity with type strains of the genus Microbacterium. The results of the biochemical, antimicrobial and of 16S rRNA analysis of LB1 allowed us to identify LB1 as Microbacterium sp. Studying expression of pathogenicity of the bacteria to algal cultures will help to solve the problem of algal production for biotechnological purposes.</t>
  </si>
  <si>
    <t>[Ivanova, Juliana; Pouneva, Irina] Bulgarian Acad Sci, Inst Plant Physiol &amp; Genet, Dept Expt Algol, BU-1113 Sofia, Bulgaria; [Stoyancheva, Galina] Bulgarian Acad Sci, Inst Microbiol, Dept Microbial Genet, BU-1113 Sofia, Bulgaria</t>
  </si>
  <si>
    <t>Bulgarian Academy of Sciences; Bulgarian Academy of Sciences; Medical University Sofia</t>
  </si>
  <si>
    <t>Pouneva, I (corresponding author), Bulgarian Acad Sci, Inst Plant Physiol &amp; Genet, Dept Expt Algol, 21 Acad G Bonchev Str, BU-1113 Sofia, Bulgaria.</t>
  </si>
  <si>
    <t>juivanova@yahoo.com; ipuneva@bio.bas.bg</t>
  </si>
  <si>
    <t>Ivanova, Juliana Georgieva/IXW-8857-2023</t>
  </si>
  <si>
    <t>National Science Fund, Bulgaria [DOO2-317]</t>
  </si>
  <si>
    <t>National Science Fund, Bulgaria(National Science Fund of Bulgaria)</t>
  </si>
  <si>
    <t>The work was supported by contract DOO2-317 with National Science Fund, Bulgaria. We thank Prof. T. Toncheva-Panova for collaboration.</t>
  </si>
  <si>
    <t>10.1007/s10482-014-0159-7</t>
  </si>
  <si>
    <t>AH3LX</t>
  </si>
  <si>
    <t>WOS:000336026200001</t>
  </si>
  <si>
    <t>Fripiat, F; Tison, JL; André, L; Notz, D; Delille, B</t>
  </si>
  <si>
    <t>Fripiat, Francois; Tison, Jean-Louis; Andre, Luc; Notz, Dirk; Delille, Bruno</t>
  </si>
  <si>
    <t>Biogenic silica recycling in sea ice inferred from Si-isotopes: constraints from Arctic winter first-year sea ice</t>
  </si>
  <si>
    <t>BIOGEOCHEMISTRY</t>
  </si>
  <si>
    <t>Sea ice; Nutrient cycles; Silicon; Biogenic silica production; Biogenic silica; dissolution</t>
  </si>
  <si>
    <t>SOUTHERN-OCEAN; MARINE DIATOMS; FRACTIONATION; DISSOLUTION; PHYTOPLANKTON; DYNAMICS; PACIFIC; WATERS; CARBON; ALGAE</t>
  </si>
  <si>
    <t>We report silicon isotopic composition (delta Si-30 vs. NBS28) in Arctic sea ice, based on sampling of silicic acid from both brine and seawater in a small Greenlandic bay in March 2010. Our measurements show that just before the productive period, delta Si-30 of sea-ice brine similar to delta Si-30 of the underlying seawater. Hence, there is no Si isotopic fractionation during sea-ice growth by physical processes such as brine convection. This finding brings credit and support to the conclusions of previous work on the impact of biogenic processes on sea ice delta Si-30: any delta Si-30 change results from a combination of biogenic silica production and dissolution. We use this insight to interpret data from an earlier study of sea-ice delta Si-30 in Antarctic pack ice that show a large accumulation of biogenic silica. Based on these data, we estimate a significant contribution of biogenic silica dissolution (D) to production (P), with a D:P ratio between 0.4 and 0.9. This finding has significant implications for the understanding and parameterization of the sea ice Si-biogeochemical cycle, i.e. previous studies assumed little or no biogenic silica dissolution in sea ice.</t>
  </si>
  <si>
    <t>[Fripiat, Francois; Tison, Jean-Louis] Univ Libre Bruxelles, Dept Earth &amp; Environm Sci, B-1050 Brussels, Belgium; [Fripiat, Francois; Tison, Jean-Louis] Vrije Univ Brussel, Brussels, Belgium; [Andre, Luc] Royal Museum Cent Afr, Dept Earth Sci, Tervuren, Belgium; [Notz, Dirk] Max Planck Inst Meteorol, D-20146 Hamburg, Germany; [Delille, Bruno] Univ Liege, Interfac Ctr Marine Res, Unite Oceanog Chim, Liege, Belgium</t>
  </si>
  <si>
    <t>Universite Libre de Bruxelles; Vrije Universiteit Brussel; Royal Museum for Central Africa; Max Planck Society; University of Liege</t>
  </si>
  <si>
    <t>Fripiat, F (corresponding author), Univ Libre Bruxelles, Dept Earth &amp; Environm Sci, B-1050 Brussels, Belgium.</t>
  </si>
  <si>
    <t>ffripiat@ulb.ac.be</t>
  </si>
  <si>
    <t>Fripiat, François/ABB-8918-2021; Notz, Dirk/P-4428-2017; Tison, Jean-Louis/F-4065-2015; Delille, Bruno/C-3486-2008</t>
  </si>
  <si>
    <t>Notz, Dirk/0000-0003-0365-5654; Andre, Luc/0000-0002-7286-0072; Tison, Jean-Louis/0000-0002-9758-3454; Fripiat, Francois/0000-0002-2591-6301; Delille, Bruno/0000-0003-0502-8101</t>
  </si>
  <si>
    <t>BELSPO, The Belgian Science Policy [SD/CA/03A, SD/CA/05A]; COST Action [ES0801]; Fonds National de la Recherche Scientifique'' (FNRS, Belgium) (FRFC project) [2.4512.00]</t>
  </si>
  <si>
    <t>BELSPO, The Belgian Science Policy(Belgian Federal Science Policy Office); COST Action(European Cooperation in Science and Technology (COST)); Fonds National de la Recherche Scientifique'' (FNRS, Belgium) (FRFC project)(Fonds de la Recherche Scientifique - FNRS)</t>
  </si>
  <si>
    <t>Our warm thanks to the owner of the sailing vessel 'SS Dagmar Aaen', Arved Fuchs, and to Remy Tokouda and Kai Maibaum for their support in the field. We are also grateful to Ivan Petrov and Nadine Mattielli for the management of the MC-ICP-MS laboratory at ULB; to L. Monin, N. Dahkani, J. Navez (RMCA) and S. El Amri (ULB) for their help in sample processing. This work was conducted within BELCANTO III-BIGSOUTH networks (contracts SD/CA/03A and SD/CA/05A of SPSDIII, Support Plan for Sustainable Development) funded by BELSPO, The Belgian Science Policy. Francois Fripiat thanks the COST Action ES0801 for the funding of a Short Term Scientific Mission. Luc Andre thanks the Fonds National de la Recherche Scientifique'' (FNRS, Belgium) for its financial support (FRFC project 2.4512.00). Bruno Delille is a research associated with the F.R.S.-FNRS. Francois Fripiat was and is a postdoctoral fellows with the F.R.S.-FNRS and Fonds Wetenschappelijk Onderzoek (FWO, Belgium), respectively. We are very grateful to all three reviewers for their insightful comments which helped us to significantly improve the manuscript.</t>
  </si>
  <si>
    <t>0168-2563</t>
  </si>
  <si>
    <t>1573-515X</t>
  </si>
  <si>
    <t>Biogeochemistry</t>
  </si>
  <si>
    <t>1-3</t>
  </si>
  <si>
    <t>10.1007/s10533-013-9911-8</t>
  </si>
  <si>
    <t>AH3MR</t>
  </si>
  <si>
    <t>WOS:000336028400002</t>
  </si>
  <si>
    <t>Laluraj, CM; Thamban, M; Satheesan, K</t>
  </si>
  <si>
    <t>Laluraj, C. M.; Thamban, M.; Satheesan, K.</t>
  </si>
  <si>
    <t>Dust and associated geochemical fluxes in a firn core from coastal East Antarctica and its linkages with Southern Hemisphere climate variability over the last 50 years</t>
  </si>
  <si>
    <t>ATMOSPHERIC ENVIRONMENT</t>
  </si>
  <si>
    <t>Dust fluxes; Trace metal fluxes; SAM; Coastal east Antarctica</t>
  </si>
  <si>
    <t>ICE CORE; ANNULAR MODE; HEAVY-METALS; PART I; DOME-C; TRANSPORT; SEA; ACCUMULATION; OSCILLATION; OCEAN</t>
  </si>
  <si>
    <t>High-resolution records of dust and trace element fluxes were studied in a firn core from the coastal Dronning Maud Land, representing the past 50 years, to understand the influence of recent climate variability on the transportation and accumulation of these components in East Antarctica. A doubling of dust flux was observed since 1985, coinciding with a shift in the Southern Annular Mode (SAM) index to more positive values. Strong positive correlation (r = 0.68; p &lt; 10(-8)) observed between dust flux and the SAM suggests that the positive values of the SAM index are likely to be responsible for the recent increase in dust deposition over East Antarctica, through strengthening of westerly winds. NCEP/NCAR reanalysis data reveals that the polar easterlies consistently strengthened since 1985 at the study region, leading to the sinking of dust materials brought by the stronger westerlies. Significant inverse correlation (r = 0.42, p &lt; 0.00004) between the dust flux and 8180 records (proxy for surface air temperature) further suggests that enhancement of the dust flux is taking place during winter periods, possibly due to the reduced moisture content and increased wind intensity. Interestingly, the timing and amplitude of the insoluble dust flux matched remarkably well with the trace metal fluxes of Ba, Cr, Cu, and Zn, confirming that dust was the main carrier of airborne geochemical tracers to East Antarctica in the recent past. The observed doubling of dust and associated trace metal deposition in East Antarctica have wide-ranging implications for understanding the factors driving the inter-continental transportation of impurities and their environmental impact on Antarctica. (c) 2014 Elsevier Ltd. All rights reserved.</t>
  </si>
  <si>
    <t>[Laluraj, C. M.; Thamban, M.; Satheesan, K.] Natl Ctr Antarctic &amp; Ocean Res, Headland Sada 403804, Goa, India</t>
  </si>
  <si>
    <t>Laluraj, CM (corresponding author), Natl Ctr Antarctic &amp; Ocean Res, Headland Sada 403804, Goa, India.</t>
  </si>
  <si>
    <t>lalucm@ncaor.gov.in</t>
  </si>
  <si>
    <t>K, Satheesan/B-8495-2009</t>
  </si>
  <si>
    <t>K, Satheesan/0000-0003-1456-7203; Thamban, Meloth/0000-0003-3379-8189</t>
  </si>
  <si>
    <t>Ministry of Earth Sciences, Government of India; NCAOR [01/2014]</t>
  </si>
  <si>
    <t>Ministry of Earth Sciences, Government of India(Ministry of Earth Science (MoES), Government of India); NCAOR</t>
  </si>
  <si>
    <t>We thank the Director, NCAOR and the Ministry of Earth Sciences, Government of India for the support. Thanks are also due to Arun Chaturvedi and P.C. George, Geological Survey of India and A. Rajakumar, Indian Institute of Technology, Kharagpur for the field contribution. We are grateful to B.L. Redkar and Sunayna Wadiker, for their help in the laboratory analysis. We are thankful to C.T. Achuthankutty for his useful English corrections. We are extremely grateful to the two anonymous reviewers, whose comments led to substantial improvement of this manuscript. This is NCAOR contribution No. 01/2014.</t>
  </si>
  <si>
    <t>1352-2310</t>
  </si>
  <si>
    <t>1873-2844</t>
  </si>
  <si>
    <t>ATMOS ENVIRON</t>
  </si>
  <si>
    <t>Atmos. Environ.</t>
  </si>
  <si>
    <t>10.1016/j.atmosenv.2014.03.031</t>
  </si>
  <si>
    <t>Environmental Sciences; Meteorology &amp; Atmospheric Sciences</t>
  </si>
  <si>
    <t>AG7YG</t>
  </si>
  <si>
    <t>WOS:000335634100004</t>
  </si>
  <si>
    <t>Korotkikh, EV; Mayewski, PA; Dixon, D; Kurbatov, AV; Handley, MJ</t>
  </si>
  <si>
    <t>Korotkikh, Elena V.; Mayewski, Paul A.; Dixon, Daniel; Kurbatov, Andrei V.; Handley, Michael J.</t>
  </si>
  <si>
    <t>Recent increase in Ba concentrations as recorded in a South Pole ice core</t>
  </si>
  <si>
    <t>Barium; Pollution; Antarctica</t>
  </si>
  <si>
    <t>ANTARCTIC SNOW; BLACK CARBON; LEAD; DEPOSITION; POLLUTION; SCALE; BASIN</t>
  </si>
  <si>
    <t>Here we present high-resolution (similar to 9.4 samples/year) records of Ba concentrations for the period from 1541 to 1999 A.D. obtained from an ice core recovered at the South Pole (US ITASE-02-6) site. We note a significant increase in Ba concentration (by a factor of similar to 23) since 1980 A.D. The Ba crustal enrichment factor (EFc) values rise from similar to 3 before 1980 A.D. to similar to 32 after 1980 A.D. None of the other measured major and trace elements reveal such significant increases in concentrations and EFc values. Comparison with previously reported Antarctic Ba records suggests that significant increases in Ba concentrations at South Pole since 1980 A.D. are most likely caused by local source pollution. The core was collected in close proximity to Amundsen-Scott South Pole Station; therefore activities at the station, such as diesel fuel burning and intense aircraft activity, most likely caused the observed increase in Ba concentrations and its EFc values in the South Pole ice core record. (C) 2014 Elsevier Ltd. All rights reserved.</t>
  </si>
  <si>
    <t>[Korotkikh, Elena V.; Mayewski, Paul A.; Dixon, Daniel; Kurbatov, Andrei V.; Handley, Michael J.] Univ Maine, Climate Change Inst, Orono, ME 04469 USA; [Korotkikh, Elena V.; Mayewski, Paul A.; Kurbatov, Andrei V.] Univ Maine, Sch Earth &amp; Climate Sci, Orono, ME 04469 USA</t>
  </si>
  <si>
    <t>University of Maine System; University of Maine Orono; University of Maine System; University of Maine Orono</t>
  </si>
  <si>
    <t>Korotkikh, EV (corresponding author), Univ Maine, Sch Earth &amp; Climate Sci, Orono, ME 04469 USA.</t>
  </si>
  <si>
    <t>elena.korotkikh@maine.edu</t>
  </si>
  <si>
    <t>Mayewski, Paul Andrew/HRD-6969-2023</t>
  </si>
  <si>
    <t>Kurbatov, Andrei/0000-0002-9819-9251</t>
  </si>
  <si>
    <t>US National Science Foundation Office of Polar Programs; US Antarctic Program; 109th New York Air National Guard, Ice Coring and Drilling Services, Raytheon Polar Services Company; National Ice Core Laboratory, Kenn Borek Air Ltd.; Directorate For Geosciences; Office of Polar Programs (OPP) [1042883] Funding Source: National Science Foundation</t>
  </si>
  <si>
    <t>US National Science Foundation Office of Polar Programs(National Science Foundation (NSF)); US Antarctic Program; 109th New York Air National Guard, Ice Coring and Drilling Services, Raytheon Polar Services Company; National Ice Core Laboratory, Kenn Borek Air Ltd.; Directorate For Geosciences; Office of Polar Programs (OPP)(National Science Foundation (NSF)NSF - Directorate for Geosciences (GEO))</t>
  </si>
  <si>
    <t>This research was supported by the US National Science Foundation Office of Polar Programs. We gratefully acknowledge the valuable support of the US Antarctic Program, the 109th New York Air National Guard, Ice Coring and Drilling Services, Raytheon Polar Services Company, the National Ice Core Laboratory, Kenn Borek Air Ltd., and all our US ITASE field colleagues.</t>
  </si>
  <si>
    <t>10.1016/j.atmosenv.2014.03.009</t>
  </si>
  <si>
    <t>AH1IT</t>
  </si>
  <si>
    <t>WOS:000335874500071</t>
  </si>
  <si>
    <t>Wódkiewicz, M; Ziemianski, M; Kwiecien, K; Chwedorzewska, KJ; Galera, H</t>
  </si>
  <si>
    <t>Wodkiewicz, Maciej; Ziemianski, Maciej; Kwiecien, Kamil; Chwedorzewska, Katarzyna J.; Galera, Halina</t>
  </si>
  <si>
    <t>Spatial structure of the soil seed bank of Poa annua L.-alien species in the Antarctica</t>
  </si>
  <si>
    <t>BIODIVERSITY AND CONSERVATION</t>
  </si>
  <si>
    <t>Antarctica; Invasive species; Poa annua; Soil seed bank; Dispersal</t>
  </si>
  <si>
    <t>KING GEORGE ISLAND; COLOBANTHUS-QUITENSIS; SIZE; VEGETATION; DISPERSAL; GROWTH; PLANTS</t>
  </si>
  <si>
    <t>Poa annua L. (annual bluegrass) is the only non-native flowering plant species that has successfully established a breeding population in the maritime Antarctic and has been shown to maintain a soil seed bank. The characteristic of the spatial structure of the Antarctic population of this species is the formation of distinct dense clumps-tussocks. In the temperate zone the species is only loosely tufted. We focused on the characteristics of seed deposition associated with the tussocks and some aspects of the spatial heterogeneity of the soil seed bank of P. annua in the Antarctic. We wanted to assess the microspatial structure of the soil seed bank of annual bluegrass at Arctowski Station. Therefore we compared the number of seeds deposited underneath and in the vicinity of P. annua clumps. Our results indicate that P. annua in the Antarctic maintains a soil seed bank comparable to species typical for the polar tundra. The microspatial structure of P. annua soil seed bank in the Antarctic is highly associated with the presence of tussocks. Seeds are deposited underneath the tussock rather than in the vicinity of the clump. Our results also indicate that seeds are able to survive the Antarctic winter and readily germinate under optimal conditions.</t>
  </si>
  <si>
    <t>[Wodkiewicz, Maciej; Galera, Halina] Univ Warsaw, Fac Biol, Dept Plant Ecol &amp; Environm Conservat, PL-00478 Warsaw, Poland; [Ziemianski, Maciej] Univ Warsaw, Fac Biol, Bot Garden, PL-00478 Warsaw, Poland; [Kwiecien, Kamil] Univ Warsaw, Fac Biol, Bialowieza Geobot Stn, PL-17230 Bialowieza, Poland; [Chwedorzewska, Katarzyna J.] Inst Biochem &amp; Biophys PAS, Dept Antarctic Biol, PL-02106 Warsaw, Poland</t>
  </si>
  <si>
    <t>University of Warsaw; University of Warsaw; University of Warsaw; Polish Academy of Sciences; Institute of Biochemistry &amp; Biophysics - Polish Academy of Sciences</t>
  </si>
  <si>
    <t>Wódkiewicz, M (corresponding author), Univ Warsaw, Fac Biol, Dept Plant Ecol &amp; Environm Conservat, Al Ujazdowskie 4, PL-00478 Warsaw, Poland.</t>
  </si>
  <si>
    <t>wodkie@biol.uw.edu.pl; kchwedorzewska@go2.pl</t>
  </si>
  <si>
    <t>Chwedorzewska, Katarzyna/M-9721-2019; Chwedorzewska, Katarzyna J/A-9480-2008; Galera, Halina/V-5347-2018; Galera, Halina/IUQ-1030-2023</t>
  </si>
  <si>
    <t>Chwedorzewska, Katarzyna/0000-0001-6860-3666; Galera, Halina/0000-0001-6983-0908; Wodkiewicz, Maciej/0000-0002-7358-126X</t>
  </si>
  <si>
    <t>Ministry of Scientific Research and Higher Education [2013/09/B/NZ8/03293]</t>
  </si>
  <si>
    <t>Ministry of Scientific Research and Higher Education</t>
  </si>
  <si>
    <t>This research was supported by the Ministry of Scientific Research and Higher Education grant 2013/09/B/NZ8/03293. The authors would like to thank Ms Anna Gasek for providing assistance with the field work.</t>
  </si>
  <si>
    <t>0960-3115</t>
  </si>
  <si>
    <t>1572-9710</t>
  </si>
  <si>
    <t>BIODIVERS CONSERV</t>
  </si>
  <si>
    <t>Biodivers. Conserv.</t>
  </si>
  <si>
    <t>10.1007/s10531-014-0668-8</t>
  </si>
  <si>
    <t>AG8JT</t>
  </si>
  <si>
    <t>WOS:000335665300001</t>
  </si>
  <si>
    <t>Zhao, J; Peter, HU; Zhang, HS; Han, ZB; Hu, CY; Yu, PS; Lu, B; Bianchi, TS</t>
  </si>
  <si>
    <t>Zhao Jun; Peter, Hans-Ulrich; Zhang Haisheng; Han Zhengbing; Hu Chuanyu; Yu Peisong; Lu Bing; Bianchi, Thomas S.</t>
  </si>
  <si>
    <t>Short- and long-term response of phytoplankton to ENSO in Prydz Bay, Antarctica: Evidences from field measurements, remote sensing data and stratigraphic biomarker records</t>
  </si>
  <si>
    <t>JOURNAL OF OCEAN UNIVERSITY OF CHINA</t>
  </si>
  <si>
    <t>phytoplankton; ENSO; remote sensing; biomarker record; Prydz Bay</t>
  </si>
  <si>
    <t>COMMUNITY STRUCTURE; SOUTHERN-OCEAN; EL-NINO; CHEMTAX ANALYSIS; SEA-ICE; TELECONNECTIONS; VARIABILITY; NUTRIENTS; IMPACTS; BIOMASS</t>
  </si>
  <si>
    <t>The study provides one of the first lines of evidence showing linkages between Antarctic phytoplankton abundance and composition in response to ENSO, based on historical reconstruction of sediment biomarkers. In addition to sediment biomarkers, field measured and remote sensing data of phytoplankton abundance were also recorded from Prydz Bay, Eastern Antarctica. Community structure of field measured phytoplankton showed significant El Nio/La Nia-related succession during 1990 to 2002. In general, the number of algae species decreased during El Nio and La Nia years compared to normal years. Austral summer monthly variation of remotely sensed chlorophyll-a (Chl-a), particulate organic carbon (POC), and sea surface temperature (SST) indicated that ENSO impacted the timing of phytoplankton blooms during 2007 to 2011. Phytoplankton blooms (indicated by Chl-a and POC) preceded the increases in SST during El Nio years, and lagged behind the SST increases during La Nia years. Stratigraphic record of marine sedimentary lipid (brassicasterol, dinosterol and alkenones) biomarkers inferred that the proportions of different algae (diatoms, dinoflagellates and haptophytes) changed significantly between El Nio and La Nia events. The relative proportion of diatoms increased, with that of dinoflagellates being decreased during El Nio years, while it was reversed during La Nia years.</t>
  </si>
  <si>
    <t>[Zhao Jun; Zhang Haisheng; Han Zhengbing; Hu Chuanyu; Yu Peisong; Lu Bing] SOA, Inst Oceanog 2, Hangzhou 310012, Zhejiang, Peoples R China; [Zhao Jun; Zhang Haisheng; Han Zhengbing; Hu Chuanyu; Yu Peisong; Lu Bing] SOA, Key Lab Marine Ecosyst &amp; Biogeochem, Hangzhou 310012, Zhejiang, Peoples R China; [Peter, Hans-Ulrich] Univ Jena, Inst Ecol, D-07743 Jena, Germany; [Bianchi, Thomas S.] Univ Florida, Dept Geol Sci, Gainesville, FL 32611 USA</t>
  </si>
  <si>
    <t>Friedrich Schiller University of Jena; State University System of Florida; University of Florida</t>
  </si>
  <si>
    <t>Zhang, HS (corresponding author), SOA, Inst Oceanog 2, Hangzhou 310012, Zhejiang, Peoples R China.</t>
  </si>
  <si>
    <t>jzhao@sio.org.cn; zhangsoa@163.com</t>
  </si>
  <si>
    <t>Zhao, Jun/E-2834-2012; Bianchi, Thomas/L-4060-2014</t>
  </si>
  <si>
    <t>Zhao, Jun/0000-0001-6592-3365; Bianchi, Thomas/0000-0002-3068-2933</t>
  </si>
  <si>
    <t>National Natural Science Foundation of China (NSFC) [40876104, 41306202, 41376193, 41076134, 41006118]; scientific research fund of Second Institute of Oceanography, SOA [JT1208, JG1218]; Chinese Arctic and Antarctic Administration Foundation [20110208]; special fund for polar environment comprehensive investigation and assessment [CHINARE 2014-04-04, 2014-01-04, 2014-04-01]</t>
  </si>
  <si>
    <t>National Natural Science Foundation of China (NSFC)(National Natural Science Foundation of China (NSFC)); scientific research fund of Second Institute of Oceanography, SOA; Chinese Arctic and Antarctic Administration Foundation; special fund for polar environment comprehensive investigation and assessment</t>
  </si>
  <si>
    <t>The authors wish to thank team members of CHINAREs, captains and the crew of R/V Xuelong for helping collect samples. This study was financially supported by the National Natural Science Foundation of China (NSFC) (40876104, 41306202, 41376193, 41076134 and 41006118), the scientific research fund of Second Institute of Oceanography, SOA (JT1208 and JG1218), Chinese Arctic and Antarctic Administration Foundation (20110208), and the special fund for polar environment comprehensive investigation and assessment (CHINARE 2014-04-04, 2014-01-04 and 2014-04-01).</t>
  </si>
  <si>
    <t>OCEAN UNIV CHINA</t>
  </si>
  <si>
    <t>QINGDAO</t>
  </si>
  <si>
    <t>5 YUSHAN RD, QINGDAO, 266003, PEOPLES R CHINA</t>
  </si>
  <si>
    <t>1672-5182</t>
  </si>
  <si>
    <t>1993-5021</t>
  </si>
  <si>
    <t>J OCEAN U CHINA</t>
  </si>
  <si>
    <t>J. OCEAN UNIV.</t>
  </si>
  <si>
    <t>10.1007/s11802-014-2231-3</t>
  </si>
  <si>
    <t>AG8MM</t>
  </si>
  <si>
    <t>WOS:000335672600012</t>
  </si>
  <si>
    <t>Do, H; Kim, IS; Kim, YS; Shin, SY; Kim, JJ; Mok, JE; Park, SI; Wi, AR; Park, H; Kim, HW; Yoon, HS; Lee, JH</t>
  </si>
  <si>
    <t>Do, Hackwon; Kim, Il-Sup; Kim, Young-Saeng; Shin, Sun-Young; Kim, Jin-Ju; Mok, Ji-Eun; Park, Seong-Im; Wi, Ah Ram; Park, Hyun; Kim, Han-Woo; Yoon, Ho-Sung; Lee, Jun Hyuck</t>
  </si>
  <si>
    <t>Crystallization and preliminary X-ray crystallographic studies of dehydroascorbate reductase (DHAR) from Oryza sativa L. japonica</t>
  </si>
  <si>
    <t>GLUTATHIONE TRANSFERASE; CHANNEL; CLIC1; STRESS; METABOLISM; RESOLUTION; INTERFACE; CRYSTALS; GROWTH; SERVER</t>
  </si>
  <si>
    <t>Dehydroascorbate reductase from Oryza sativa L. japonica (OsDHAR), a key enzyme in the regeneration of vitamin C, maintains reduced pools of ascorbic acid to detoxify reactive oxygen species. In previous studies, the overexpression of OsDHAR in transgenic rice increased grain yield and biomass as well as the amount of ascorbate, suggesting that ascorbate levels are directly associated with crop production in rice. Hence, it has been speculated that the increased level of antioxidants generated by OsDHAR protects rice from oxidative damage and increases the yield of rice grains. However, the crystal structure and detailed mechanisms of this important enzyme need to be further elucidated. In this study, recombinant OsDHAR protein was purified and crystallized using the sitting-drop vapour-diffusion method at pH 8.0 and 298 K. Plate-shaped crystals were obtained using 0.15 M potassium bromide, 30%(w/v) PEG MME 2000 as a precipitant, and the crystals diffracted to a resolution of 1.9 angstrom on beamline 5C at the Pohang Accelerator Laboratory. The X-ray diffraction data indicated that the crystal contained one OsDHAR molecule in the asymmetric unit and belonged to space group P2(1) with unit-cell parameters a = 47.03, b = 48.38, c = 51.83 angstrom, beta = 107.41 degrees.</t>
  </si>
  <si>
    <t>[Do, Hackwon; Wi, Ah Ram; Park, Hyun; Kim, Han-Woo; Lee, Jun Hyuck] Korea Polar Res Inst, Div Polar Life Sci, Inchon 406840, South Korea; [Do, Hackwon; Park, Hyun; Lee, Jun Hyuck] Korea Univ Sci &amp; Technol, Dept Polar Sci, Inchon 406840, South Korea; [Kim, Il-Sup; Kim, Young-Saeng; Shin, Sun-Young; Kim, Jin-Ju; Mok, Ji-Eun; Park, Seong-Im; Yoon, Ho-Sung] Kyungpook Natl Univ, Dept Biol, Taegu 702701, South Korea</t>
  </si>
  <si>
    <t>Kim, HW (corresponding author), Korea Polar Res Inst, Div Polar Life Sci, Inchon 406840, South Korea.</t>
  </si>
  <si>
    <t>hwkim@kopri.re.kr; hyoon@knu.ac.kr; junhyucklee@kopri.re.kr</t>
  </si>
  <si>
    <t>, Hackwon/0000-0001-7663-2010; Park, Hyun/0000-0002-8055-2010</t>
  </si>
  <si>
    <t>Korea Polar Research Institute [PE14070]; Next-Generation BioGreen 21 Program, Rural Development Administration, Republic of Korea [PJ008115012014]</t>
  </si>
  <si>
    <t>Korea Polar Research Institute(Korea Polar Research Institute of Marine Research Placement (KOPRI)); Next-Generation BioGreen 21 Program, Rural Development Administration, Republic of Korea</t>
  </si>
  <si>
    <t>We thank the staff at the X-ray core facility of the Korea Basic Science Institute (KBSI), Ochang, Korea and BL-5C of the Pohang Accelerator Laboratory, Pohang, Korea for their assistance with the data collection. This work was supported by the Antarctic organisms: Cold-Adaptation Mechanisms and its application grant (PE14070) funded by the Korea Polar Research Institute and a grant from the Next-Generation BioGreen 21 Program (No. PJ008115012014, Rural Development Administration, Republic of Korea).</t>
  </si>
  <si>
    <t>10.1107/S2053230X14009133</t>
  </si>
  <si>
    <t>AI7IZ</t>
  </si>
  <si>
    <t>WOS:000337062500020</t>
  </si>
  <si>
    <t>Deuerling, KM; Lyons, WB; Welch, SA; Welch, KA</t>
  </si>
  <si>
    <t>Deuerling, K. M.; Lyons, W. B.; Welch, S. A.; Welch, K. A.</t>
  </si>
  <si>
    <t>The characterization and role of aeolian deposition on water quality, McMurdo Dry Valleys, Antarctica</t>
  </si>
  <si>
    <t>AEOLIAN RESEARCH</t>
  </si>
  <si>
    <t>Aeolian transport; Dust; Cryosphere; Antarctica; Dissolution</t>
  </si>
  <si>
    <t>SOUTHERN VICTORIA LAND; TAYLOR VALLEY; POLAR-DESERT; MELTWATER STREAMS; EOLIAN SEDIMENT; SAND TRANSPORT; LAKE HOARE; CLIMATE; IRON; EVOLUTION</t>
  </si>
  <si>
    <t>The connection of ecosystems by wind-driven transport of material has become a topic of increasing interest and importance. Less than 1% of dust transported worldwide is exported to the Southern Ocean and Antarctic cryosphere; however, aeolian transport on the Antarctic continent is predominantly locally derived from the abrasion of bedrock. The deposition of the aeolian material is integral to nutrient and solute dispersal in the Antarctic ecosystem. This is particularly true in the ice-free areas of Antarctica, such as the McMurdo Dry Valleys (MDV), where aeolian material deposited in the aquatic system is solubilized during the melt season. The material is predominantly locally-derived from the abrasion of bedrock. In this study, a two-step leaching experiment simulates the melt season and we quantify the flux of solutes and nutrients to the aquatic ecosystem. Soluble salts were removed from the aeolian material first during cold water leaching followed by an increase in carbonate and silicate dissolution during freezethaw. Major ion fluxes on glaciers and lakes are at least two orders of magnitude greater than nutrient fluxes. However, the fluxes derived from these experiments are less than the estimated flux from streams to lakes and probably represent minima. Aeolian redistribution of local soils is important because they are the only source of new solutes and nutrients to the aquatic ecosystem of the MDV. (C) 2014 Elsevier B.V. All rights reserved.</t>
  </si>
  <si>
    <t>[Deuerling, K. M.; Lyons, W. B.; Welch, S. A.; Welch, K. A.] Ohio State Univ, Byrd Polar Res Ctr, Columbus, OH 43210 USA</t>
  </si>
  <si>
    <t>University System of Ohio; Ohio State University</t>
  </si>
  <si>
    <t>Deuerling, KM (corresponding author), Univ Florida, Dept Geol Sci, 241 Williamson Hall,POB 112120, Gainesville, FL 32611 USA.</t>
  </si>
  <si>
    <t>kdeuer@gmail.com</t>
  </si>
  <si>
    <t>Welch, Kathleen/0000-0003-1028-3086; Welch, Susan/0000-0002-2890-0065</t>
  </si>
  <si>
    <t>National Science Foundation McMurdo LTER [ANT-0423595]; National Science Foundation Graduate Research Fellowship Program; Directorate For Geosciences; Office of Polar Programs (OPP) [1115245] Funding Source: National Science Foundation</t>
  </si>
  <si>
    <t>National Science Foundation McMurdo LTER; National Science Foundation Graduate Research Fellowship Program(National Science Foundation (NSF)); Directorate For Geosciences; Office of Polar Programs (OPP)(National Science Foundation (NSF)NSF - Directorate for Geosciences (GEO))</t>
  </si>
  <si>
    <t>This original research presented here was supported by the National Science Foundation McMurdo LTER (Grant ANT-0423595) and the National Science Foundation Graduate Research Fellowship Program. We greatly appreciate the field support provided by R. Spain and S. Liu. Special thanks to M. Sabacka, J. Priscu, and D. Wall collecting the bundt pan/ EST samples and allowing us to work with them. We also thank T. Horscroft for his interest in this work and motivation to see it through to completion, and thoughtful comments of two reviewers that helped us focus the manuscript.</t>
  </si>
  <si>
    <t>1875-9637</t>
  </si>
  <si>
    <t>2212-1684</t>
  </si>
  <si>
    <t>AEOLIAN RES</t>
  </si>
  <si>
    <t>Aeolian Res.</t>
  </si>
  <si>
    <t>10.1016/j.aeolia.2014.01.002</t>
  </si>
  <si>
    <t>Geography, Physical</t>
  </si>
  <si>
    <t>Physical Geography</t>
  </si>
  <si>
    <t>AL0IZ</t>
  </si>
  <si>
    <t>WOS:000338811900002</t>
  </si>
  <si>
    <t>Walton, DWH</t>
  </si>
  <si>
    <t>Walton, D. W. H.</t>
  </si>
  <si>
    <t>New ideas for funding science</t>
  </si>
  <si>
    <t>Walton, David/0000-0002-7103-4043</t>
  </si>
  <si>
    <t>PII S0954102014000224</t>
  </si>
  <si>
    <t>10.1017/S0954102014000224</t>
  </si>
  <si>
    <t>AF6RI</t>
  </si>
  <si>
    <t>WOS:000334841900001</t>
  </si>
  <si>
    <t>Gregory, S; Brown, J; Belchier, M</t>
  </si>
  <si>
    <t>Gregory, Susan; Brown, Judith; Belchier, Mark</t>
  </si>
  <si>
    <t>Ecology and distribution of the grey notothen, Lepidonotothen squamifrons, around South Georgia and Shag Rocks, Southern Ocean</t>
  </si>
  <si>
    <t>reproduction; food webs; Nototheniidae; sub-Antarctic; fisheries; trawl survey</t>
  </si>
  <si>
    <t>PATAGONIAN TOOTHFISH; KERGUELEN WATERS; STOMACH CONTENTS; FISH; ATLANTIC; ISLAND; DIET; FISHERIES; ECOSYSTEM; SECTOR</t>
  </si>
  <si>
    <t>New information on the biology and ecology of an abundant 'rockcod' species, Lepidonotothen squamifrons (family: Nototheniidae), found at South Georgia is presented. Data collected from twenty demersal trawl surveys carried out at South Georgia and Shag Rocks (sub-Antarctic) from 1986-2012 were analysed to investigate distribution, size, maturity and diet. Distribution was patchy with large aggregations in consistent high-density 'hotspots' to the east of Shag Rocks and to the west of South Georgia. Fish density was shown to vary between regions of the shelf and between years but there was little evidence of significant changes in catch per unit effort (CPUE) over the duration of the study. Length at first maturity for males and females (37-38 cm, total length) was very similar to that described for the Indian Ocean population. Detailed stomach contents analysis (2005-12) indicated a varied diet dominated by salps/tunicates, but with ontogenetic and depth variations in prey composition. Lepidonotothen squamifrons was shown to be an opportunistic bentho-pelagic forager. Enhanced knowledge of the ecology of L. squamifrons will be valuable in future research on food web modelling and marine spatial management in the Southern Ocean and to provide baseline data on the ecology of the species in a rapidly changing environment.</t>
  </si>
  <si>
    <t>[Gregory, Susan; Belchier, Mark] British Antarctic Survey, NERC, Cambridge CB3 0ET, England; [Brown, Judith] South Sandwich Islands, Govt South Georgia, Stanley, Falkland Island, England; [Brown, Judith] Govt St Helena, Jamestown STHL 1ZZ, England</t>
  </si>
  <si>
    <t>Gregory, S (corresponding author), British Antarctic Survey, NERC, Madingley Rd, Cambridge CB3 0ET, England.</t>
  </si>
  <si>
    <t>markb@bas.ac.uk</t>
  </si>
  <si>
    <t>Government of South Georgia; South Sandwich Islands (GSGSSI); Natural Environment Research Council [bas0100025] Funding Source: researchfish; NERC [bas0100025] Funding Source: UKRI</t>
  </si>
  <si>
    <t>Government of South Georgia; South Sandwich Islands (GSGSSI); Natural Environment Research Council(UK Research &amp; Innovation (UKRI)Natural Environment Research Council (NERC)); NERC(UK Research &amp; Innovation (UKRI)Natural Environment Research Council (NERC))</t>
  </si>
  <si>
    <t>We would like to thank the captains, crews and scientists who have been involved in South Georgia and Shag Rocks trawl surveys since 1986. The first two surveys were undertaken as part of the US Antarctic Marine Living Resources Program, the third was a joint UK/Poland survey, and the remainder were carried out by the UK. Sample processing was carried out at the King Edward Point Applied Fisheries Laboratory, South Georgia. The research was funded by the Government of South Georgia and the South Sandwich Islands (GSGSSI). The comments of the reviewers are also gratefully acknowledged.</t>
  </si>
  <si>
    <t>10.1017/S0954102013000667</t>
  </si>
  <si>
    <t>WOS:000334841900004</t>
  </si>
  <si>
    <t>Southwell, C; Low, M; Newbery, K; Emmerson, L</t>
  </si>
  <si>
    <t>Southwell, Colin; Low, Matthew; Newbery, Kym; Emmerson, Louise</t>
  </si>
  <si>
    <t>First comprehensive abundance survey of a newly discovered Adelie penguin breeding metapopulation in the Robinson Group of islands, Mac.Robertson Land, East Antarctica</t>
  </si>
  <si>
    <t>COLONIES</t>
  </si>
  <si>
    <t>[Southwell, Colin; Low, Matthew; Newbery, Kym; Emmerson, Louise] Australian Antarctic Div, Dept Sustainabil Environm Water Populat &amp; Communi, Kingston, Tas 7050, Australia; [Low, Matthew] Swedish Univ Agr Sci, Dept Ecol, S-75007 Uppsala, Sweden</t>
  </si>
  <si>
    <t>Australian Antarctic Division; Swedish University of Agricultural Sciences</t>
  </si>
  <si>
    <t>Southwell, C (corresponding author), Australian Antarctic Div, Dept Sustainabil Environm Water Populat &amp; Communi, 203 Channel Highway, Kingston, Tas 7050, Australia.</t>
  </si>
  <si>
    <t>colin.southwell@aad.gov.au</t>
  </si>
  <si>
    <t>Low, Matthew/0000-0002-7345-6063</t>
  </si>
  <si>
    <t>AAD ASAC project [2722]</t>
  </si>
  <si>
    <t>AAD ASAC project</t>
  </si>
  <si>
    <t>We thank Rhonda Pike for assistance in fieldwork, Steve Candy for advice on abundance estimators, and David Smith for producing the map. This work was conducted as part of AAD ASAC project 2722 in accordance with permits issued under the Antarctic Treaty ( Environmental Protection) Act 1980 and was approved by the Australian Antarctic Animal Ethics Committee. We also thank the reviewers for their comments.</t>
  </si>
  <si>
    <t>10.1017/S0954102013000928</t>
  </si>
  <si>
    <t>WOS:000334841900008</t>
  </si>
  <si>
    <t>Hallegraeff, G; Coman, F; Davies, C; Hayashi, A; McLeod, D; Slotwinski, A; Whittock, L; Richardson, AJ</t>
  </si>
  <si>
    <t>Hallegraeff, Gustaaf; Coman, Frank; Davies, Claire; Hayashi, Aiko; McLeod, David; Slotwinski, Anita; Whittock, Lucy; Richardson, Anthony J.</t>
  </si>
  <si>
    <t>Australian Dust Storm Associated with Extensive Aspergillus sydowii Fungal Bloom in Coastal Waters</t>
  </si>
  <si>
    <t>A massive central Australian dust storm in September 2009 was associated with abundant fungal spores (150,000/m(3)) and hyphae in coastal waters between Brisbane (27 degrees S) and Sydney (34 degrees S). These spores were successfully germinated from formalinpreserved samples, and using molecular sequencing of three different genes (the large subunit rRNA gene [LSU], internal transcribed spacer [ITS], and beta-tubulin gene), they were conclusively identified as Aspergillus sydowii, an organism circumstantially associated with gorgonian coral fan disease in the Caribbean. Surprisingly, no human health or marine ecosystem impacts were associated with this Australian dust storm event. Australian fungal cultures were nontoxic to fish gills and caused a minor reduction in the motility of Alexandrium or Chattonella algal cultures but had their greatest impacts on Symbiodinium dinoflagellate coral symbiont motility, with hyphae being more detrimental than spores. While we have not yet seen any soft coral disease outbreaks on the Australian Great Barrier Reef similar to those observed in the Caribbean and while this particular fungal population was non-or weakly pathogenic, our observations raise the possibility of future marine ecosystem pathogen impacts from similar dust storms harboring more pathogenic strains.</t>
  </si>
  <si>
    <t>[Hallegraeff, Gustaaf; Hayashi, Aiko; Whittock, Lucy] Univ Tasmania, Inst Marine &amp; Antarctic Studies, Hobart, Tas, Australia; [Coman, Frank; Davies, Claire; Slotwinski, Anita; Richardson, Anthony J.] CSIRO Marine &amp; Atmospher Res, Ecosci Precinct, Brisbane, Qld, Australia; [Coman, Frank; Davies, Claire; Slotwinski, Anita; Richardson, Anthony J.] Australian Antarctic Div, Dept Sustainabil Environm Water Populat &amp; Communi, Kingston, Tas, Australia; [Richardson, Anthony J.] Univ Queensland, Sch Math &amp; Phys, Ctr Applicat Nat Resource Math, St Lucia, Qld, Australia; [Richardson, Anthony J.] Univ Queensland, Sch Biol Sci, Environm Decis Grp, Brisbane, Qld, Australia</t>
  </si>
  <si>
    <t>University of Tasmania; Commonwealth Scientific &amp; Industrial Research Organisation (CSIRO); Australian Antarctic Division; University of Queensland; University of Queensland</t>
  </si>
  <si>
    <t>Hallegraeff, G (corresponding author), Univ Tasmania, Inst Marine &amp; Antarctic Studies, Hobart, Tas, Australia.</t>
  </si>
  <si>
    <t>hallegraeff@utas.edu.au</t>
  </si>
  <si>
    <t>Davies, Claire H/G-6888-2013; davies, claire/O-9219-2019; Richardson, Anthony J/B-3649-2010; Hallegraeff, Gustaaf/C-8351-2013</t>
  </si>
  <si>
    <t>Davies, Claire H/0000-0002-0424-1835; Richardson, Anthony J/0000-0002-9289-7366; Coman, Frank/0000-0001-6743-5154; Hayashi, Aiko/0000-0002-7348-9682; Hallegraeff, Gustaaf/0000-0001-8464-7343</t>
  </si>
  <si>
    <t>Integrated Marine Observing System (IMOS); Australian Government through the National Collaborative Research Infrastructure Strategy; Super Science Initiative; Australia Research Council [DP130102725]; NERC [NE/I030062/1] Funding Source: UKRI; Natural Environment Research Council [NE/I030062/1] Funding Source: researchfish</t>
  </si>
  <si>
    <t>Integrated Marine Observing System (IMOS); Australian Government through the National Collaborative Research Infrastructure Strategy(Australian GovernmentDepartment of Industry, Innovation and Science); Super Science Initiative; Australia Research Council(Australian Research Council); NERC(UK Research &amp; Innovation (UKRI)Natural Environment Research Council (NERC)); Natural Environment Research Council(UK Research &amp; Innovation (UKRI)Natural Environment Research Council (NERC))</t>
  </si>
  <si>
    <t>AusCPR is funded by the Integrated Marine Observing System (IMOS), which is funded by the Australian Government through the National Collaborative Research Infrastructure Strategy and the Super Science Initiative. This work was funded by Australia Research Council grant DP130102725.</t>
  </si>
  <si>
    <t>10.1128/AEM.04118-13</t>
  </si>
  <si>
    <t>AH3OY</t>
  </si>
  <si>
    <t>WOS:000336035200004</t>
  </si>
  <si>
    <t>Nikrad, MP; Cottrell, MT; Kirchman, DL</t>
  </si>
  <si>
    <t>Nikrad, Mrinalini P.; Cottrell, Matthew T.; Kirchman, David L.</t>
  </si>
  <si>
    <t>Uptake of Dissolved Organic Carbon by Gammaproteobacterial Subgroups in Coastal Waters of the West Antarctic Peninsula</t>
  </si>
  <si>
    <t>IN-SITU HYBRIDIZATION; SINGLE-CELL ACTIVITY; HETEROTROPHIC BACTERIAL GROUPS; MARINE-BACTERIA; ARCTIC-OCEAN; PLANKTONIC BACTERIA; DELAWARE ESTUARY; SOUTHERN-OCEAN; ATLANTIC-OCEAN; ROSS SEA</t>
  </si>
  <si>
    <t>Heterotrophic bacteria are well known to be key players in the turnover of dissolved organic material (DOM) in the oceans, but the relationship between DOM uptake and bacterial clades is still not well understood. Here we explore the turnover and single-cell use of glucose, an amino acid mixture, N-acetylglucosamine (NAG), and protein by gammaproteobacterial clades in coastal waters of the West Antarctic Peninsula in summer and fall. More than 60% of the cells within two closely related gammaproteobacterial clades, Ant4D3 and Arctic96B-16, were active in using the amino acid mixture, protein, and NAG. In contrast, an average of only 7% of all SAR86 cells used amino acids and protein even in summer when DOM use was high. In addition to DOM uptake within a group, we explored the contribution of the three gammaproteobacterial groups to total community uptake of a compound. SAR86 contributed 5- to 10-fold less than the other gammaproteobacterial subgroups to the uptake of all compounds. We found that the overall contribution of the Ant4D3 clade to DOM uptake was highest, whereas the SAR86 clade contributed the least to DOM turnover in West Antarctic Peninsula waters. Our results suggest that the low growth activity of a bacterial clade leads to low abundance, fewer active cells and a low contribution to the turnover of DOM components.</t>
  </si>
  <si>
    <t>[Nikrad, Mrinalini P.; Cottrell, Matthew T.; Kirchman, David L.] Univ Delaware, Sch Marine Sci &amp; Policy, Lewes, DC USA</t>
  </si>
  <si>
    <t>University of Delaware</t>
  </si>
  <si>
    <t>Kirchman, DL (corresponding author), Univ Delaware, Sch Marine Sci &amp; Policy, Lewes, DC USA.</t>
  </si>
  <si>
    <t>kirchman@udel.edu</t>
  </si>
  <si>
    <t>Cottrell, Matthew T/C-3266-2009</t>
  </si>
  <si>
    <t>Cottrell, Matthew/0000-0003-0449-9999</t>
  </si>
  <si>
    <t>NSF [OPP 0838830]</t>
  </si>
  <si>
    <t>This study was supported by NSF grant OPP 0838830.</t>
  </si>
  <si>
    <t>10.1128/AEM.00121-14</t>
  </si>
  <si>
    <t>WOS:000336035200010</t>
  </si>
  <si>
    <t>Ma, XD; Zhang, HJ; Zhou, HQ; Na, GS; Wang, Z; Chen, C; Chen, JW; Chen, JP</t>
  </si>
  <si>
    <t>Ma, Xindong; Zhang, Haijun; Zhou, Hongqiang; Na, Guangshui; Wang, Zhen; Chen, Chen; Chen, Jingwen; Chen, Jiping</t>
  </si>
  <si>
    <t>Occurrence and gas/particle partitioning of short- and medium-chain chlorinated paraffins in the atmosphere of Fildes Peninsula of Antarctica</t>
  </si>
  <si>
    <t>Chlorinated paraffins; Gas/particle partitioning; Antarctic; Junge-Pankow model; K-OA-based model</t>
  </si>
  <si>
    <t>POLYCYCLIC AROMATIC-HYDROCARBONS; POLYBROMINATED DIPHENYL ETHERS; POLYCHLORINATED-BIPHENYLS; N-ALKANES; ARCTIC AIR; CHINA; PAHS; SEA; NAPHTHALENES; CONSTANTS</t>
  </si>
  <si>
    <t>Chlorinated paraffins (CPs) were measured in air samples at a remote air monitoring site established in Georgia King Island, Fildes Peninsula of Antarctica (Great Wall Station, China) to study the long-range atmospheric transport of these anthropogenic pollutants to the Antarctic. Gas- and particle-phase CPs were collected using polyurethane foam plugs (PUF) and glass fiber filters (GFF) respectively during summertime of 2012. The total atmospheric levels of SCCPs and MCCPs ranged from 9.6 to 20.8 pg m(-3) (average: 14.9 pg m(-3)) and 3.7-5.2 pg m(-3) (average: 4.5 pg m(-3)), respectively. C-10 and C-11 carbon chain homologues with Cl-5 and Cl-6 chlorine atoms predominated in SCCP formula groups both in gas- and particle-phase. Significant linear correlation was found between gas/particle partition coefficients (K-p) and sub-cooled liquid vapor pressures (p degrees(L) (R-2 = 0.437, p &lt;0.01), as well as Kp and octanol air partition coefficients (K-OA) (R-2 = 0.442, p &lt; 0.01). Absolute slope values of two regression models (0.31 and 0.39) were less than 0.6 indicating that the way of absorption into organic matter of aerosol played a more important role on atmospheric partitioning and transferring of CPs in remote Antarctic area. Both the Junge Pankow model and the K-OA-based model tended to underestimate the sorption of lower chlorinated CPs and overestimate the sorption of highly chlorinated CPs. (c) 2014 Elsevier Ltd. All rights reserved.</t>
  </si>
  <si>
    <t>[Ma, Xindong; Na, Guangshui; Wang, Zhen] Natl Marine Environm Monitoring Ctr, State Ocean Adm Key Lab Ecol Environm Coastal Are, Dalian 116023, Peoples R China; [Ma, Xindong; Zhang, Haijun; Chen, Jiping] Chinese Acad Sci, Dalian Inst Chem Phys, Dalian 116023, Peoples R China; [Chen, Jingwen] Dalian Univ Technol, Sch Environm Sci &amp; Technol, Key Lab Ind Ecol &amp; Environm Engn MOE, Dalian 116024, Peoples R China; [Chen, Chen] Dalian Maritime Univ, Sch Life Sci &amp; Technol, Dalian 116023, Peoples R China; [Zhou, Hongqiang] Univ Paris SUD XI, Ctr Orsay, Dept Chem, F-75008 Paris, France</t>
  </si>
  <si>
    <t>National Marine Environmental Monitoring Center; Chinese Academy of Sciences; Dalian Institute of Chemical Physics, CAS; Dalian University of Technology; Dalian Maritime University; Universite Paris Saclay</t>
  </si>
  <si>
    <t>Chen, JP (corresponding author), Chinese Acad Sci, Dalian Inst Chem Phys, Dalian 116023, Peoples R China.</t>
  </si>
  <si>
    <t>chenjp@dicp.ac.cn</t>
  </si>
  <si>
    <t>chen, jw/IQW-1558-2023; Chen, Jingwen/A-1658-2010</t>
  </si>
  <si>
    <t>Chen, Jingwen/0000-0002-5756-3336; Ma, Xindong/0000-0001-8949-9327</t>
  </si>
  <si>
    <t>National Natural Science Foundation of China [41201491, 21077102]; Chinese Polar Environment Comprehensive Investigation &amp; Assessment Programmes [CHINARE-02-01, 03-04]; National Department Public Benefit Research Foundation of State Oceanic Administration, China [201105013]; Chinese Arctic and Antarctic Administration</t>
  </si>
  <si>
    <t>National Natural Science Foundation of China(National Natural Science Foundation of China (NSFC)); Chinese Polar Environment Comprehensive Investigation &amp; Assessment Programmes; National Department Public Benefit Research Foundation of State Oceanic Administration, China; Chinese Arctic and Antarctic Administration</t>
  </si>
  <si>
    <t>This study was supported by the National Natural Science Foundation of China (Grant No. 41201491 and Grant No. 21077102), the Chinese Polar Environment Comprehensive Investigation &amp; Assessment Programmes (CHINARE-02-01; 03-04), and the National Department Public Benefit Research Foundation of State Oceanic Administration, China (201105013). We express our sincere gratitude to all members of the 29th Chinese National Antarctic Research Expedition and the support from the Chinese Arctic and Antarctic Administration.</t>
  </si>
  <si>
    <t>10.1016/j.atmosenv.2014.03.021</t>
  </si>
  <si>
    <t>WOS:000335634100002</t>
  </si>
  <si>
    <t>Eastham, SD; Weisenstein, DK; Barrett, SRH</t>
  </si>
  <si>
    <t>Eastham, Sebastian D.; Weisenstein, Debra K.; Barrett, Steven R. H.</t>
  </si>
  <si>
    <t>Development and evaluation of the unified tropospheric-stratospheric chemistry extension (UCX) for the global chemistry-transport model GEOS-Chem</t>
  </si>
  <si>
    <t>GEOS-Chem; Stratospheric chemistry; Ozone hole; Model development; Model validation</t>
  </si>
  <si>
    <t>ATMOSPHERIC CHEMISTRY; 3-DIMENSIONAL MODEL; OZONE; PHOTOLYSIS; PREINDUSTRIAL; SIMULATION; LIFETIMES; EMISSIONS; RADICALS; CLOUDS</t>
  </si>
  <si>
    <t>Global chemistry-transport models (CTMs) typically use simplified parameterizations or relaxation to climatology to estimate the chemical behavior of the stratosphere only in the context of its impact on tropospheric chemistry. This limits investigation of stratospheric chemistry and interactions between tropospheric and stratospheric chemistry-transport processes. We incorporate stratospheric chemical and physical processes into the model GEOS-Chem in the form of a unified chemistry extension (UCX). The stratospheric chemistry framework from NASA's Global Modeling Initiative (GMI) is updated in accordance with JPL 10-06 and combined with GEOS-Chem's existing widely applied and validated tropospheric chemistry to form a single, unified gas-phase chemistry scheme. Aerosol calculations are extended to include heterogeneous halogen chemistry and the formation, sedimentation and evaporation of polar stratospheric clouds (PSCs) as well as background liquid binary sulfate (LBS) aerosols. The Fast-JX v7.0a photolysis scheme replaces a hybrid of Fast-J and Fast-JX v6.2, allowing photolytic destruction at frequencies relevant to the stratosphere and of species not previously modeled. Finally, new boundary conditions are implemented to cover both surface emissions of new species and mesospheric behavior. Results for four simulation years (2004-2007) are compared to those from the original, tropospheric model and to in situ and satellite-based measurements. We use these comparisons to show that the extended model is capable of modeling stratospheric chemistry efficiently without compromising the accuracy of the model at lower altitudes, perturbing mean OH below 250 hPa by less than 5% while successfully capturing stratospheric behavior not previously captured in GEOS-Chem such as formation and collapse of the Antarctic ozone hole. These extensions (with supporting validation and intercomparison) enable an existing and extensively validated tropospheric CTM to be used to investigate a broader set of atmospheric chemistry problems and leverages GEOS-Chem's existing tropospheric treatment. (C) 2014 Elsevier Ltd. All rights reserved.</t>
  </si>
  <si>
    <t>[Eastham, Sebastian D.; Barrett, Steven R. H.] MIT, Dept Aeronaut &amp; Astronaut, Lab Aviat &amp; Environm, Cambridge, MA 02139 USA; [Weisenstein, Debra K.] Harvard Univ, Sch Engn &amp; Appl Sci, Cambridge, MA 02138 USA</t>
  </si>
  <si>
    <t>Massachusetts Institute of Technology (MIT); Harvard University</t>
  </si>
  <si>
    <t>Barrett, SRH (corresponding author), MIT, Dept Aeronaut &amp; Astronaut, Lab Aviat &amp; Environm, Cambridge, MA 02139 USA.</t>
  </si>
  <si>
    <t>sbarrett@mit.edu</t>
  </si>
  <si>
    <t>Eastham, Sebastian David/0000-0002-2476-4801</t>
  </si>
  <si>
    <t>Lockheed Martin graduate fellowship; MIT; FICER</t>
  </si>
  <si>
    <t>We would like to thank the many groups and individuals who assisted in developing and validating the GEOS-Chem Unified Chemistry Extension, in particular to Peter Catalfamo now at the MIT Gas Turbine Laboratory who contributed to early prototyping, and Jingqiu Mao's for his implementation of Fast-JX v6.2 in GEOS-Chem. Special thanks go to Daniel Jacob, Lee Murray, Mat Evans, Bob Yantosca and the entire GEOS-Chem team. We thank Susan Solomon for her help in diagnosing and analyzing the model's ozone interactions. We would like also to thank Emmanuel Mahieu, Wuting Yang and Nicholas Deutscher for FTIR data used throughout. We thank Michael Prather for communications regarding Fast-JX. We also acknowledge the science teams involved in production of the World Ozone and Ultraviolet Radiation Data Center (WOUDC) ozonesonde data. Funding was from a Lockheed Martin graduate fellowship, MIT discretionary funds, and a FICER grant.</t>
  </si>
  <si>
    <t>10.1016/j.atmosenv.2014.02.001</t>
  </si>
  <si>
    <t>WOS:000335874500007</t>
  </si>
  <si>
    <t>Karsten, U; Holzinger, A</t>
  </si>
  <si>
    <t>Karsten, Ulf; Holzinger, Andreas</t>
  </si>
  <si>
    <t>Green algae in alpine biological soil crust communities: acclimation strategies against ultraviolet radiation and dehydration</t>
  </si>
  <si>
    <t>Antioxidants; Biodiversity; Klebsormidium; Organic osmolytes; Ultrastructure; UV-sunscreens</t>
  </si>
  <si>
    <t>DESICCATION STRESS; ECOPHYSIOLOGICAL PERFORMANCE; PHENOLIC-COMPOUNDS; ANTARCTIC STRAINS; UV-B; STREPTOPHYTA; ULTRASTRUCTURE; CHLOROPHYTA; DESERT; PHOTOSYNTHESIS</t>
  </si>
  <si>
    <t>Green algae are major components of biological soil crusts in alpine habitats. Together with cyanobacteria, fungi and lichens, green algae form a pioneer community important for the organisms that will succeed them. In their high altitudinal habitat these algae are exposed to harsh and strongly fluctuating environmental conditions, mainly intense irradiation, including ultraviolet radiation, and lack of water leading to desiccation. Therefore, green algae surviving in these environments must have evolved with either avoidance or protective strategies, as well as repair mechanisms for damage. In this review we have highlighted these mechanisms, which include photoprotection, photochemical quenching, and high osmotic values to avoid water loss, and in some groups flexibility of secondary cell walls to maintain turgor pressure even in water-limited situations. These highly specialized green algae will serve as good model organisms to study desiccation tolerance or photoprotective mechanisms, due to their natural capacity to withstand unfavorable conditions. We point out the urgent need for modern phylogenetic approaches in characterizing these organisms, and molecular methods for analyzing the metabolic changes involved in their adaptive strategies.</t>
  </si>
  <si>
    <t>[Karsten, Ulf] Univ Rostock, Inst Biol Sci Appl Ecol &amp; Phycol, D-18059 Rostock, Germany; [Holzinger, Andreas] Univ Innsbruck, Inst Bot, A-6020 Innsbruck, Austria</t>
  </si>
  <si>
    <t>University of Rostock; University of Innsbruck</t>
  </si>
  <si>
    <t>Karsten, U (corresponding author), Univ Rostock, Inst Biol Sci Appl Ecol &amp; Phycol, Albert Einstein Str 3, D-18059 Rostock, Germany.</t>
  </si>
  <si>
    <t>ulf.karsten@uni-rostock.de</t>
  </si>
  <si>
    <t>Holzinger, Andreas/Z-2659-2019</t>
  </si>
  <si>
    <t>Holzinger, Andreas/0000-0002-7745-3978</t>
  </si>
  <si>
    <t>Deutsche Forschungsgemeinschaft (DFG) [KA899/16-1/2/3/4]; Austrian Science Fund (FWF) [P 24242-B16]; Austrian Science Fund (FWF) [P 24242] Funding Source: researchfish</t>
  </si>
  <si>
    <t>Deutsche Forschungsgemeinschaft (DFG)(German Research Foundation (DFG)); Austrian Science Fund (FWF)(Austrian Science Fund (FWF)); Austrian Science Fund (FWF)(Austrian Science Fund (FWF))</t>
  </si>
  <si>
    <t>This work was supported by the Deutsche Forschungsgemeinschaft (DFG) (KA899/16-1/2/3/4) to UK, as well as by the Austrian Science Fund (FWF) grant P 24242-B16 to A. H. The authors thank Christine Kitzing, University of Rostock, for providing the physiological and biochemical data on Klebsormidium fluitans ASIB V103.</t>
  </si>
  <si>
    <t>10.1007/s10531-014-0653-2</t>
  </si>
  <si>
    <t>AK0UU</t>
  </si>
  <si>
    <t>WOS:000338132300014</t>
  </si>
  <si>
    <t>Zhu, LJ</t>
  </si>
  <si>
    <t>Zhu Lijiang</t>
  </si>
  <si>
    <t>Chinese Practice in Public International Law: 2013</t>
  </si>
  <si>
    <t>CHINESE JOURNAL OF INTERNATIONAL LAW</t>
  </si>
  <si>
    <t>This Survey covers materials reflecting Chinese practice in 2013 relating to: Fundamental Principles of International Law (The Principle of Equality of State Sovereignty; Permanent Sovereignty over Natural Resources; Prohibition of Threat or Use of Force; Peaceful Settlement of International Disputes; Nonintervention in Internal Affairs); Sources of International Law (Identification of Customary International Law; Guide to Practice on Reservations to Treaties; Provisional Application of Treaties); Relationship between International Law and Chinese Law (Act on Administration of Tax Collection Revised; Act on the Prevention and Control of Environmental Pollution by Solid Wastes Revised; Act on Seed Revised; Act on Animal Epidemic Prevention Revised; Act on Trade Mark Revised; Act on Fishery Revised; Act on Marine Environment Protection Revised; Act on Customs Revised); Recognition of New States (Palestine; Kosovo); Jurisdiction and Immunity (Scope and Application of Universal Jurisdiction; Immunity of State Officials from Foreign Criminal Jurisdiction); China's Territorial Integrity (Taiwan; Tibet; China-India Border; Diaoyu Island and its Affiliated Islands; Nansha Islands); Polar Regions (Arctic Council; Antarctic Treaty); International Law of the Sea (Submission to the Commission on the Limits of the Continental Shelf in part of the East China Sea; Commission on the Limits of the Continental Shelf (CLCS); International Seabed Authority (ISA); International Tribunal for the Law of the Sea (ITLOS); Marine Biodiversity beyond Areas of National Jurisdiction; Reorganization of State Ocean Administration); International Air and Space Law (Establishment of Air Defense Identification Zone in East China Sea; Peaceful Use of Outer Space; Transparency and Confidence-Building Measures in Outer Space; International Code of Conduct for Outer Space Activities); International Cyberspace Law (International Code of Conduct for Information Security; Cyber Crime); Aliens (Regulation on Administration of Exit and Entry); International Human Rights Law(Universal Periodic Review; Office of the High Commissioner for Human Rights(OHCHR); International Covenant on Civil and Political Rights (ICCPR); Convention against Torture and Other Cruel Inhuman or Degrading Treatment or Punishment (CAT); Convention on the Rights of the Child (CRC); Human Rights Treaty Bodies and Their Reform; Rights of Indigenous Peoples; Action Plan for Fighting Human Trafficking (2013-2020)); International Humanitarian Law (Protection of Civilians in Armed Conflicts; Protection of Journalists in Armed Conflicts); International Law on Disasters (Protection of Persons in the Event of Disasters); International Law on Arms Control, Disarmament and Non-proliferation (Nuclear Disarmament and Non-Proliferation; Chemical Weapons Convention; Biological Weapons Convention (BWC); Convention on Certain Conventional Weapons (CCW); Amended Protocol II to the CCW; Ottawa Convention; Convention on Cluster Munitions (CCM); Protocol V to the CCW (ERW); Improvised Explosive Devices (IEDs); Lethal Autonomous Robots; Arms Trade Treaty (ATT); Small Arms and Light Weapons; Conference on Disarmament (CD)); International Criminal Law (Crimes against Humanity; International Criminal Court (ICC); ICTY and ICTR; UN Comprehensive Convention against Terrorism; Agreement on the Procedure for Organizing and Conducting Joint Anti-Terrorist Exercises by Member States of the Shanghai Cooperation Organization; Agreement on the Procedure for Organizing and Conducting Joint Anti-Terrorist Operations within Member States of the Shanghai Cooperation Organization; Trafficking in Cultural Property; Ratification of the Treaty on Transfer of the Convicted between the People's Republic of China and the Republic of Kyrgyzstan; International Criminal Judicial Assistance and Police Cooperation); International Environmental Law (Climate Change; Sustainable Development; Protection of Atmosphere; Action Plan on Air Pollution Prevention); Law on Diplomatic and Consular Relations (Vienna Convention on Diplomatic Relations; Treatment of Cases Committed by Foreigners); International Law on International Organizations (Sanctions Imposed by the UNSC; UN Peacekeeping Operations); Peaceful Settlement of International Disputes (Negotiation and Consultation; Good Offices and Mediation; International Arbitration; The Philippines v. China Arbitration).</t>
  </si>
  <si>
    <t>[Zhu Lijiang] China Univ Polit Sci &amp; Law CUPL, Fac Int Law, Beijing, Peoples R China</t>
  </si>
  <si>
    <t>China University of Political Science &amp; Law</t>
  </si>
  <si>
    <t>Zhu, LJ (corresponding author), Univ Oslo, Norwegian Ctr Human Rights, N-0316 Oslo, Norway.</t>
  </si>
  <si>
    <t>lijiangz@cupl.edu.cn</t>
  </si>
  <si>
    <t>1540-1650</t>
  </si>
  <si>
    <t>1746-9937</t>
  </si>
  <si>
    <t>CHIN J INT LAW</t>
  </si>
  <si>
    <t>Chin. J. Int. Law</t>
  </si>
  <si>
    <t>10.1093/chinesejil/jmu019</t>
  </si>
  <si>
    <t>AQ6KZ</t>
  </si>
  <si>
    <t>WOS:000342922400007</t>
  </si>
  <si>
    <t>Holbrook, NJ; Johnson, JE</t>
  </si>
  <si>
    <t>Holbrook, Neil J.; Johnson, Johanna E.</t>
  </si>
  <si>
    <t>Climate change impacts and adaptation of commercial marine fisheries in Australia: a review of the science</t>
  </si>
  <si>
    <t>CLIMATIC CHANGE</t>
  </si>
  <si>
    <t>LATES-CALCARIFER FISHERY; NORTHEAST QUEENSLAND; OCEAN; MANAGEMENT; VARIABILITY; SHIFTS; VULNERABILITY</t>
  </si>
  <si>
    <t>Commercial marine fishing contributes significantly to the Australian economy, and has great importance for coastal communities. However, climate change presents significant challenges for Australia's fishing industries, now and into the future. With greater use of targeted information, the fishing industry will be better placed to minimise the negative impacts and take advantage of opportunities associated with the effects of climate change. The future of the fishing industry-specifically wild capture fisheries-will depend on its ability and capacity to apply appropriate adaptation strategies for its viability and sustainability in the long-term. Knowledge regarding expected long-term changes in species distributions, improved weather and seasonal climate forecasts and their influence on target species, and better understanding of species tolerances, can inform adaptation responses. This paper provides a review of recent advances in research addressing Australia's priorities in relation to commercial marine fisheries' responses to current and anticipated future climate change impacts, and considers barriers and adaptation options for fisheries management over the near-term planning horizon of 5-7 years.</t>
  </si>
  <si>
    <t>[Holbrook, Neil J.] Univ Tasmania, Inst Marine &amp; Antarctic Studies, Hobart, Tas 7001, Australia; [Holbrook, Neil J.] Adaptat Res Network Marine Biodivers &amp; Resources, Hobart, Tas, Australia; [Johnson, Johanna E.] C2O Consulting, Cairns, Qld, Australia; [Johnson, Johanna E.] James Cook Univ, Sch Marine &amp; Trop Biol, Townsville, Qld 4810, Australia</t>
  </si>
  <si>
    <t>University of Tasmania; James Cook University</t>
  </si>
  <si>
    <t>Holbrook, NJ (corresponding author), Univ Tasmania, Inst Marine &amp; Antarctic Studies, Private Bag 129, Hobart, Tas 7001, Australia.</t>
  </si>
  <si>
    <t>Neil.Holbrook@utas.edu.au</t>
  </si>
  <si>
    <t>Johnson, Johanna/Y-6099-2019; Holbrook, Neil/M-7544-2013</t>
  </si>
  <si>
    <t>Johnson, Johanna/0000-0003-0539-5542; Holbrook, Neil/0000-0002-3523-6254</t>
  </si>
  <si>
    <t>Australian Government Department of Climate Change and Energy Efficiency, through the National Climate Change Adaptation Research Facility</t>
  </si>
  <si>
    <t>Australian Government Department of Climate Change and Energy Efficiency, through the National Climate Change Adaptation Research Facility(Australian Government)</t>
  </si>
  <si>
    <t>Funding from the Australian Government Department of Climate Change and Energy Efficiency, through the National Climate Change Adaptation Research Facility, supported this review. The authors thank the three anonymous reviewers for their insightful comments. We acknowledge helpful advice from Stewart Frusher and Ingrid van Putten, and assistance from Clare Brooker in collating the Endnote library.</t>
  </si>
  <si>
    <t>0165-0009</t>
  </si>
  <si>
    <t>1573-1480</t>
  </si>
  <si>
    <t>Clim. Change</t>
  </si>
  <si>
    <t>10.1007/s10584-014-1110-7</t>
  </si>
  <si>
    <t>AI8GB</t>
  </si>
  <si>
    <t>WOS:000337146800002</t>
  </si>
  <si>
    <t>Machado, C; Zaleski, T; Rodrigues, E; Carvalho, CDS; Cadena, SMSC; Gozzi, GJ; Krebsbach, P; Rios, FS; Donatti, L</t>
  </si>
  <si>
    <t>Machado, Cintia; Zaleski, Tania; Rodrigues, Edson; Carvalho, Cleoni dos Santos; Suter Correia Cadena, Silvia Maria; Gozzi, Gustavo Jabor; Krebsbach, Priscila; Rios, Flavia Sant'Anna; Donatti, Lucelia</t>
  </si>
  <si>
    <t>Effect of temperature acclimation on the liver antioxidant defence system of the Antarctic nototheniids Notothenia coriiceps and Notothenia rossii</t>
  </si>
  <si>
    <t>COMPARATIVE BIOCHEMISTRY AND PHYSIOLOGY B-BIOCHEMISTRY &amp; MOLECULAR BIOLOGY</t>
  </si>
  <si>
    <t>Antarctic fish; Thermal acclimation; Oxidative stress</t>
  </si>
  <si>
    <t>OXIDATIVE STRESS; CLIMATE-CHANGE; TREMATOMUS-BERNACCHII; SUPEROXIDE-DISMUTASE; THERMAL TOLERANCE; GOLDFISH TISSUES; FISH; EXPOSURE; MITOCHONDRIAL; RESPONSES</t>
  </si>
  <si>
    <t>The aim of this study was to determine whether endemic Antarctic nototheniid fish are able to adjust their liver antioxidant defence system in response to the temperature increase. The activity of the superoxide dismutase (SOD), catalase (CAT), glutathione peroxidase (GPx), glutathione-S-transferase (GST) and glutathione reductase (GR) enzymes as well as the content of non-enzymatic oxidative stress markers such as reduced glutathione (GSH), lipid peroxidation (LPO) and protein carbonyl (PC) were measured in the liver of two Antarctic fish species, Notothenia rossii and Notothenia coriiceps after 1,3 and 6 days of exposure to temperatures of 0 C and 8 C. The GST activity showed a downregulation in N. rossii after 6 days of exposure to the increased temperature. The activity profiles of GST and GR in N. rossii and of GPx in N. coriiceps also changed as a consequence of heating to 8 C. The GSH content increased by heating to 8 C after 3 days in N. coriiceps and after 6 days in N. rossii. The content of malondialdehyde (MDA), a LPO marker, showed a negative modulation by the heating to 8 C in N. rossii after 3 days of exposure to temperatures. Present results show that heating to 8 C influenced the levels and profiles of the antioxidant enzymes and defences over time in the nototheniid fish N. rossii and N. coriiceps. (C) 2014 Elsevier Inc. All rights reserved.</t>
  </si>
  <si>
    <t>[Machado, Cintia; Zaleski, Tania; Krebsbach, Priscila; Rios, Flavia Sant'Anna; Donatti, Lucelia] Univ Fed Parana, Dept Cell Biol, Adapt Biol Lab, BR-80060000 Curitiba, Parana, Brazil; [Rodrigues, Edson] Univ Taubate, Basic Biosci Inst, Sao Paulo, Brazil; [Carvalho, Cleoni dos Santos] Univ Fed Sao Carlos, Dept Biol, Sorocaba, SP, Brazil; [Suter Correia Cadena, Silvia Maria; Gozzi, Gustavo Jabor] Univ Fed Parana, Dept Biochem, Curitiba, Parana, Brazil</t>
  </si>
  <si>
    <t>Universidade Federal do Parana; Universidade de Taubate; Universidade Federal de Sao Carlos; Universidade Federal do Parana</t>
  </si>
  <si>
    <t>Donatti, L (corresponding author), Univ Fed Parana UFPR, Dept Biol Celular, Av Cel Francisco H Santos S-N,Caixa Postal 19, BR-81531970 Curitiba, PR, Brazil.</t>
  </si>
  <si>
    <t>donatti@ufpr.br</t>
  </si>
  <si>
    <t>Carvalho, Cleoni/E-2168-2013; Donatti, Lucelia/E-1930-2013; Rodrigues, Edson/C-6792-2015; Cadena, Silvia/C-2702-2013</t>
  </si>
  <si>
    <t>Carvalho, Cleoni/0000-0003-0755-5239; Donatti, Lucelia/0000-0002-9023-2483; Rodrigues, Edson/0000-0003-3968-6882; machado, cintia/0000-0002-3570-1611; ZALESKI, TANIA/0000-0001-7426-7312; Cadena, Silvia/0000-0003-4661-8458</t>
  </si>
  <si>
    <t>CAPES; CNPq; FAPERJ through the projects PNPD [2443/2011]; EBA [52.0125/2008-8]; INCT-APA [574018/2008-5, FAPERJ E-26/170.023/2008]; [305562/2009-6]; [305969/2012-9]</t>
  </si>
  <si>
    <t>CAPES(Coordenacao de Aperfeicoamento de Pessoal de Nivel Superior (CAPES)); CNPq(Conselho Nacional de Desenvolvimento Cientifico e Tecnologico (CNPQ)); FAPERJ through the projects PNPD; EBA; INCT-APA; ;</t>
  </si>
  <si>
    <t>We are grateful to the following for their support: Brazilian Ministry of Environment (MMA), Brazilian Ministry of Science, Technology and Innovation (MCTI), National Council for the Development of Scientific and Technological Research (CNPq), Brazilian Federal Agency for Support and Evaluation of Graduate Education (CAPES) and the Secretariat of the Inter-ministerial Commission for the Resources of the Sea (SeCIRM). The authors would like to thank Dr Edith Susana Elisabeth Fanta (in memoriam), coordinator of the projects Evolution and Biodiversity in the Antarctic: The response of life to change (EBA), and Dr Yocie Yoneshigue Valentin, coordinator of the National Institute of Antarctic Science and Technology of Environmental Research (INCT APA), for all the help and incentive given during execution of the present work. The study was supported by CAPES, CNPq and FAPERJ through the projects PNPD (CAPES Process Auxpe No. 2443/2011), EBA (MCTI/CNPq Process No. 52.0125/2008-8, International Polar Year), Productivity in Research granted to L. Donatti (CNPq. Process No. 305562/2009-6 and 305969/2012-9) and INCT-APA (CNPq Process No. 574018/2008-5, FAPERJ E-26/170.023/2008).</t>
  </si>
  <si>
    <t>1096-4959</t>
  </si>
  <si>
    <t>1879-1107</t>
  </si>
  <si>
    <t>COMP BIOCHEM PHYS B</t>
  </si>
  <si>
    <t>Comp. Biochem. Physiol. B-Biochem. Mol. Biol.</t>
  </si>
  <si>
    <t>JUN-JUL</t>
  </si>
  <si>
    <t>10.1016/j.cbpb.2014.02.003</t>
  </si>
  <si>
    <t>Biochemistry &amp; Molecular Biology; Zoology</t>
  </si>
  <si>
    <t>AJ7CC</t>
  </si>
  <si>
    <t>WOS:000337853800003</t>
  </si>
  <si>
    <t>Henry, LA; Frank, N; Hebbeln, D; Wienberg, C; Robinson, L; van de Flierdt, T; Dahl, M; Douarin, M; Morrison, CL; Lopez Correa, M; Rogers, AD; Ruckelshausen, M; Roberts, JM</t>
  </si>
  <si>
    <t>Henry, Lea-Anne; Frank, Norbert; Hebbeln, Dierk; Wienberg, Claudia; Robinson, Laura; van de Flierdt, Tina; Dahl, Mikael; Douarin, Melanie; Morrison, Cheryl L.; Lopez Correa, Matthias; Rogers, Alex D.; Ruckelshausen, Mario; Roberts, J. Murray</t>
  </si>
  <si>
    <t>Global ocean conveyor lowers extinction risk in the deep sea</t>
  </si>
  <si>
    <t>Atlantic meridional overturning circulation; Deep sea; Climate change; Extinction; Larval dispersal; Connectivity</t>
  </si>
  <si>
    <t>ANTARCTIC INTERMEDIATE WATER; GENETIC-STRUCTURE; CLIMATE-CHANGE; OVERTURNING CIRCULATION; NORTHEAST ATLANTIC; LOPHELIA-PERTUSA; SUBPOLAR GYRE; CORALS; STRENGTH; GROWTH</t>
  </si>
  <si>
    <t>General paradigms of species extinction risk are urgently needed as global habitat loss and rapid climate change threaten Earth with what could be its sixth mass extinction. Using the stony coral Lophelia pertusa as a model organism with the potential for wide larval dispersal, we investigated how the global ocean conveyor drove an unprecedented post-glacial range expansion in Earth's largest biome, the deep sea. We compiled a unique ocean-scale dataset of published radiocarbon and uranium-series dates of fossil corals, the sedimentary protactinium-thorium record of Atlantic meridional overturning circulation (AMOC) strength, authigenic neodymium and lead isotopic ratios of circulation pathways, and coral biogeography, and integrated new Bayesian estimates of historic gene flow. Our compilation shows how the export of Southern Ocean and Mediterranean waters after the Younger Dryas 11.6 kyr ago simultaneously triggered two dispersal events in the western and eastern Atlantic respectively. Each pathway injected larvae from refugia into ocean currents powered by a re-invigorated AMOC that led to the fastest postglacial range expansion ever recorded, covering 7500 km in under 400 years. In addition to its role in modulating global climate, our study illuminates how the ocean conveyor creates broad geographic ranges that lower extinction risk in the deep sea. (C) 2014 The Authors. Published by Elsevier Ltd.</t>
  </si>
  <si>
    <t>[Henry, Lea-Anne; Roberts, J. Murray] Heriot Watt Univ, Sch Life Sci, Ctr Marine Biodivers &amp; Biotechnol, Edinburgh EH14 4AS, Midlothian, Scotland; [Frank, Norbert; Ruckelshausen, Mario] Heidelberg Univ, Inst Umweltphys, D-69120 Heidelberg, Germany; [Hebbeln, Dierk; Wienberg, Claudia] Univ Bremen, MARUM Ctr Marine Environm Sci, D-28359 Bremen, Germany; [Robinson, Laura] Univ Bristol, Dept Earth Sci, Bristol BS8 1RJ, Avon, England; [van de Flierdt, Tina] Univ London Imperial Coll Sci Technol &amp; Med, Dept Earth Sci &amp; Engn, London SW7 2AZ, England; [Dahl, Mikael] Univ Gothenburg, Dept Biol &amp; Environm Sci, SE-45296 Gothenburg, Sweden; [Douarin, Melanie] Univ Edinburgh, Sch Geosci, Edinburgh EH9 3JW, Midlothian, Scotland; [Morrison, Cheryl L.] US Geol Survey, Leetown Sci Ctr, Aquat Ecol Branch, Kearneysville, WV 25430 USA; [Lopez Correa, Matthias] Univ Erlangen Nurnberg, GeoZentrum Nordbayern, D-91054 Erlangen, Germany; [Rogers, Alex D.] Univ Oxford, Dept Zool, Oxford OX1 3PS, England; [Roberts, J. Murray] Scottish Assoc Marine Sci, Oban PA37 1QA, Argyll, Scotland; [Roberts, J. Murray] Univ N Carolina, Ctr Marine Sci, Wilmington, NC 28403 USA</t>
  </si>
  <si>
    <t>Heriot Watt University; Ruprecht Karls University Heidelberg; University of Bremen; University of Bristol; Imperial College London; University of Gothenburg; University of Edinburgh; United States Department of the Interior; United States Geological Survey; University of Erlangen Nuremberg; University of Oxford; UHI Millennium Institute; University of North Carolina; University of North Carolina Wilmington</t>
  </si>
  <si>
    <t>Roberts, JM (corresponding author), Heriot Watt Univ, Sch Life Sci, Ctr Marine Biodivers &amp; Biotechnol, Edinburgh EH14 4AS, Midlothian, Scotland.</t>
  </si>
  <si>
    <t>j.m.roberts@hw.ac.uk</t>
  </si>
  <si>
    <t>Wienberg, Claudia/F-3160-2012; Hebbeln, Dierk/P-9766-2016; Lopez Correa, Matthias/A-2477-2011; Frank, Norbert/D-6486-2016; Roberts, Murray/D-8299-2013</t>
  </si>
  <si>
    <t>Wienberg, Claudia/0000-0001-9870-5495; Robinson, Laura/0000-0001-6811-0140; Henry, Lea-Anne/0000-0001-5134-1102; Rogers, Alex David/0000-0002-4864-2980; Hebbeln, Dierk/0000-0001-5099-6115; Lopez Correa, Matthias/0000-0002-6996-1876; Frank, Norbert/0000-0002-0416-9546; Roberts, Murray/0000-0003-1688-5133</t>
  </si>
  <si>
    <t>European Commission FP6 project TRACES [MOIF-CT-2006-040018]; British Consulate-General Boston; Canadian Department of Fisheries and Oceans; NOAA Undersea Research Center; University of North Carolina Wilmington Center for Marine Science; U.S. Geological Survey; Environmental Defence, Oceana; South Atlantic Fishery Management Council; U.K. Natural Environment Research Council; Scottish Association for Marine Science; Marine Conservation Institute; European Commission FP7 projects HERMIONE [226354]; EPOCA [211384]; UK Ocean Acidification programme (NERC) [NE/H017305/1]; Deutsche Forschungsgemeinschaft DFG-project WACOM [HE 3412/17]; NERC [NE/F016751/1, NE/H017305/1] Funding Source: UKRI; Natural Environment Research Council [NE/F016751/1, NE/H017305/1] Funding Source: researchfish</t>
  </si>
  <si>
    <t>European Commission FP6 project TRACES; British Consulate-General Boston; Canadian Department of Fisheries and Oceans; NOAA Undersea Research Center(National Oceanic Atmospheric Admin (NOAA) - USA); University of North Carolina Wilmington Center for Marine Science; U.S. Geological Survey(United States Geological Survey); Environmental Defence, Oceana; South Atlantic Fishery Management Council; U.K. Natural Environment Research Council(UK Research &amp; Innovation (UKRI)Natural Environment Research Council (NERC)); Scottish Association for Marine Science; Marine Conservation Institute; European Commission FP7 projects HERMIONE; EPOCA; UK Ocean Acidification programme (NERC); Deutsche Forschungsgemeinschaft DFG-project WACOM(German Research Foundation (DFG)); NERC(UK Research &amp; Innovation (UKRI)Natural Environment Research Council (NERC)); Natural Environment Research Council(UK Research &amp; Innovation (UKRI)Natural Environment Research Council (NERC))</t>
  </si>
  <si>
    <t>This analysis began during the Trans-Atlantic Coral Ecosystem Study (http://www.lophelia.org/traces) sponsored by the European Commission FP6 project TRACES (MOIF-CT-2006-040018 to JMR) with additional funding from the British Consulate-General Boston, Canadian Department of Fisheries and Oceans, the NOAA Undersea Research Center, the University of North Carolina Wilmington Center for Marine Science, the U.S. Geological Survey, Environmental Defence, Oceana, the South Atlantic Fishery Management Council, the U.K. Natural Environment Research Council, the Scottish Association for Marine Science and the Marine Conservation Institute. This paper is a contribution towards the European Commission FP7 projects HERMIONE (Grant 226354) and EPOCA (Grant 211384), the UK Ocean Acidification programme (NERC Grant NE/H017305/1), and the Deutsche Forschungsgemeinschaft DFG-project WACOM (Grant HE 3412/17). Petrobras provided access to coral-bearing sediment cores from the Brazilian margin. We thank Andy Gooday, Michael Bacon, Nancy Prouty and David Hopkins and three anonymous reviewers for comments on the manuscript. Additional data are available as Supplementary materials.</t>
  </si>
  <si>
    <t>10.1016/j.dsr.2014.03.004</t>
  </si>
  <si>
    <t>WOS:000337658800002</t>
  </si>
  <si>
    <t>Neutel, AM; Thorne, MAS</t>
  </si>
  <si>
    <t>Neutel, Anje-Margriet; Thorne, Michael A. S.</t>
  </si>
  <si>
    <t>Interaction strengths in balanced carbon cycles and the absence of a relation between ecosystem complexity and stability</t>
  </si>
  <si>
    <t>ECOLOGY LETTERS</t>
  </si>
  <si>
    <t>stability; ecosystems; Biodiversity; food webs; complexity; omnivory; communities; feedbacks; interaction strength; ecological networks</t>
  </si>
  <si>
    <t>FOOD WEBS; MODEL-ECOSYSTEMS; GLOBAL STABILITY; REAL ECOSYSTEMS; BIODIVERSITY; CONNECTANCE; DYNAMICS; DETRITUS; SYSTEMS; DEBATE</t>
  </si>
  <si>
    <t>The strength of interactions is crucial to the stability of ecological networks. However, the patterns of interaction strengths in mathematical models of ecosystems have not yet been based upon independent observations of balanced material fluxes. Here we analyse two Antarctic ecosystems for which the interaction strengths are obtained: (1) directly, from independently measured material fluxes, (2) for the complete ecosystem and (3) with a close match between species and 'trophic groups'. We analyse the role of recycling, predation and competition and find that ecosystem stability can be estimated by the strengths of the shortest positive and negative predator-prey feedbacks in the network. We show the generality of our explanation with another 21 observed food webs, comparing random-type parameterisations of interaction strengths with empirical ones. Our results show how functional relationships dominate over average-network topology. They make clear that the classic complexity-instability paradox is essentially an artificial interaction-strength result.</t>
  </si>
  <si>
    <t>[Neutel, Anje-Margriet; Thorne, Michael A. S.] British Antarctic Survey, Cambridge CB3 0ET, England</t>
  </si>
  <si>
    <t>Neutel, AM (corresponding author), British Antarctic Survey, Madingley Rd, Cambridge CB3 0ET, England.</t>
  </si>
  <si>
    <t>anjute@bas.ac.uk; mior@bas.ac.uk</t>
  </si>
  <si>
    <t>Thorne, Michael/0000-0001-7759-612X</t>
  </si>
  <si>
    <t>Natural Environment Research Council [bas0100026, bas0100025] Funding Source: researchfish; NERC [bas0100026, bas0100025] Funding Source: UKRI</t>
  </si>
  <si>
    <t>1461-023X</t>
  </si>
  <si>
    <t>1461-0248</t>
  </si>
  <si>
    <t>ECOL LETT</t>
  </si>
  <si>
    <t>Ecol. Lett.</t>
  </si>
  <si>
    <t>10.1111/ele.12266</t>
  </si>
  <si>
    <t>AG1SW</t>
  </si>
  <si>
    <t>WOS:000335197400001</t>
  </si>
  <si>
    <t>Growth activity of gammaproteobacterial subgroups in waters off the west Antarctic Peninsula in summer and fall</t>
  </si>
  <si>
    <t>ENVIRONMENTAL MICROBIOLOGY</t>
  </si>
  <si>
    <t>IN-SITU HYBRIDIZATION; SINGLE-CELL ACTIVITY; HETEROTROPHIC BACTERIAL GROUPS; CATALYZED REPORTER DEPOSITION; DISSOLVED ORGANIC-MATTER; RIBOSOMAL-RNA CONTENT; COASTAL NORTH-SEA; BIOMASS PRODUCTION; MARINE BACTERIOPLANKTON; LEUCINE INCORPORATION</t>
  </si>
  <si>
    <t>Characterizing both growth and abundance is important in understanding the role of bacterial communities in biogeochemical cycling of global oceans. However, these two quantities are seldom measured together for specific bacterial clades. Our goal was to examine growth and abundance of three gammaproteobacterial subgroups, including SAR86, at the single-cell level by microautoradiography combined with fluorescence in situ hybridization (FISH) in coastal waters of the west Antarctic Peninsula region during two austral summers and one austral fall. We found that the SAR86 clade was less abundant and grew more slowly than two related gammaproteobacterial clades, Ant4D3 and Arctic96B-16. Over 60% of Ant4D3 and Arctic96B-16 cells incorporated leucine, while only 25% of SAR86 cells were active in both summer and fall. We also explored using the size of the FISH image as another measure of single-cell activity. There was a linear relationship between FISH cell size and incorporation of leucine for all bacteria, Ant4D3 and Arctic96B-16, but not for SAR86. FISH sizes of SAR86 cells were at least threefold smaller than cells in the other clades. Our results suggest slow growth of SAR86 in the perennially cold waters of the west Antarctic Peninsula.</t>
  </si>
  <si>
    <t>[Nikrad, Mrinalini P.; Cottrell, Matthew T.; Kirchman, David L.] Univ Delaware, Sch Marine Sci &amp; Policy, Lewes, DE 19958 USA</t>
  </si>
  <si>
    <t>Kirchman, DL (corresponding author), Univ Delaware, Sch Marine Sci &amp; Policy, 700 Pilottown Rd, Lewes, DE 19958 USA.</t>
  </si>
  <si>
    <t>NSF OPP [0838830]; NSF ANT [0823101]; Directorate For Geosciences; Office of Polar Programs (OPP) [0838830] Funding Source: National Science Foundation</t>
  </si>
  <si>
    <t>NSF OPP(National Science Foundation (NSF)NSF - Directorate for Geosciences (GEO)); NSF ANT(National Science Foundation (NSF)); Directorate For Geosciences; Office of Polar Programs (OPP)(National Science Foundation (NSF)NSF - Directorate for Geosciences (GEO))</t>
  </si>
  <si>
    <t>This work was supported by NSF OPP 0838830. We thank the Palmer LTER, which is supported by NSF ANT 0823101, for sampling assistance and use of environmental data.</t>
  </si>
  <si>
    <t>1462-2912</t>
  </si>
  <si>
    <t>1462-2920</t>
  </si>
  <si>
    <t>ENVIRON MICROBIOL</t>
  </si>
  <si>
    <t>Environ. Microbiol.</t>
  </si>
  <si>
    <t>10.1111/1462-2920.12258</t>
  </si>
  <si>
    <t>AJ2SM</t>
  </si>
  <si>
    <t>WOS:000337512000007</t>
  </si>
  <si>
    <t>Kim, JG; Park, SJ; Quan, ZX; Jung, MY; Cha, IT; Kim, SJ; Kim, KH; Yang, EJ; Kim, YN; Lee, SH; Rhee, SK</t>
  </si>
  <si>
    <t>Kim, Jong-Geol; Park, Soo-Je; Quan, Zhe-Xue; Jung, Man-Young; Cha, In-Tae; Kim, So-Jeong; Kim, Kyoung-Ho; Yang, Eun-Jin; Kim, Young-Nam; Lee, Sang-Hoon; Rhee, Sung-Keun</t>
  </si>
  <si>
    <t>Unveiling abundance and distribution of planktonic Bacteria and Archaea in a polynya in Amundsen Sea, Antarctica</t>
  </si>
  <si>
    <t>AMMONIA-OXIDIZING ARCHAEA; ATLANTIC TIME-SERIES; 16S RIBOSOMAL-RNA; MICROBIAL COMMUNITIES; ARCTIC-OCEAN; NORTH-SEA; DIVERSITY; SURFACE; BACTERIOPLANKTON; DYNAMICS</t>
  </si>
  <si>
    <t>Polynyas, areas of open water surrounded by sea ice, are sites of intense primary production and ecological hotspots in the Antarctic Ocean. This study determined the spatial variation in communities of prokaryotes in a polynya in the Amundsen Sea using 454 pyrosequencing technology, and the results were compared with biotic and abiotic environmental factors. The bacterial abundance was correlated with that of phytoplankton, Phaeocystis spp. and diatoms. A cluster analysis indicated that the bacterial communities in the surface waters of the polynya were distinct from those under the sea ice. Overall, two bacterial clades, Polaribacter (20-64%) and uncultivated Oceanospirillaceae (7-34%), dominated the surface water in the polynya while the Pelagibacter clade was abundant at all depths (7-42%). The archaeal communities were not as diverse as the bacterial communities in the polynya, and marine group I was dominant (&gt;80%). Canonical correspondence analysis indicated that the oceanographic properties facilitated the development of distinct prokaryotic assemblages in the polynya. This analysis of the diversity and composition of the psychrophilic prokaryotes associated with high phytoplankton production provides new insights into the roles of prokaryotes in biogeochemical cycles in high-latitude polynyas.</t>
  </si>
  <si>
    <t>[Kim, Jong-Geol; Jung, Man-Young; Cha, In-Tae; Kim, So-Jeong; Rhee, Sung-Keun] Chungbuk Natl Univ, Dept Microbiol, Cheongju 361763, South Korea; [Park, Soo-Je] Jeju Natl Univ, Dept Biol, Cheju 690756, South Korea; [Quan, Zhe-Xue] Fudan Univ, Sch Life Sci, Dept Microbiol &amp; Microbial Engn, Shanghai 200433, Peoples R China; [Kim, Kyoung-Ho] Pukyong Natl Univ, Dept Microbiol, Pusan 608737, South Korea; [Yang, Eun-Jin; Kim, Young-Nam; Lee, Sang-Hoon] Korea Polar Res Inst, Div Polar Climate Res, Inchon 406840, South Korea; [Kim, Young-Nam] Korea Marine Environm Management Corp KOEM, Marine Ecosyst Management Team, Seoul 135870, South Korea</t>
  </si>
  <si>
    <t>Chungbuk National University; Jeju National University; Fudan University; Pukyong National University; Korea Polar Research Institute (KOPRI); Korea Institute of Ocean Science &amp; Technology (KIOST)</t>
  </si>
  <si>
    <t>Rhee, SK (corresponding author), Chungbuk Natl Univ, Dept Microbiol, 12 Gaeshin Dong, Cheongju 361763, South Korea.</t>
  </si>
  <si>
    <t>rhees@chungbuk.ac.kr</t>
  </si>
  <si>
    <t>Park, SJ/AAB-1372-2020; Kim, Kyoung-Ho/B-2579-2010; Quan, Zhe-Xue/B-8046-2013</t>
  </si>
  <si>
    <t>Kim, Kyoung-Ho/0000-0002-6297-7832; Quan, Zhe-Xue/0000-0002-7561-8572; Yang, Eun Jin/0000-0002-8639-5968</t>
  </si>
  <si>
    <t>Korea Polar Research Institute, Korea [PP13020]; Mid-Career Researcher Program through the National Research Foundation of Korea [NRF-2013R1A2A2A05006754]</t>
  </si>
  <si>
    <t>Korea Polar Research Institute, Korea; Mid-Career Researcher Program through the National Research Foundation of Korea</t>
  </si>
  <si>
    <t>We thank the crew of the RV Araon for their assistance. This study was funded by the Korea Polar Research Institute, Korea (PP13020) and the Mid-Career Researcher Program (NRF-2013R1A2A2A05006754) through the National Research Foundation of Korea. We thank Francisco-Rodriguez-Valera for comments on the manuscript.</t>
  </si>
  <si>
    <t>10.1111/1462-2920.12287</t>
  </si>
  <si>
    <t>WOS:000337512000011</t>
  </si>
  <si>
    <t>Watson, R; Zeller, D; Pauly, D</t>
  </si>
  <si>
    <t>Watson, Reg; Zeller, Dirk; Pauly, Daniel</t>
  </si>
  <si>
    <t>Primary productivity demands of global fishing fleets</t>
  </si>
  <si>
    <t>Global fishing fleets; primary production; marine fishing; large marine ecosystem</t>
  </si>
  <si>
    <t>ECOSYSTEM APPROACH; FOOD-WEB; FISHERIES; BIODIVERSITY; OCEAN; MANAGEMENT; DECLINE; SEA</t>
  </si>
  <si>
    <t>To be sustainable, the extractive process of fishing requires biomass renewal via primary production driven by solar energy. Primary production required (PPR) estimates how much primary production is needed to replace the biomass of fisheries landings removed from marine ecosystems. Here, we examine the historical fishing behaviour of global fishing fleets, which parts of the food web they rely on, which ecosystems they fish and how intensively. Highly mobile European and Asian fleets have moved to ever more distant productive waters since the 1970s, especially once they are faced with the costs of access agreements for exclusive economic zones (EEZs) declared by host countries. We examine fleet PPR demands in the context of large marine ecosystems (LMEs), which are frequently fished with PPR demands well above their average primary productivity (PP). In some cases, this was mitigated by subsequent emigration of fleets or by management intervention. Fleet movements, however, have stressed additional marine areas, including the EEZs of developing countries. This suggests the potential for spatial serial depletion, if fishing capacity is not reduced to more sustainable PP removal levels. Fundamentally, fishing is limited by solar-powered PP limits. Fishing beyond solar production has occurred, but in the future, marine systems may not be as forgiving, especially if overfishing and climate change compromise their resilience.</t>
  </si>
  <si>
    <t>[Watson, Reg; Zeller, Dirk; Pauly, Daniel] Univ British Columbia, Sea Us Project, Fisheries Ctr, Vancouver, BC V6T 1Z4, Canada; [Watson, Reg] Univ Tasmania, Inst Marine &amp; Antarctic Studies, Taroona, Tas, Australia</t>
  </si>
  <si>
    <t>University of British Columbia; University of Tasmania</t>
  </si>
  <si>
    <t>Watson, Reg A/0000-0001-7201-8865; Zeller, Dirk/0000-0001-7304-4125; Pauly, Daniel/0000-0003-3756-4793</t>
  </si>
  <si>
    <t>Sea Around Us project; University of British Columbia; Pew Environment Group; WWF in the Netherlands</t>
  </si>
  <si>
    <t>The authors were supported by the Sea Around Us project, a scientific collaboration between the University of British Columbia and the Pew Environment Group. RW thanks G. Nowara for assistance with programming and graphics production. The authors also acknowledge support from WWF in the Netherlands.</t>
  </si>
  <si>
    <t>10.1111/faf.12013</t>
  </si>
  <si>
    <t>AF4JV</t>
  </si>
  <si>
    <t>WOS:000334679000004</t>
  </si>
  <si>
    <t>Dickens, WA; Graham, AGC; Smith, JA; Dowdeswell, JA; Larter, RD; Hillenbrand, CD; Trathan, PN; Arndt, JE; Kuhn, G</t>
  </si>
  <si>
    <t>Dickens, William A.; Graham, Alastair G. C.; Smith, James A.; Dowdeswell, Julian A.; Larter, Robert D.; Hillenbrand, Claus-Dieter; Trathan, Phil N.; Arndt, Jan Erik; Kuhn, Gerhard</t>
  </si>
  <si>
    <t>A new bathymetric compilation for the South Orkney Islands region, Antarctic Peninsula (49°-39°W to 64°-59°S): Insights into the glacial development of the continental shelf</t>
  </si>
  <si>
    <t>PLEISTOCENE-HOLOCENE RETREAT; FLOWING ICE STREAMS; WEDDELL SEA; PRYDZ BAY; BELLINGSHAUSEN SEA; EAST ANTARCTICA; SHEET SYSTEM; ARCTIC-OCEAN; SCOTIA SEA; ROSS SEA</t>
  </si>
  <si>
    <t>We present a new, high resolution (300 m) bathymetric grid of the continental shelf surrounding the South Orkney Islands, northeast of the Antarctic Peninsula. The new grid, derived from a compilation of marine echo-sounding data, improves previous regional bathymetric representations and helps to visualize the morphology of the shelf in unrivalled detail. The compilation forms important baseline information for a range of scientific applications and end users including oceanographers, glacial modelers, biologists, and geologists. In particular, due to the limited understanding of glacial history in this region, the bathymetry provides the first detailed insights into past glacial regimes. The continental shelf is dominated by seven glacially eroded troughs, marking the pathways of glacial outlets that once drained a former ice cap centered on the South Orkney Islands. During previous glacial periods, grounded ice extended to the shelf edge north of the islands. A large, similar to 250 km long sediment depocenter, interpreted as a maximum former ice limit of one or more Cenozoic glaciations, suggests that ice was only grounded to the similar to 300-350 m contour in the south. Hypsometric analyses support this interpretation, indicating that a significant proportion of the shelf has been unaffected by glacial erosion. Using these observations, we propose a preliminary ice cap reconstruction for maximum glaciation of the South Orkney plateau, suggesting an ice coverage of about similar to 19,000 km(2). The timing of maximum ice extent, number of past advances and pattern of subsequent deglaciation(s) remain uncertain and will require further targeted marine geological and geophysical investigations to resolve.</t>
  </si>
  <si>
    <t>[Dickens, William A.; Smith, James A.; Larter, Robert D.; Hillenbrand, Claus-Dieter; Trathan, Phil N.] British Antarctic Survey, Cambridge CB3 0ET, England; [Dickens, William A.; Dowdeswell, Julian A.] Univ Cambridge, Scott Polar Res Inst, Cambridge CB2 1ER, England; [Graham, Alastair G. C.] Univ Exeter, Coll Life &amp; Environm Sci, Exeter, Devon, England; [Arndt, Jan Erik; Kuhn, Gerhard] Helmholtz Zentrum Polar &amp; Meeresforsch, Alfred Wegener Inst, Bremerhaven, Germany</t>
  </si>
  <si>
    <t>UK Research &amp; Innovation (UKRI); Natural Environment Research Council (NERC); NERC British Antarctic Survey; University of Cambridge; University of Exeter; Helmholtz Association; Alfred Wegener Institute, Helmholtz Centre for Polar &amp; Marine Research</t>
  </si>
  <si>
    <t>Dickens, WA (corresponding author), British Antarctic Survey, Cambridge CB3 0ET, England.</t>
  </si>
  <si>
    <t>wild@bas.ac.uk</t>
  </si>
  <si>
    <t>Smith, James A/N-1836-2013</t>
  </si>
  <si>
    <t>Graham, Alastair/0000-0002-2880-2908; Arndt, Jan Erik/0000-0002-9413-1612; Kuhn, Gerhard/0000-0001-6069-7485; Dowdeswell, Julian/0000-0003-1369-9482; Larter, Robert/0000-0002-8414-7389</t>
  </si>
  <si>
    <t>Natural Environment Research Council [NE/K50094X/1]; NERC [bas0100027] Funding Source: UKRI; Natural Environment Research Council [bas0100027, 1246119] Funding Source: researchfish</t>
  </si>
  <si>
    <t>We would like to thank Richard Gyllencreutz and two anonymous reviewers for their comments which greatly improved the clarity of our arguments. We would also like to thank the captains, crew, and scientists of all research vessels involved in data collection for this work. We also thank Ole Hestvik for the contribution of Olex data and Povl Abrahamsen for his collection and processing of swath multibeam data in the Scotia Ridge sector. This study is part of the British Antarctic Survey Polar Science for Planet Earth Programme. It was funded by the Natural Environment Research Council [NE/K50094X/1]. The full bathymetric grid is available through the Integrated Earth Data Applications (IEDA) Marine Geoscience Data System (MGDS): http://www.marine-geo.org/tools/search/Files.php?data_set_uid=21397.</t>
  </si>
  <si>
    <t>10.1002/2014GC005323</t>
  </si>
  <si>
    <t>AN1RY</t>
  </si>
  <si>
    <t>WOS:000340362500027</t>
  </si>
  <si>
    <t>Ribolini, A; Bini, M; Consoloni, I; Isola, I; Pappalardo, M; Zanchetta, G; Fucks, E; Panzeri, L; Martini, M; Terrasi, F</t>
  </si>
  <si>
    <t>Ribolini, Adriano; Bini, Monica; Consoloni, Ilaria; Isola, Ilaria; Pappalardo, Marta; Zanchetta, Giovanni; Fucks, Enrique; Panzeri, Laura; Martini, Marco; Terrasi, Filippo</t>
  </si>
  <si>
    <t>Late-Pleistocene Wedge Structures Along the Patagonian Coast (Argentina): Chronological Constraints and Palaeo-Environmental Implications</t>
  </si>
  <si>
    <t>GEOGRAFISKA ANNALER SERIES A-PHYSICAL GEOGRAPHY</t>
  </si>
  <si>
    <t>ANTARCTIC COLD REVERSAL; BE-10 PRODUCTION-RATE; SEA-LEVEL CHANGES; SOUTHERN PATAGONIA; CHUBUT; LOESS; C-14; CALIBRATION; GREENLAND; RECORD</t>
  </si>
  <si>
    <t>This paper investigates several wedge structures formed in continental deposits covering marine sediments deposited during MIS 5 along the central Patagonian coast of Argentina. The size and surface microtexture characteristics of the infilling sediments are consistent with a depositional environment dominated by aeolian transport. Fragments of Andean volcanic rocks (glass shards) in the wedge-fill suggest long-distance transport via a westerly component of wind direction. The wedges are interpreted as products of deep seasonal frost action in frozen ground, which produced open cracks that filled rapidly with partially non-local aeolian sediments. Many wedges cross cut carbonate crusts that formed under permafrost conditions in coastal Patagonia. The radiocarbon dating of carbonate crusts yielded an age of 25-27 kyr bp, while wedge-fill sediments are OSL dated to 14670 +/- 750yr bp. This indicates that ground wedge formation occurred during a cold event (the Antarctic Cold Reversal period) that interrupted the permafrost degradation following the Last Glacial Maximum.</t>
  </si>
  <si>
    <t>[Ribolini, Adriano; Bini, Monica; Consoloni, Ilaria; Pappalardo, Marta; Zanchetta, Giovanni] Univ Pisa, Dipartimento Sci Terra, Pisa, Italy; [Isola, Ilaria] Ist Geofis &amp; Vulcanol, Pisa, Italy; [Fucks, Enrique] Univ Nacl La Plata, Fac Ciencias Nat &amp; Museo, La Plata, Argentina; [Panzeri, Laura; Martini, Marco] Univ Milano Bicocca, Dipartimento Sci Mat, I-20125 Milan, Italy; [Terrasi, Filippo] Univ Naples 2, Dipartimento Sci Ambientali, Naples, Italy</t>
  </si>
  <si>
    <t>University of Pisa; Istituto Nazionale Geofisica e Vulcanologia (INGV); National University of La Plata; Museo La Plata; University of Milano-Bicocca; Universita della Campania Vanvitelli</t>
  </si>
  <si>
    <t>Ribolini, A (corresponding author), Univ Pisa, Dipartimento Sci Terra, Pisa, Italy.</t>
  </si>
  <si>
    <t>ribolini@dst.unipi.it</t>
  </si>
  <si>
    <t>Terrasi, Filippo/AAI-5062-2020; Isola, Ilaria/AAU-1895-2021; Ribolini, Adriano/B-8330-2018; Panzeri, Laura/JFA-6544-2023; Bini, Monica/B-8122-2018</t>
  </si>
  <si>
    <t>Terrasi, Filippo/0000-0001-5641-8973; Ribolini, Adriano/0000-0001-5851-8775; Bini, Monica/0000-0003-1482-2630; PANZERI, LAURA/0000-0001-6690-7455; Isola, Ilaria/0000-0002-3911-4676; Zanchetta, Giovanni/0000-0002-7080-9599</t>
  </si>
  <si>
    <t>University of Pisa; MIUR</t>
  </si>
  <si>
    <t>University of Pisa; MIUR(Ministry of Education, Universities and Research (MIUR))</t>
  </si>
  <si>
    <t>Discussions with Prof. Emeritus Hughes French greatly improved the manuscript and we thank Prof. A. Coronato and Prof. E. Kolstrup for their insightful reviews. We would also like to acknowledge Prof. D. Swift for useful suggestions and final review. The professional editing services of the American Journal Experts provided an English revision of the manuscript. This work was made possible thanks to the funding of the University of Pisa (Progetto Ateneo 2007, Leader G. Zanchetta) and MIUR (PRIN2008, Leader G. Zanchetta). We thank J. Cause and the CADACE no-profit organization for providing logistical support to the field campaign.</t>
  </si>
  <si>
    <t>0435-3676</t>
  </si>
  <si>
    <t>1468-0459</t>
  </si>
  <si>
    <t>GEOGR ANN A</t>
  </si>
  <si>
    <t>Geogr. Ann. Ser. A-Phys. Geogr.</t>
  </si>
  <si>
    <t>10.1111/geoa.12038</t>
  </si>
  <si>
    <t>Geography, Physical; Geology</t>
  </si>
  <si>
    <t>AJ2YE</t>
  </si>
  <si>
    <t>WOS:000337530500004</t>
  </si>
  <si>
    <t>Rippin, DM; Bingham, RG; Jordan, TA; Wright, AP; Ross, N; Corr, HFJ; Ferraccioli, F; Le Brocq, AM; Rose, KC; Siegert, MJ</t>
  </si>
  <si>
    <t>Rippin, D. M.; Bingham, R. G.; Jordan, T. A.; Wright, A. P.; Ross, N.; Corr, H. F. J.; Ferraccioli, F.; Le Brocq, A. M.; Rose, K. C.; Siegert, M. J.</t>
  </si>
  <si>
    <t>Basal roughness of the Institute and Moller Ice Streams, West Antarctica: Process determination and landscape interpretation</t>
  </si>
  <si>
    <t>Antarctica; Roughness; Radio-echo sounding; Ice dynamics; Moller Ice Stream; Institute Ice Stream</t>
  </si>
  <si>
    <t>SCALE GLACIAL LINEATIONS; PINE ISLAND GLACIER; BED ROUGHNESS; SEDIMENTARY PROCESSES; SPECTRAL ROUGHNESS; SHEET DYNAMICS; BENEATH; FLOW; SEA; MORPHOLOGY</t>
  </si>
  <si>
    <t>We present a detailed analysis of bed roughness beneath Institute and Moller Ice Streams, west Antarctica, using radio-echo sounding data (RES) acquired in the austral summer of 2010/11. We assess roughness using a two-parameter approach and also assess the directionality of roughness relative to present-day ice flow. Our work highlights the wealth of additional information that resides in analyses of bed roughness. Employing these multiple approaches we show that spatially variable roughness patterns are partly a consequence of the ability of flowing ice not only to smooth the bed but also to redistribute and remove sediments, and to do this along-flow. Accordingly, we identify some fast-flow tributaries underlain by topography that has been streamlined and other tributaries that are underlain by sediments. We also identify locations that are currently protected from erosion, but where more ancient erosion may once have occurred. We conclude that detailed roughness analysis is a useful tool for landscape interpretation: and we suggest that the roughness of an ice-sheet's bed should be viewed not only as the consequence of ancient marine sedimentation, but also as a product of more contemporary erosion and redistribution of sediments, as well as bedrock-smoothing that is ongoing because of continuing dynamic activity. In this way, basal roughness has the potential to evolve continually with ice sheet form and flow, and should not be viewed simply as a snapshot of either present-day or palaeo-basal conditions. (C) 2014 The Authors. Published by Elsevier B.V. This is an open access article under the CC BY license (http://creativecommons.org/licenses/by/3.0/).</t>
  </si>
  <si>
    <t>[Rippin, D. M.] Univ York, Dept Environm, York YO10 5DD, N Yorkshire, England; [Bingham, R. G.] Univ Edinburgh, Edinburgh EH8 9YL, Midlothian, Scotland; [Jordan, T. A.; Corr, H. F. J.; Ferraccioli, F.] British Antarctic Survey, Cambridge, England; [Wright, A. P.; Le Brocq, A. M.] Univ Exeter, Coll Life &amp; Environm Sci, Exeter EX4 4QJ, Devon, England; [Ross, N.] Newcastle Univ, Sch Geog Polit &amp; Sociol, Newcastle Upon Tyne NE1 7RU, Tyne &amp; Wear, England; [Rose, K. C.; Siegert, M. J.] Univ Bristol, Sch Geog Sci, Bristol BS8 1TH, Avon, England</t>
  </si>
  <si>
    <t>University of York - UK; University of Edinburgh; UK Research &amp; Innovation (UKRI); Natural Environment Research Council (NERC); NERC British Antarctic Survey; University of Exeter; Newcastle University - UK; University of Bristol</t>
  </si>
  <si>
    <t>Rippin, DM (corresponding author), Univ York, Dept Environm, York YO10 5DD, N Yorkshire, England.</t>
  </si>
  <si>
    <t>david.rippin@york.ac.uk; r.bingham@ed.acuk; tomj@bas.ac.uk; wrightandy.p@googlemail.com; Neil.Ross@newcastle.ac.uk; hfjc@bas.ac.uk; ffe@bas.ac.uk; A.LeBrocq@exetenac.uk; K.C.Rose@bristol.ac.uk; M.J.Siegert@bristol.ac.uk</t>
  </si>
  <si>
    <t>Siegert, Martin/M-9939-2019; Rippin, David Manish/AAW-5063-2021; Siegert, Martin J/A-3826-2008; Corr, Hugh/C-5398-2011; Bingham, Robert G/G-3576-2017</t>
  </si>
  <si>
    <t>Siegert, Martin/0000-0002-0090-4806; Rippin, David Manish/0000-0001-7757-9880; Siegert, Martin J/0000-0002-0090-4806; Ferraccioli, Fausto/0000-0002-9347-4736; Bingham, Robert G/0000-0002-0630-2021</t>
  </si>
  <si>
    <t>UK NERC AFI [NE/G013071/1]; Natural Environment Research Council [bas0100026, NE/G014248/1, NE/G013098/2, NE/G013071/1, NE/G013098/1] Funding Source: researchfish; NERC [NE/G014248/1, NE/G013071/1, bas0100026, NE/G013098/2, NE/G013098/1] Funding Source: UKRI</t>
  </si>
  <si>
    <t>UK NERC AFI(UK Research &amp; Innovation (UKRI)Natural Environment Research Council (NERC)); Natural Environment Research Council(UK Research &amp; Innovation (UKRI)Natural Environment Research Council (NERC)); NERC(UK Research &amp; Innovation (UKRI)Natural Environment Research Council (NERC))</t>
  </si>
  <si>
    <t>Funding was provided by the UK NERC AFI grant NE/G013071/1. Carl Robinson (Airborne Survey engineer), Ian Potten and Doug Cochrane (pilots), and Mark Oostlander (air mechanic) are thanked for their invaluable assistance in the field. We also thank two anonymous referees and the Editor, Richard Marston, for insightful comments that have helped to improve this paper.</t>
  </si>
  <si>
    <t>JUN 1</t>
  </si>
  <si>
    <t>10.1016/j.geomorph.2014.01.021</t>
  </si>
  <si>
    <t>AH7WI</t>
  </si>
  <si>
    <t>WOS:000336345700011</t>
  </si>
  <si>
    <t>Jones, DOB; Yool, A; Wei, CL; Henson, SA; Ruhl, HA; Watson, RA; Gehlen, M</t>
  </si>
  <si>
    <t>Jones, Daniel O. B.; Yool, Andrew; Wei, Chih-Lin; Henson, Stephanie A.; Ruhl, Henry A.; Watson, Reg A.; Gehlen, Marion</t>
  </si>
  <si>
    <t>Global reductions in seafloor biomass in response to climate change</t>
  </si>
  <si>
    <t>benthic; deep-sea; macroecology; macrofauna; megafauna; meiofaunal; size structure; standing stock</t>
  </si>
  <si>
    <t>BODY-SIZE; BACTERIAL ABUNDANCE; DEEP; OCEAN; FISHERIES; EXPORT; MODEL; PRODUCTIVITY; TEMPERATURE; PATTERNS</t>
  </si>
  <si>
    <t>Seafloor organisms are vital for healthy marine ecosystems, contributing to elemental cycling, benthic remineralization, and ultimately sequestration of carbon. Deep-sea life is primarily reliant on the export flux of particulate organic carbon from the surface ocean for food, but most ocean biogeochemistry models predict global decreases in export flux resulting from 21st century anthropogenically induced warming. Here we show that decadal-to-century scale changes in carbon export associated with climate change lead to an estimated 5.2% decrease in future (2091-2100) global open ocean benthic biomass under RCP8.5 (reduction of 5.2 Mt C) compared with contemporary conditions (2006-2015). Our projections use multi-model mean export flux estimates from eight fully coupled earth system models, which contributed to the Coupled Model Intercomparison Project Phase 5, that have been forced by high and low representative concentration pathways (RCP8.5 and 4.5, respectively). These export flux estimates are used in conjunction with published empirical relationships to predict changes in benthic biomass. The polar oceans and some upwelling areas may experience increases in benthic biomass, but most other regions show decreases, with up to 38% reductions in parts of the northeast Atlantic. Our analysis projects a future ocean with smaller sized infaunal benthos, potentially reducing energy transfer rates though benthic multicellular food webs. More than 80% of potential deep-water biodiversity hotspots known around the world, including canyons, seamounts, and cold-water coral reefs, are projected to experience negative changes in biomass. These major reductions in biomass may lead to widespread change in benthic ecosystems and the functions and services they provide.</t>
  </si>
  <si>
    <t>[Jones, Daniel O. B.; Yool, Andrew; Henson, Stephanie A.; Ruhl, Henry A.] Univ Southampton, Natl Oceanog Ctr, Southampton SO14 3ZH, Hants, England; [Wei, Chih-Lin] Mem Univ Newfoundland, Ctr Ocean Sci, St John, NF A1C 5S7, Canada; [Watson, Reg A.] Univ Tasmania, Inst Marine &amp; Antarctic Studies Taroona, Hobart, Tas 7001, Australia; [Gehlen, Marion] UVSQ Orme Merisiers, CNRS, CEA Saclay, Lab Sci Climat &amp; Environm,CEA,LSCE,IPSL, F-91198 Gif Sur Yvette, France</t>
  </si>
  <si>
    <t>NERC National Oceanography Centre; University of Southampton; Memorial University Newfoundland; University of Tasmania; Universite Paris Saclay; Universite Paris Cite; CEA; Centre National de la Recherche Scientifique (CNRS)</t>
  </si>
  <si>
    <t>Jones, DOB (corresponding author), Univ Southampton, Natl Oceanog Ctr, Waterfront Campus,European Way, Southampton SO14 3ZH, Hants, England.</t>
  </si>
  <si>
    <t>dj1@noc.ac.uk</t>
  </si>
  <si>
    <t>Henson, Stephanie/AAC-9709-2019; Jones, Daniel/A-3412-2009; Watson, Reg A/F-4850-2012; Yool, Andrew/B-4799-2012</t>
  </si>
  <si>
    <t>Jones, Daniel/0000-0001-5218-1649; Watson, Reg A/0000-0001-7201-8865; Yool, Andrew/0000-0002-9879-2776; WEI, CHIH-LIN/0000-0001-9430-0060; Gehlen, Marion/0000-0002-9688-0692</t>
  </si>
  <si>
    <t>UK Natural Environment Research Council as part of the Marine Environmental Mapping Programme (MAREMAP); UK Natural Environment Research Council; NERC [NE/J004383/1, noc010009] Funding Source: UKRI; Natural Environment Research Council [NE/J004383/1, noc010009] Funding Source: researchfish</t>
  </si>
  <si>
    <t>UK Natural Environment Research Council as part of the Marine Environmental Mapping Programme (MAREMAP);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</si>
  <si>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UK Natural Environment Research Council as part of the Marine Environmental Mapping Programme (MAREMAP). Fisheries data were supplied by the Sea Around Us project, a collaboration between the Fisheries Centre at the University of British Columbia and the Pew Charitable Trusts. This work benefited from discussions as part of the INDEEP CLIDEEP working group. The authors would like to thank Mike Rex, Craig Smith and the anonymous referees for their constructive comments. The results of this study will form part of the Group on Earth Observations Biodiversity Observation Network (GEO BON). Funding to make this paper open access was provided by the UK Natural Environment Research Council.</t>
  </si>
  <si>
    <t>10.1111/gcb.12480</t>
  </si>
  <si>
    <t>AH9SP</t>
  </si>
  <si>
    <t>hybrid, Green Published, Green Accepted</t>
  </si>
  <si>
    <t>WOS:000336482700014</t>
  </si>
  <si>
    <t>Bennett, JC; Grose, MR; Corney, SP; White, CJ; Holz, GK; Katzfey, JJ; Post, DA; Bindoff, NL</t>
  </si>
  <si>
    <t>Bennett, James C.; Grose, Michael R.; Corney, Stuart P.; White, Christopher J.; Holz, Gregory K.; Katzfey, Jack J.; Post, David A.; Bindoff, Nathaniel L.</t>
  </si>
  <si>
    <t>Performance of an empirical bias-correction of a high-resolution climate dataset</t>
  </si>
  <si>
    <t>bias-correction; cross-validation; Regional Climate Model</t>
  </si>
  <si>
    <t>MODEL; TASMANIA; TEMPERATURE; PROJECTIONS; RAINFALL</t>
  </si>
  <si>
    <t>We describe the method and performance of a bias-correction applied to high-resolution (10km) simulations from a stretched-grid Regional Climate Model (RCM) over Tasmania, Australia. The bias-correction is a quantile mapping of empirical cumulative frequency distributions. Corrections are applied at a daily time step to five variables: rainfall, potential evaporation (PE), solar radiation, maximum temperature and minimum temperature. Corrections are calculated independently for each season. We show that quantile mapping of empirical distributions can be highly effective in correcting biases in RCM outputs. Cross-validation shows biases are effectively reduced across the range of cumulative frequency distributions, with few exceptions. The bias-correction is not as effective at correcting biases for values at or near zero (e.g. in rainfall simulations), although even here the bias-correction improves biases evident in the uncorrected simulations. In addition, the bias-correction improves frequency characteristics of variables such as the number of rain days. We use a detrending technique to apply the bias-correction to 140-year time series of RCM variables. We show that the bias-correction effectively preserves long-term changes (e.g. to the mean and variance) to variables projected by the uncorrected RCM simulations. Correlations between key variables are also largely preserved, thus the bias-corrected outputs reflect the dynamics of the underlying RCM. However, the bias-corrected simulations still exhibit some of the deficiencies of the RCM simulations, e.g. the tendency to underestimate the magnitude and duration of large, multi-day rain events, and the tendency to underestimate the duration of dry spells. The bias-corrected simulations for six downscaled GCMs for the A2 and B1 emissions scenarios are available to researchers from http://www.tpac.org.au.</t>
  </si>
  <si>
    <t>[Bennett, James C.; Bindoff, Nathaniel L.] Univ Tasmania, Inst Marine &amp; Antarctic Studies, Sandy Bay, Tas, Australia; [Bennett, James C.] CSIRO Land &amp; Water, Highett, Vic 3190, Australia; [Grose, Michael R.; Katzfey, Jack J.] CSIRO Marine &amp; Atmospher Res, Aspendale, Vic, Australia; [Grose, Michael R.; Corney, Stuart P.; White, Christopher J.; Holz, Gregory K.; Bindoff, Nathaniel L.] Univ Tasmania, Antarctic Climate &amp; Ecosyst Cooperat Res Ctr ACE, Sandy Bay, Tas, Australia; [White, Christopher J.] Univ Tasmania, Sch Engn, Sandy Bay, Tas, Australia; [Post, David A.] CSIRO Land &amp; Water, Black Mt, ACT, Australia; [Bindoff, Nathaniel L.] CSIRO Marine &amp; Atmospher Res, Battery Point, Tas, Australia; [Bindoff, Nathaniel L.] Univ Tasmania, Tasmanian Partnership Adv Comp, Sandy Bay, Tas, Australia</t>
  </si>
  <si>
    <t>University of Tasmania; Commonwealth Scientific &amp; Industrial Research Organisation (CSIRO); Commonwealth Scientific &amp; Industrial Research Organisation (CSIRO); University of Tasmania; University of Tasmania; Commonwealth Scientific &amp; Industrial Research Organisation (CSIRO); Commonwealth Scientific &amp; Industrial Research Organisation (CSIRO); University of Tasmania</t>
  </si>
  <si>
    <t>Bennett, JC (corresponding author), CSIRO Land &amp; Water, POB 56, Highett, Vic 3190, Australia.</t>
  </si>
  <si>
    <t>James.Bennett@csiro.au</t>
  </si>
  <si>
    <t>Grose, Michael/AAV-1119-2021; Katzfey, Jack/AAQ-9845-2020; Bindoff, Nathaniel Lee/IVV-0333-2023; Post, David Andrew/A-9563-2011; Bennett, James/C-8456-2013; Bindoff, Nathaniel Lee/C-8050-2011; Katzfey, Jack J/K-1231-2012</t>
  </si>
  <si>
    <t>Bindoff, Nathaniel Lee/0000-0001-5662-9519; Post, David Andrew/0000-0001-9110-0186; Bennett, James/0000-0002-4930-2638; Bindoff, Nathaniel Lee/0000-0001-5662-9519; Katzfey, Jack J/0000-0002-0604-8860</t>
  </si>
  <si>
    <t>Australian government's Cooperative Research Centres Program through the ACE CRC; ARC Centre of Excellence in Climate Systems Science [CE11E0098]; Antarctic Climate and Ecosystems Cooperative Research Centre (ACE CRC) under the Australian government's Cooperative Research Centres Program; Tasmanian State Government through the Department of Primary Industry, Parks, Water and Environments, Tasmanian State Emergency Service; Australian Federal Government through the Department of Sustainability, Environment, Water, Population and Communities; Australian Federal Government through the Attorney's General Department; CSIRO Marine and Atmospheric Research and Hydro Tasmania</t>
  </si>
  <si>
    <t>Australian government's Cooperative Research Centres Program through the ACE CRC(Australian GovernmentDepartment of Industry, Innovation and ScienceCooperative Research Centres (CRC) Programme); ARC Centre of Excellence in Climate Systems Science(Australian Research Council); Antarctic Climate and Ecosystems Cooperative Research Centre (ACE CRC) under the Australian government's Cooperative Research Centres Program(Australian GovernmentDepartment of Industry, Innovation and ScienceCooperative Research Centres (CRC) Programme); Tasmanian State Government through the Department of Primary Industry, Parks, Water and Environments, Tasmanian State Emergency Service; Australian Federal Government through the Department of Sustainability, Environment, Water, Population and Communities; Australian Federal Government through the Attorney's General Department; CSIRO Marine and Atmospheric Research and Hydro Tasmania</t>
  </si>
  <si>
    <t>This work was part of the Climate Futures for Tasmania project (CFT) (http://www.acecrc.org.au/Research/Climate%20Futures). CFT was made possible through funding and research support from a consortium of state and national partners. The work was supported by the Australian government's Cooperative Research Centres Program through the ACE CRC. The support of the ARC Centre of Excellence in Climate Systems Science is acknowledged by NLB (CE11E0098). The authors thank W. F. Budd (ACE CRC) and S. Wotherspoon (IMAS) for comments and suggestions on the bias-correction method. We greatly appreciate the reviews of an earlier draft by Marie Ekstrom (CSIRO Land and Water) and Jin Teng (CSIRO Land and Water). We acknowledge the modelling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Climate Futures for Tasmania had the following sponsors: Antarctic Climate and Ecosystems Cooperative Research Centre (ACE CRC) funded under the Australian government's Cooperative Research Centres Program, Tasmanian State Government through the Department of Primary Industry, Parks, Water and Environments, Tasmanian State Emergency Service, Australian Federal Government through the Department of Sustainability, Environment, Water, Population and Communities, and through the Attorney's General Department, CSIRO Marine and Atmospheric Research and Hydro Tasmania. We thank three anonymous reviewers for their considered reviews, and Radan Huth for expeditiously handling the manuscript.</t>
  </si>
  <si>
    <t>10.1002/joc.3830</t>
  </si>
  <si>
    <t>WOS:000337558200006</t>
  </si>
  <si>
    <t>Zhang, X; Ai, TH; Stoter, J; Zhao, X</t>
  </si>
  <si>
    <t>Zhang, Xiang; Ai, Tinghua; Stoter, Jantien; Zhao, Xi</t>
  </si>
  <si>
    <t>Data matching of building polygons at multiple map scales improved by contextual information and relaxation</t>
  </si>
  <si>
    <t>ISPRS JOURNAL OF PHOTOGRAMMETRY AND REMOTE SENSING</t>
  </si>
  <si>
    <t>Data matching; Multi-scale databases; Contextual information; Relaxation labeling; Cartographic generalization</t>
  </si>
  <si>
    <t>CONFLATION</t>
  </si>
  <si>
    <t>The aim of matching spatial data at different map scales is to find corresponding objects at different levels of detail (LODs) that represent the same real-world phenomena. This is a prerequisite for integrating, evaluating and updating spatial data collected and maintained at various scales. However, matching spatial data is not straightforward due to the ambiguities caused by problems like many-to-many correspondence, non-systematic displacement and different LODs between data sets. This paper proposes an approach to matching areal objects (e.g. buildings) based on relaxation labeling techniques widely applied in pattern recognition and computer vision. The underlying idea is to utilize contextual information (quantified by compatibility coefficient) in an iterative process, where the ambiguities are reduced until a consistent matching is achieved. This paper describes (I) a domain-specific extension to previous relaxation schemes and (2) a new compatibility coefficient that exploits relative relationships between areal object pairs in spatial data. Our approach were validated through extensive experiments using building data sets at 1:10k and 1:50k as an example. Our contextual approach showed superior performance against a non-contextual approach in general and especially in ambiguous situations. The proposed approach can also be applied to matching other areal features and/or for a different scale range. (C) 2014 International Society for Photogrammetry and Remote Sensing, Inc. (ISPRS) Published by Elsevier B.V. All rights reserved.</t>
  </si>
  <si>
    <t>[Zhang, Xiang; Ai, Tinghua] Wuhan Univ, Sch Resource &amp; Environm Sci, Wuhan 430079, Peoples R China; [Stoter, Jantien] Delft Univ Technol, GIS Technol, OTB, Delft, Netherlands; [Zhao, Xi] Wuhan Univ, Chinese Antarctic Ctr Surveying &amp; Mapping, Wuhan 430079, Peoples R China</t>
  </si>
  <si>
    <t>Wuhan University; Delft University of Technology; Wuhan University</t>
  </si>
  <si>
    <t>Zhang, X (corresponding author), Wuhan Univ, Sch Resource &amp; Environm Sci, Wuhan 430079, Peoples R China.</t>
  </si>
  <si>
    <t>xiang.zhang@whu.edu.cn; tinghuaai@gmail.com; j.e.stoter@tudelft.nl; xi.zhao@whu.edu.cn</t>
  </si>
  <si>
    <t>zhao, xi/HJY-6017-2023; Ai, Tinghua/O-1624-2017; Zhang, Xiangyu/ABC-2896-2021</t>
  </si>
  <si>
    <t>Ai, Tinghua/0000-0002-6581-9872; Zhang, Xiangyu/0000-0003-3716-4722; Stoter, Jantien/0000-0002-1393-7279</t>
  </si>
  <si>
    <t>National Natural Science Foundation of China [41301410]; National High Technology Research and Development Program of China [2012AA12A404, 2012BAJ22B02-01]; China Postdoctoral Science Foundation [2013M531742]</t>
  </si>
  <si>
    <t>National Natural Science Foundation of China(National Natural Science Foundation of China (NSFC)); National High Technology Research and Development Program of China(National High Technology Research and Development Program of China); China Postdoctoral Science Foundation(China Postdoctoral Science Foundation)</t>
  </si>
  <si>
    <t>We thank the national mapping agency, Kadaster of the Netherlands, for providing data to this work. This work was financially supported by National Natural Science Foundation of China (Grant No. 41301410), The National High Technology Research and Development Program of China (Grant Nos. 2012AA12A404 and 2012BAJ22B02-01), and China Postdoctoral Science Foundation funded project (Grant No. 2013M531742). The three anonymous reviewers whose comments substantially improved this paper are gratefully acknowledged.</t>
  </si>
  <si>
    <t>0924-2716</t>
  </si>
  <si>
    <t>1872-8235</t>
  </si>
  <si>
    <t>ISPRS J PHOTOGRAMM</t>
  </si>
  <si>
    <t>ISPRS-J. Photogramm. Remote Sens.</t>
  </si>
  <si>
    <t>10.1016/j.isprsjprs.2014.03.010</t>
  </si>
  <si>
    <t>AJ7GS</t>
  </si>
  <si>
    <t>WOS:000337865800011</t>
  </si>
  <si>
    <t>Jee, G; Kim, JH; Lee, C; Kim, YH</t>
  </si>
  <si>
    <t>Jee, Geonhwa; Kim, Jeong-Han; Lee, Changsup; Kim, Yong Ha</t>
  </si>
  <si>
    <t>Ground-based Observations for the Upper Atmosphere at King Sejong Station, Antarctica</t>
  </si>
  <si>
    <t>JOURNAL OF ASTRONOMY AND SPACE SCIENCES</t>
  </si>
  <si>
    <t>Upper atmosphere; King Sejong Station (KSS); Antarctica</t>
  </si>
  <si>
    <t>MESOSPHERIC GRAVITY-WAVES; ALL-SKY CAMERA; METEOR RADAR; AIRGLOW TEMPERATURE; MESOPAUSE REGION; INTERFEROMETER; CLIMATOLOGY; PLANETARY</t>
  </si>
  <si>
    <t>Since the operation of the King Sejong Station (KSS) started in Antarctic Peninsula in 1989, there have been continuous efforts to perform the observation for the upper atmosphere. The observations during the initial period of the station include Fabry-Perot Interferometer (FPI) and Michelson Interferometer for the mesosphere and thermosphere, which are no longer in operation. In 2002, in collaboration with York University, Canada, the Spectral Airglow Temperature Imager (SATI) was installed to observe the temperature in the mesosphere and lower thermosphere (MLT) region and it has still been producing the mesopause temperature data until present. The observation was extended by installing the meteor radar in 2007 to observe the neutral winds and temperature in the MLT region during the day and night in collaboration with Chungnam National University. We also installed the all sky camera in 2008 to observe the wave structures in the MLT region. All these observations are utilized to study on the physical characteristics of the MLT region and also on the wave phenomena such as the tide and gravity wave in the upper atmosphere over KSS that is well known for the strong gravity wave activity. In this article, brief introductions for the currently operating instruments at KSS will be presented with their applications for the study of the upper atmosphere.</t>
  </si>
  <si>
    <t>[Jee, Geonhwa; Kim, Jeong-Han; Lee, Changsup] Korea Polar Res Inst, Div Polar Climate Changes, Incheon 406840, South Korea; [Kim, Yong Ha] Chungnam Natl Univ, Dept Astron &amp; Space Sci, Daejeon 305764, South Korea</t>
  </si>
  <si>
    <t>Korea Polar Research Institute (KOPRI); Chungnam National University</t>
  </si>
  <si>
    <t>Jee, G (corresponding author), Korea Polar Res Inst, Div Polar Climate Changes, Incheon 406840, South Korea.</t>
  </si>
  <si>
    <t>ghjee@kopri.re.kr</t>
  </si>
  <si>
    <t>Kim, Jeong Han/J-6244-2016; Kim, Yong Ha/AAS-9908-2021</t>
  </si>
  <si>
    <t>Kim, Yongha/0000-0003-0200-9423</t>
  </si>
  <si>
    <t>Korea Polar Research Institute [PE14010]</t>
  </si>
  <si>
    <t>This work was supported by research grant (PE14010) from Korea Polar Research Institute.</t>
  </si>
  <si>
    <t>KOREAN SPACE SCIENCE SOC</t>
  </si>
  <si>
    <t>134 SINCHON-DONG, SEODAEMUN-GU, SEOUL, 120-749, SOUTH KOREA</t>
  </si>
  <si>
    <t>2093-5587</t>
  </si>
  <si>
    <t>2093-1409</t>
  </si>
  <si>
    <t>J ASTRON SPACE SCI</t>
  </si>
  <si>
    <t>J. Astron. Space Sci.</t>
  </si>
  <si>
    <t>10.5140/JASS.2014.31.2.169</t>
  </si>
  <si>
    <t>VB7UC</t>
  </si>
  <si>
    <t>WOS:000417288900008</t>
  </si>
  <si>
    <t>Ratcliffe, N; Crofts, S; Brown, R; Baylis, AMM; Adlard, S; Horswill, C; Venables, H; Taylor, P; Trathan, PN; Staniland, IJ</t>
  </si>
  <si>
    <t>Ratcliffe, Norman; Crofts, Sarah; Brown, Ruth; Baylis, Alastair M. M.; Adlard, Stacey; Horswill, Catharine; Venables, Hugh; Taylor, Phil; Trathan, Philip N.; Staniland, Iain J.</t>
  </si>
  <si>
    <t>Love thy neighbour or opposites attract? Patterns of spatial segregation and association among crested penguin populations during winter</t>
  </si>
  <si>
    <t>JOURNAL OF BIOGEOGRAPHY</t>
  </si>
  <si>
    <t>spatial segregation; habitat selection; Eudyptes; South Georgia; penguin; Falkland Islands; niche partitioning; winter distribution; geolocation</t>
  </si>
  <si>
    <t>EUDYPTES-C.-CHRYSOCOME; ROCKHOPPER PENGUINS; DIET COMPOSITION; SOUTH GEORGIA; HABITAT; SPACE; CHRYSOLOPHUS; GEOLOCATION; COEXISTENCE; PREDATORS</t>
  </si>
  <si>
    <t>Aim Competition for food among populations of closely related species and conspecifics that occur in both sympatry and parapatry can be reduced by interspecific and intraspecific spatial segregation. According to predictions of niche partitioning, segregation is expected to occur at habitat boundaries among congeners and within habitats among conspecifics, while negative relationships in the density of species or populations will occur in areas of overlap. We tested these predictions by modelling the winter distributions of two crested penguin species from three colonies in the south-western Atlantic. Location Penguins were tracked from two large colonies on the Falkland Islands and one in South Georgia, from where they dispersed through the South Atlantic, Southern Ocean and south-eastern Pacific. Methods Forty macaroni penguins (Eudyptes chrysolophus) from South Georgia and 82 southern rockhopper penguins (Eudyptes chrysocome chrysocome) from two colonies in the Falkland Islands were equipped with global location sensors which log time and light, allowing positions to be estimated twice-daily, from April to August in 2011. Positions were gridded and converted into maps of penguin density. Metrics of overlap were calculated and density was related to remote-sensed oceanographic variables and competitor density using generalized additive models. Results Macaroni penguins from western South Georgia and southern rockhopper penguins from Steeple Jason Island, Falkland Islands, were spatially segregated by differences in their habitat preferences thus supporting our first prediction regarding interspecific segregation. However, southern rockhopper penguins from Beauchene Island showed a marked spatial overlap with macaroni penguins as the two had similar habitat preferences and strong mutual associations when controlling for habitat. Contrary to our predictions relating to intraspecific segregation, southern rockhopper penguins from Beauchene Island and Steeple Jason Island were segregated by differences in habitat selection. Main conclusions Morphological differentiation probably allows macaroni penguins from South Georgia and southern rockhopper penguins from Beauchene Island to coexist in areas of spatial overlap, whereas segregation of the two Falkland rockhopper penguin populations may have arisen from two distinct lineages retaining cultural fidelity to ancestral wintering areas.</t>
  </si>
  <si>
    <t>[Ratcliffe, Norman; Brown, Ruth; Adlard, Stacey; Horswill, Catharine; Venables, Hugh; Trathan, Philip N.; Staniland, Iain J.] British Antarctic Survey, Cambridge CB3 0ET, England; [Crofts, Sarah; Baylis, Alastair M. M.] Falklands Conservat, Stanley FIQQ 1ZZ, Falkland Island, England; [Taylor, Phil] Birdlife Int, Cambridge CB3 0NA, England</t>
  </si>
  <si>
    <t>UK Research &amp; Innovation (UKRI); Natural Environment Research Council (NERC); NERC British Antarctic Survey; BirdLife International</t>
  </si>
  <si>
    <t>Ratcliffe, N (corresponding author), British Antarctic Survey, Madingley Rd, Cambridge CB3 0ET, England.</t>
  </si>
  <si>
    <t>notc@bas.ac.uk</t>
  </si>
  <si>
    <t>Baylis, Alastair/0000-0002-5167-0472; Staniland, Iain/0000-0003-2736-9134; Horswill, Cat/0000-0002-1795-0753</t>
  </si>
  <si>
    <t>Natural Environment Research Council as part of the British Antarctic Research Ecosystems programme; NERC [bas0100025] Funding Source: UKRI</t>
  </si>
  <si>
    <t>Natural Environment Research Council as part of the British Antarctic Research Ecosystems programme; NERC(UK Research &amp; Innovation (UKRI)Natural Environment Research Council (NERC))</t>
  </si>
  <si>
    <t>This work was funded by the Natural Environment Research Council as part of the British Antarctic Research Ecosystems programme. Permission for the fieldwork was granted by the Falklands and South Georgia governments and the Wildlife Conservation Society. Animal welfare was overseen by the British Antarctic Survey Animal Ethics Committee. Mickey Reeves, Grant Munro, Jen Lawson and Jon Ashburner assisted with the fieldwork. Mike Sumner, Jean-Baptiste Thiebot, Jason Matthiopoulos and Ewan Wakefield provided valuable statistical advice. Richard Phillips provided useful discussions on geolocation and ecology and Janet Silk assisted with production of the maps. Katrin Ludnyia and an anonymous referee provided valuable comments on earlier drafts.</t>
  </si>
  <si>
    <t>0305-0270</t>
  </si>
  <si>
    <t>1365-2699</t>
  </si>
  <si>
    <t>J BIOGEOGR</t>
  </si>
  <si>
    <t>J. Biogeogr.</t>
  </si>
  <si>
    <t>10.1111/jbi.12279</t>
  </si>
  <si>
    <t>AG8YM</t>
  </si>
  <si>
    <t>WOS:000335704500014</t>
  </si>
  <si>
    <t>Jullion, L; Garabato, ACN; Bacon, S; Meredith, MP; Brown, PJ; Torres-Valdés, S; Speer, KG; Holland, PR; Dong, J; Bakker, D; Hoppema, M; Loose, B; Venables, HJ; Jenkins, WJ; Messias, MJ; Fahrbach, E</t>
  </si>
  <si>
    <t>Jullion, Loic; Garabato, Alberto C. Naveira; Bacon, Sheldon; Meredith, Michael P.; Brown, Pete J.; Torres-Valdes, Sinhue; Speer, Kevin G.; Holland, Paul R.; Dong, Jun; Bakker, Dorothee; Hoppema, Mario; Loose, Brice; Venables, Hugh J.; Jenkins, William J.; Messias, Marie-Jose; Fahrbach, Eberhard</t>
  </si>
  <si>
    <t>The contribution of the Weddell Gyre to the lower limb of the Global Overturning Circulation</t>
  </si>
  <si>
    <t>ANTARCTIC BOTTOM WATER; SOUTHERN-OCEAN; DENSE WATER; DEEP-WATER; SEA DEEP; TRANSPORT; MASSES; EXPORT; 30-DEGREES-E; ENTRAINMENT</t>
  </si>
  <si>
    <t>The horizontal and vertical circulation of the Weddell Gyre is diagnosed using a box inverse model constructed with recent hydrographic sections and including mobile sea ice and eddy transports. The gyre is found to convey 42 +/- 8 Sv (1 Sv = 106 m3 s-1) across the central Weddell Sea and to intensify to 54 +/- 15 Sv further offshore. This circulation injects 36 +/- 13 TW of heat from the Antarctic Circumpolar Current to the gyre, and exports 51 +/- 23 mSv of freshwater, including 13 +/- 1 mSv as sea ice to the midlatitude Southern Ocean. The gyre's overturning circulation has an asymmetric double-cell structure, in which 13 +/- 4 Sv of Circumpolar Deep Water (CDW) and relatively light Antarctic Bottom Water (AABW) are transformed into upper-ocean water masses by midgyre upwelling (at a rate of 2 +/- 2 Sv) and into denser AABW by downwelling focussed at the western boundary (8 +/- 2 Sv). The gyre circulation exhibits a substantial throughflow component, by which CDW and AABW enter the gyre from the Indian sector, undergo ventilation and densification within the gyre, and are exported to the South Atlantic across the gyre's northern rim. The relatively modest net production of AABW in the Weddell Gyre (6 +/- 2 Sv) suggests that the gyre's prominence in the closure of the lower limb of global oceanic overturning stems largely from the recycling and equatorward export of Indian-sourced AABW.</t>
  </si>
  <si>
    <t>[Jullion, Loic; Garabato, Alberto C. Naveira] Univ Southampton, Natl Oceanog Ctr, Southampton, Hants, England; [Jullion, Loic; Speer, Kevin G.; Dong, Jun] Florida State Univ, Inst Geophys Fluid Dynam, Tallahassee, FL 32306 USA; [Bacon, Sheldon; Torres-Valdes, Sinhue] Natl Oceanog Ctr, Southampton, Hants, England; [Meredith, Michael P.; Brown, Pete J.; Holland, Paul R.; Venables, Hugh J.] British Antarctic Survey, Cambridge CB3 0ET, England; [Meredith, Michael P.] Scottish Assoc Marine Sci, Oban, Argyll, Scotland; [Brown, Pete J.; Bakker, Dorothee] Univ E Anglia, Sch Environm Sci, Norwich NR4 7TJ, Norfolk, England; [Hoppema, Mario; Fahrbach, Eberhard] Alfred Wegener Inst, Bremerhaven, Germany; [Loose, Brice] Univ Rhode Isl, Grad Sch Oceanog, Narragansett, RI 02882 USA; [Jenkins, William J.] Woods Hole Oceanog Inst, Woods Hole, MA 02543 USA; [Messias, Marie-Jose] Univ Exeter, Sch Geog, Exeter, Devon, England</t>
  </si>
  <si>
    <t>NERC National Oceanography Centre; University of Southampton; State University System of Florida; Florida State University; NERC National Oceanography Centre; UK Research &amp; Innovation (UKRI); Natural Environment Research Council (NERC); NERC British Antarctic Survey; UHI Millennium Institute; University of East Anglia; Helmholtz Association; Alfred Wegener Institute, Helmholtz Centre for Polar &amp; Marine Research; University of Rhode Island; Woods Hole Oceanographic Institution; University of Exeter</t>
  </si>
  <si>
    <t>Jullion, L (corresponding author), Univ Southampton, Natl Oceanog Ctr, Southampton, Hants, England.</t>
  </si>
  <si>
    <t>ljullion@fsu.edu</t>
  </si>
  <si>
    <t>Torres Valdés, Sinhué/A-1435-2013; Garabato, Alberto Naveira/AAQ-1114-2020; Torres-Valdés, Sinhué/O-6436-2019; Bacon, Sheldon/B-1519-2013; Holland, Paul R/G-2796-2012; Brown, Peter/AAN-4372-2020; Hoppema, Mario/I-6286-2013; Bakker, Dorothee/E-4951-2015; Jullion, Loic/B-3304-2011</t>
  </si>
  <si>
    <t>Torres Valdés, Sinhué/0000-0003-2749-4170; Garabato, Alberto Naveira/0000-0001-6071-605X; Torres-Valdés, Sinhué/0000-0003-2749-4170; Bacon, Sheldon/0000-0002-2471-9373; Brown, Peter/0000-0002-1152-1114; Hoppema, Mario/0000-0002-2326-619X; Meredith, Michael/0000-0002-7342-7756; Bakker, Dorothee/0000-0001-9234-5337; Messias, Marie-Jose/0000-0002-3852-2854; Jullion, Loic/0000-0001-6269-6750</t>
  </si>
  <si>
    <t>National Environmental Research Council [NE/E01366X/1]; NSF [OCE-1231803]; NERC [bas0100028, NE/F01242X/1, NE/E01366X/1, NE/E013341/1, NE/K012843/1, NE/E013538/1, noc010009, NE/F010427/1] Funding Source: UKRI; Natural Environment Research Council [NE/E01366X/1, NE/E013341/1, noc010012, NE/E013538/1, bas0100028, NE/F01242X/1, NE/F010427/1, NE/K012843/1, noc010009] Funding Source: researchfish; Directorate For Geosciences; Division Of Ocean Sciences [1231803] Funding Source: National Science Foundation</t>
  </si>
  <si>
    <t>National Environmental Research Council(UK Research &amp; Innovation (UKRI)Natural Environment Research Council (NERC)); NSF(National Science Foundation (NSF));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</si>
  <si>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The ANDREX project was supported by the National Environmental Research Council (NE/E01366X/1). L.J. also acknowledges financial support from NSF (OCE-1231803). We thank Matthew Mazloff (Scripps Institution of Oceanography) for providing the SOSE output and Takamasa Tsubouchi for many insightful discussions on inverse modeling. It is a great pleasure to acknowledge the outstanding contribution of the Masters, officers and crew of RRS James Clark Ross, RRS James Cook, RV Roger Revelle and PFS Polarstern, as well as the many scientists who participated in the data collection and processing. We thank two anonymous reviewers whose comments greatly improved the clarity of the manuscript. This work is dedicated to the memory of Eberhard Fahrbach, a great polar scientist and mentor whose legacy in polar oceanography will carry on for the years to come.</t>
  </si>
  <si>
    <t>10.1002/2013JC009725</t>
  </si>
  <si>
    <t>Green Submitted, Green Published, Green Accepted, Bronze</t>
  </si>
  <si>
    <t>WOS:000340414800008</t>
  </si>
  <si>
    <t>Weygand, JM; Zesta, E; Troshichev, O</t>
  </si>
  <si>
    <t>Weygand, J. M.; Zesta, E.; Troshichev, O.</t>
  </si>
  <si>
    <t>Auroral electrojet indices in the Northern and Southern Hemispheres: A statistical comparison</t>
  </si>
  <si>
    <t>CONJUGACY; SUBSTORM; ONSET; ARCS; AE</t>
  </si>
  <si>
    <t>The auroral electrojet (AE) index is traditionally derived from about 12 ground magnetometer observatories located around the average northern auroral oval location. The AE index calculation has only been performed with Northern Hemisphere data, because similar coverage in the Southern Hemisphere does not exist. In this study, eight southern auroral ground magnetometers and their near conjugate Northern Hemisphere counterparts are used to calculate conjugate AE indices for 274 days covering all four seasons from 2005 to 2010. The correlation coefficient between the northern and southern AE indices for many of the intervals is 0.65 indicating strong asymmetries between the two hemispheres. We compare our conjugate AE indices with the standard AE index and find a number of asymmetries because of station coverage gaps in the southern and northern arrays. The mean difference between the southern and northern AE indices is largest during northern summer season, and the smallest mean difference occurs in the spring. The mean differences between the southern and conjugate northern AE indices are about 31 nT with the largest differences occurring in the midnight magnetic local time (MLT) sector. We suggest that these differences may be a function of seasonal, MLT, and ionospheric effects. We also find a difference in the southern and northern AE related to UT and believe that this pertains to the distribution of the magnetometers. The fact that a difference between the southern and northern AE indices exists indicates the importance of examining geomagnetic activity in both hemispheres when considering magnetospheric phenomena.</t>
  </si>
  <si>
    <t>[Weygand, J. M.] Univ Calif Los Angeles, Dept Earth Planetary &amp; Space Sci, Los Angeles, CA 90095 USA; [Zesta, E.] NASA GSFC, Greenbelt, MD USA; [Troshichev, O.] Arctic &amp; Antarctica Res Inst, St Petersburg, Russia</t>
  </si>
  <si>
    <t>University of California System; University of California Los Angeles; National Aeronautics &amp; Space Administration (NASA); NASA Goddard Space Flight Center</t>
  </si>
  <si>
    <t>Weygand, JM (corresponding author), Univ Calif Los Angeles, Dept Earth Planetary &amp; Space Sci, Los Angeles, CA 90095 USA.</t>
  </si>
  <si>
    <t>jweygand@igpp.ucla.edu</t>
  </si>
  <si>
    <t>NSF Antarctic Aeronomy and Astrophysics, Office of Polar Programs [ANT-1043621]</t>
  </si>
  <si>
    <t>NSF Antarctic Aeronomy and Astrophysics, Office of Polar Programs</t>
  </si>
  <si>
    <t>This work was supported by NSF Antarctic Aeronomy and Astrophysics, Office of Polar Programs grant ANT-1043621. We would also like to thank: GIMA = Geophysical Institute Magnetometer Array for the data from the BET station; the THEMIS team for the data from SNKQ and KIAN. DMI = the Danish Meteorological Institute for data from AMK, NAQ, and SCO; BAS = British Antarctic Survey for data from the HBA and M78-337 stations; Science Institute, University of Iceland for the data from LVR; Geoscience Australia for data from MCQ and MAW; INTERMAGNET = International Real-time Magnetic Observatory for data from PBQ; Pieter Stoker for data from the SNA magnetometer; IMAGE = International Monitor for Auroral Geomagnetic Effects for the data from SOR and BJN; the WDC for Aurora in National Institute of Polar Research in Japan for data from the HLL and SYO stations; and the WDC for geomagnetism, Kyoto for the standard AE index data. Finally, we want to give special thanks to Masahito Nose for providing us with some detailed plots of the magnetometer data that contributed to the standard AE index we used.</t>
  </si>
  <si>
    <t>10.1002/2013JA019377</t>
  </si>
  <si>
    <t>WOS:000339710300048</t>
  </si>
  <si>
    <t>Soares, HC; Gherardi, DFM; Pezzi, LP; Kayano, MT; Paes, ET</t>
  </si>
  <si>
    <t>Soares, Helena Cachanhuk; Marcolino Gherardi, Douglas Francisco; Pezzi, Luciano Ponzi; Kayano, Mary Toshie; Paes, Eduardo Tavares</t>
  </si>
  <si>
    <t>Patterns of interannual climate variability in large marine ecosystems</t>
  </si>
  <si>
    <t>Large marine ecosystems; Ocean-atmosphere system; South Atlantic climate variability; Climatic changes; Ecosystem management; Correlation analysis</t>
  </si>
  <si>
    <t>SEA-SURFACE TEMPERATURE; TROPICAL ATLANTIC VARIABILITY; NORTHEAST BRAZIL; EL-NINO; CIRCULATION; OSCILLATION; OCEAN; ENSO; ANOMALIES; RAINFALL</t>
  </si>
  <si>
    <t>The purpose of this study is to investigate the vulnerability of the Brazilian and western African Large Marine Ecosystems (LMEs) to local and remote forcing, including the Pacific Decadal Oscillation (PDO) regime shift. The analyses are based on the total and partial correlation between climate indices (Nino3, tropical South Atlantic (TSA), tropical North Atlantic (TNA) and Antarctic oscillation (AAO) and oceanic and atmospheric variables (sea surface temperature (SST), wind stress, Ekman transport, sea level pressure and outgoing longwave radiation). Differences in the correlation fields between the cold and warm PDO indicate that this mode exerts a significant impact on the thermodynamic balance of the ocean-atmosphere system on the South Atlantic ocean, mainly in the South Brazil and Benguela LMEs. The PDO regime shift also resulted in an increase in the spatial variability of SST and wind stress anomalies, mainly along the western African LMEs. Another important finding is the strong AAO influence on the SST anomalies (SSTA) in the South Brazil LME. It is also striking that TSA modulates the relation between El Nino-Southern Oscillation (ENSO) and SSTA, by reducing the influence of ENSO on SSTA during the warm PDO period in the North and East Brazil LMEs and in the Guinea Current LME. The relation between AAO and SSTA on the tropical area is also influenced by the TSA. The results shown here give a clear indication that future ecosystem-based management actions aimed at the conservation of marine resources under climate change need to consider the high complexity of basin-scale interactions between local and remote climate forcings, including their effects on the ocean-atmosphere system of the South Atlantic ocean. (C) 2014 Elsevier B.V. All rights reserved.</t>
  </si>
  <si>
    <t>[Soares, Helena Cachanhuk; Marcolino Gherardi, Douglas Francisco; Pezzi, Luciano Ponzi] Inst Natl Pesquisas Espaciais, Div Sensoriamento Remoto, BR-12227010 Sao Jose Dos Campos, SP, Brazil; [Kayano, Mary Toshie] Ctr Previsao Tempo &amp; Estudos Climat CPTEC INPE, BR-12630000 Cachoeira Paulista, SP, Brazil; [Paes, Eduardo Tavares] Univ Fed Rural Amazonia, Inst Socioambiental &amp; Recursos Hidr ISARH, BR-66077901 Belem, Para, Brazil</t>
  </si>
  <si>
    <t>Instituto Nacional de Pesquisas Espaciais (INPE); Universidade Federal Rural da Amazonia (UFRA)</t>
  </si>
  <si>
    <t>Soares, HC (corresponding author), Inst Natl Pesquisas Espaciais, Div Sensoriamento Remoto, Av Astronautas 1758, BR-12227010 Sao Jose Dos Campos, SP, Brazil.</t>
  </si>
  <si>
    <t>helenacs@dsr.inpe.br</t>
  </si>
  <si>
    <t>PAES, EDUARDO TAVARES/AAF-8088-2019; PAES, EDUARDO/HZK-1484-2023; Gherardi, Douglas Francisco Marcolino/I-1079-2015; Pezzi, Luciano Ponzi/A-6473-2011; Kayano, Mary T/U-5716-2017; Pezzi, Luciano P/O-4952-2015; Cachanhuk Soares, Helena/KEJ-5351-2024; Pezzi, Luciano Ponzi/N-7271-2017</t>
  </si>
  <si>
    <t>PAES, EDUARDO/0000-0002-9429-2598; Gherardi, Douglas Francisco Marcolino/0000-0003-3471-7213; Cachanhuk Soares, Helena/0000-0001-5493-7331; Pezzi, Luciano Ponzi/0000-0001-6016-4320</t>
  </si>
  <si>
    <t>National Institute of Science and Technology for Climate Changes - Coastal Zones and Atlantic Carbon Experiment (ACEx-CNPq) [558108/ 2009-1]; CAPES [918572]; CNPq [304633/2012-7]</t>
  </si>
  <si>
    <t>National Institute of Science and Technology for Climate Changes - Coastal Zones and Atlantic Carbon Experiment (ACEx-CNPq); CAPES(Coordenacao de Aperfeicoamento de Pessoal de Nivel Superior (CAPES)); CNPq(Conselho Nacional de Desenvolvimento Cientifico e Tecnologico (CNPQ))</t>
  </si>
  <si>
    <t>The authors thank the support provided by the National Institute of Science and Technology for Climate Changes - Coastal Zones and Atlantic Carbon Experiment (ACEx-CNPq) 558108/ 2009-1. Computational help by Mr. Cristiano P. Oliveira and Mr. Carlos Frederico Bastarz is also acknowledged. The first author is funded by a fellowship from CAPES no. 918572. Luciano Ponzi Pezzi acknowledges support from CNPq, as a contribution for the PQ (CNPq) project number 304633/2012-7. Significant improvements to the manuscript were provided by the helpful comments of Dr. Kenneth Sherman.</t>
  </si>
  <si>
    <t>10.1016/j.jmarsys.2014.03.004</t>
  </si>
  <si>
    <t>AH7XR</t>
  </si>
  <si>
    <t>WOS:000336349200006</t>
  </si>
  <si>
    <t>Verdes, M; Paniagua, M</t>
  </si>
  <si>
    <t>Verdes, Marian; Paniagua, Miguel</t>
  </si>
  <si>
    <t>Quantum chemical study of atmospheric aggregates: HCl•HNO3•H2SO4</t>
  </si>
  <si>
    <t>JOURNAL OF MOLECULAR MODELING</t>
  </si>
  <si>
    <t>PSCs; HCl; HNO3; H2SO4; DFT; Clusters; B3LYP; Relative stability; Aug-cc-pVTZ; Aug-cc-pVQZ; Quantumchemistry; Aggregates; Stratosphere; Temperatures; Relative gibbs free energy; Infrared frequencies; Structures; Conformers</t>
  </si>
  <si>
    <t>CORRELATED MOLECULAR CALCULATIONS; POLAR STRATOSPHERIC CLOUDS; NITRIC-ACID TRIHYDRATE; GAUSSIAN-BASIS SETS; HYDROGEN-CHLORIDE; SULFURIC-ACID; CRYSTAL-STRUCTURE; INFRARED-SPECTRA; ANTARCTIC OZONE; VOLCANIC-ERUPTIONS</t>
  </si>
  <si>
    <t>HCl, HNO3 and H2SO4 are implicated in atmospheric processes in areas such as polar stratospheric clouds in the stratosphere. Ternary complexes of HCl, HNO3 and H2SO4 were investigated by ab initio calculations at B3LYP level of theory with aug-cc-pVTZ and aug-cc-pVQZ basis sets, taking into account basis set superposition error (BSSE). The results were assessed in terms of structures (five hexagonal cyclic structures and two quasi-pentagonal cyclic structures), inter-monomeric parameters (all ternary complexes built three hydrogen bonds), energetics (seven minima obtained), infrared harmonic vibrational frequencies (red shifting of complexes from monomers), and relative stability of complexes, which were favorable when the temperature decreases under stratospheric conditions, from 298 K to 188 K, and in concrete, at 210 K, 195 K and 188 K.</t>
  </si>
  <si>
    <t>[Verdes, Marian; Paniagua, Miguel] Univ Autonoma Madrid, Fac Ciencias, Dept Quim Fis Aplicada, E-28049 Madrid, Spain</t>
  </si>
  <si>
    <t>Autonomous University of Madrid</t>
  </si>
  <si>
    <t>Verdes, M (corresponding author), Univ Autonoma Madrid, Fac Ciencias, Dept Quim Fis Aplicada, C-14, E-28049 Madrid, Spain.</t>
  </si>
  <si>
    <t>marian.verdes@uam.es</t>
  </si>
  <si>
    <t>Verdes, Marian/K-2651-2018; Paniagua, Miguel/A-1751-2008</t>
  </si>
  <si>
    <t>Verdes, Marian/0000-0003-2753-0207; Paniagua, Miguel/0000-0003-2573-6826</t>
  </si>
  <si>
    <t>Comunidad Autonoma de Madrid [S-2009/MAT-1467]</t>
  </si>
  <si>
    <t>Comunidad Autonoma de Madrid(Comunidad de Madrid)</t>
  </si>
  <si>
    <t>This work has been supported by Comunidad Autonoma de Madrid under grant S-2009/MAT-1467.</t>
  </si>
  <si>
    <t>1610-2940</t>
  </si>
  <si>
    <t>0948-5023</t>
  </si>
  <si>
    <t>J MOL MODEL</t>
  </si>
  <si>
    <t>J. Mol. Model.</t>
  </si>
  <si>
    <t>10.1007/s00894-014-2232-6</t>
  </si>
  <si>
    <t>Biochemistry &amp; Molecular Biology; Biophysics; Chemistry, Multidisciplinary; Computer Science, Interdisciplinary Applications</t>
  </si>
  <si>
    <t>Biochemistry &amp; Molecular Biology; Biophysics; Chemistry; Computer Science</t>
  </si>
  <si>
    <t>AK7UC</t>
  </si>
  <si>
    <t>WOS:000338632200047</t>
  </si>
  <si>
    <t>Bates, M; Tulloch, R; Marshall, J; Ferrari, R</t>
  </si>
  <si>
    <t>Bates, Michael; Tulloch, Ross; Marshall, John; Ferrari, Raffaele</t>
  </si>
  <si>
    <t>Rationalizing the Spatial Distribution of Mesoscale Eddy Diffusivity in Terms of Mixing Length Theory</t>
  </si>
  <si>
    <t>ANTARCTIC CIRCUMPOLAR CURRENT; MEAN OCEAN CIRCULATION; GENERAL-CIRCULATION; SURFACE CIRCULATION; POTENTIAL VORTICITY; BAROCLINIC INSTABILITY; STATISTICAL-ANALYSIS; GEOSTROPHIC EDDIES; PARTICLE EXCHANGE; MODEL</t>
  </si>
  <si>
    <t>Observations and theory suggest that lateral mixing by mesoscale ocean eddies only reaches its maximum potential at steering levels, surfaces at which the propagation speed of eddies approaches that of the mean flow. Away from steering levels, mixing is strongly suppressed because the mixing length is smaller than the eddy scale, thus reducing the mixing rates. The suppression is particularly pronounced in strong currents where mesoscale eddies are most energetic. Here, a framework for parameterizing eddy mixing is explored that attempts to capture this suppression. An expression of the surface eddy diffusivity proposed by Ferrari and Nikurashin is evaluated using observations of eddy kinetic energy, eddy scale, and eddy propagation speed. The resulting global maps of eddy diffusivity have a broad correspondence with recent estimates of diffusivity based on the rate at which tracer contours are stretched by altimetric-derived surface currents. Finally, the expression for the eddy diffusivity is extrapolated in the vertical to infer the eddy-induced meridional heat transport and the overturning streamfunction.</t>
  </si>
  <si>
    <t>[Bates, Michael; Tulloch, Ross; Marshall, John; Ferrari, Raffaele] MIT, Dept Earth Atmospher &amp; Planetary Sci, Cambridge, MA USA</t>
  </si>
  <si>
    <t>Massachusetts Institute of Technology (MIT)</t>
  </si>
  <si>
    <t>Bates, M (corresponding author), Griffith Univ, Griffith Sch Environm, 170 Kessels Rd, Nathan, Qld 4111, Australia.</t>
  </si>
  <si>
    <t>m.bates@griffith.edu.au</t>
  </si>
  <si>
    <t>Ferrari, Raffaele/C-9337-2013</t>
  </si>
  <si>
    <t>Ferrari, Raffaele/0000-0002-3736-1956; Bates, Michael/0000-0002-3729-1417</t>
  </si>
  <si>
    <t>Polar Programs division of NSF; MOBY project of NSF; NSF [1233832]; Directorate For Geosciences; Division Of Ocean Sciences [1233832] Funding Source: National Science Foundation; Directorate For Geosciences; Division Of Ocean Sciences [1048926] Funding Source: National Science Foundation</t>
  </si>
  <si>
    <t>Polar Programs division of NSF; MOBY project of NSF; NSF(National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</si>
  <si>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We thank Joe LaCasce, Ryan Abernathey, and Andreas Klocker for very helpful discussions. We are also grateful to the ECCO and ECCO2 projects for making their data available, as we are to Chris Hughes for the use of his eddy phase speed data. We also wish to thank two anonymous reviewers for their constructive comments that improved the manuscript. This study was supported by the Polar Programs division of NSF, by the MOBY project of NSF and by NSF Grant 1233832.</t>
  </si>
  <si>
    <t>10.1175/JPO-D-13-0130.1</t>
  </si>
  <si>
    <t>WOS:000336888000002</t>
  </si>
  <si>
    <t>Wang, W; Ji, XF; Yuan, C; Zhu, JC; Dai, FQ; Sun, M</t>
  </si>
  <si>
    <t>Wang, Wei; Ji, Xiaofeng; Yuan, Cui; Zhu, Jiancheng; Dai, Fangqun; Sun, Mi</t>
  </si>
  <si>
    <t>Low Diversity of Microbial Catalase Genes from Antarctic Surface Seawater off Great Wall Station</t>
  </si>
  <si>
    <t>EVOLUTION; BACTERIA</t>
  </si>
  <si>
    <t>Catalase plays an important role in the metabolism of Antarctic surface seawater microorganism. To support the hypothesis that the effect of ultraviolet radiation to the surface seawater on the catalase evolution of Antarctic surface seawater microorganisms would lower the microbial catalase diversity, the catalase genes of Antarctic surface seawater samples from three stations were studied by PCR amplification, restriction fragment length polymorphism (RFLP) screening, and phylogenetic analysis. The result showed several unique RFLP patterns in three libraries, indicating that a low diversity of catalase existed in the study areas. Five kinds of microbial catalases including two bacterial catalases and three fungal catalases were confirmed in the Antarctic surface seawater, which manifested the scarcity of microbial catalase diversity.</t>
  </si>
  <si>
    <t>Sun, M (corresponding author), Chinese Acad Fishery Sci, Key Lab Sustainable Dev Marine Fisheries, Yellow Sea Fisheries Res Inst, Qingdao Key Lab Marine Enzyme Engn,Minist Agr, Qingdao 266071, Peoples R China.</t>
  </si>
  <si>
    <t>sunmi0532@yahoo.com</t>
  </si>
  <si>
    <t>AM1YO</t>
  </si>
  <si>
    <t>WOS:000339645400027</t>
  </si>
  <si>
    <t>Venemans-Jellema, A; Schreijer, AJM; Le Cessie, S; Emmerich, J; Rosendaal, FR; Cannegieter, SC</t>
  </si>
  <si>
    <t>Venemans-Jellema, A.; Schreijer, A. J. M.; Le Cessie, S.; Emmerich, J.; Rosendaal, F. R.; Cannegieter, S. C.</t>
  </si>
  <si>
    <t>No effect of isolated long-term supine immobilization or profound prolonged hypoxia on blood coagulation</t>
  </si>
  <si>
    <t>JOURNAL OF THROMBOSIS AND HAEMOSTASIS</t>
  </si>
  <si>
    <t>blood coagulation; hypoxia; immobilization; travel; venous thrombosis</t>
  </si>
  <si>
    <t>DEEP-VEIN THROMBOSIS; VENOUS THROMBOSIS; AIR-TRAVEL; PULMONARY-EMBOLISM; HYPOBARIC HYPOXIA; HUMAN-BEINGS; ACTIVATION; POPULATION; FIBRINOLYSIS; ASSOCIATION</t>
  </si>
  <si>
    <t>Background Long-distance air travel is associated with an increased risk of venous thrombosis. The most obvious factor that can explain air travel-related thrombosis is prolonged seated immobilization. In addition, hypobaric hypoxia has been shown to affect coagulation, and the lowered atmospheric pressures present in the cabin during the flight may therefore play an etiologic role. Because immobilization and hypoxic conditions are usually present simultaneously in airplanes or hypobaric chambers, their separate effects on the coagulation system or on thrombosis risk have not been studied extensively. Objectives To investigate the separate effects of long-term immobilization and profound prolonged hypoxia on blood coagulation. Patients and Methods We performed two studies in collaboration with European Space Agency/European Space Research and Technology Centre. In the first study, 24 healthy, non-smoking, adult women underwent 60days of -6 degrees head-down bed rest. In the second study, we took blood samples from 25 healthy men who participated during their stay in the Concordia station in Antarctica, where, due to the atmospheric conditions, continuous severe hypobaric hypoxia is present. In both studies, we measured markers of blood coagulation at baseline and at several time points during the exposures. Results and Conclusions We observed no increase in coagulation markers during immobilization or in the hypobaric environment, compared with baseline measurements. Our results indicate that neither immobilization nor hypoxia per se affects blood coagulation. These results implicate that a combination of risk factors is necessary to induce the coagulation system during air travel.</t>
  </si>
  <si>
    <t>[Venemans-Jellema, A.; Schreijer, A. J. M.; Le Cessie, S.; Rosendaal, F. R.; Cannegieter, S. C.] Leiden Univ, Dept Clin Epidemiol, Med Ctr, NL-2300 RC Leiden, Netherlands; [Venemans-Jellema, A.] De Onderzoekerij, Leiden, Netherlands; [Schreijer, A. J. M.] Dept Communicable Dis Control, Municipal Hlth Serv, Utrecht, Netherlands; [Emmerich, J.] Univ Paris 05, INSERM, UMRS765, Paris, France; [Emmerich, J.] Hop Europeen Georges Pompidou, AP HP, Dept Vasc Med, Paris, France; [Rosendaal, F. R.] Leiden Univ, Dept Thrombosis &amp; Haemostasis, Med Ctr, NL-2300 RC Leiden, Netherlands</t>
  </si>
  <si>
    <t>Leiden University - Excl LUMC; Leiden University; Leiden University Medical Center (LUMC); Universite Paris Cite; Institut National de la Sante et de la Recherche Medicale (Inserm); Assistance Publique Hopitaux Paris (APHP); Universite Paris Cite; Hopital Universitaire Europeen Georges-Pompidou - APHP; Leiden University - Excl LUMC; Leiden University; Leiden University Medical Center (LUMC)</t>
  </si>
  <si>
    <t>Cannegieter, SC (corresponding author), Leiden Univ, Dept Clin Epidemiol, Med Ctr, POB 9600, NL-2300 RC Leiden, Netherlands.</t>
  </si>
  <si>
    <t>s.c.cannegieter@lumc.nl</t>
  </si>
  <si>
    <t>le+Cessie, Saskia/HGC-8966-2022; Rosendaal, Frits/Q-3842-2017; Cannegieter, Suzanne/W-3696-2019</t>
  </si>
  <si>
    <t>Cannegieter, Suzanne/0000-0003-4707-2303; Venemans, Annemarie/0000-0002-5316-7766; le Cessie, Saskia/0000-0003-2154-4923</t>
  </si>
  <si>
    <t>ESA; NASA; CNES; CSA; French Polar Institute (IPEV); Italian Antarctic Programme (PNRA)</t>
  </si>
  <si>
    <t>ESA(European Space Agency); NASA(National Aeronautics &amp; Space Administration (NASA)); CNES(Centre National D'etudes Spatiales); CSA; French Polar Institute (IPEV); Italian Antarctic Programme (PNRA)</t>
  </si>
  <si>
    <t>We thank all volunteers who participated in the WISE and Concordia studies. We are grateful to the people from MEDES and Concordia station who worked on these studies. We particularly thank Oliver Angerer from ESA/ESTEC, HSO-USH for his continuous interest and support. The WISE study was supported by ESA, NASA, CNES, and CSA, and the Concordia study was supported by the French Polar Institute (IPEV), the Italian Antarctic Programme (PNRA), and ESA.</t>
  </si>
  <si>
    <t>1538-7933</t>
  </si>
  <si>
    <t>1538-7836</t>
  </si>
  <si>
    <t>J THROMB HAEMOST</t>
  </si>
  <si>
    <t>J. Thromb. Haemost.</t>
  </si>
  <si>
    <t>10.1111/jth.12564</t>
  </si>
  <si>
    <t>Hematology; Peripheral Vascular Disease</t>
  </si>
  <si>
    <t>Hematology; Cardiovascular System &amp; Cardiology</t>
  </si>
  <si>
    <t>AJ5AB</t>
  </si>
  <si>
    <t>WOS:000337691200015</t>
  </si>
  <si>
    <t>Guihen, D; Fielding, S; Murphy, EJ; Heywood, KJ; Griffiths, G</t>
  </si>
  <si>
    <t>Guihen, Damien; Fielding, Sophie; Murphy, Eugene J.; Heywood, Karen J.; Griffiths, Gwyn</t>
  </si>
  <si>
    <t>An assessment of the use of ocean gliders to undertake acoustic measurements of zooplankton: the distribution and density of Antarctic krill (Euphausia superba) in the Weddell Sea.</t>
  </si>
  <si>
    <t>LIMNOLOGY AND OCEANOGRAPHY-METHODS</t>
  </si>
  <si>
    <t>SCOTIA SEA; FISH; FISHERIES; SEAGLIDER; ECOSYSTEM; BIOMASS; OCEANOGRAPHY; BACKSCATTER; VALIDATION; SCATTERING</t>
  </si>
  <si>
    <t>A calibrated 120 kHz single-beam echo-sounder was integrated into an ocean glider and deployed in the Weddell Sea, Southern Ocean. The glider was deployed for two short periods in January 2012, in separate survey boxes on the continental shelf to the east of the Antarctic Peninsula, to assess the distribution of Antarctic krill (Euphausia superba). During the glider missions, a research vessel undertook acoustic transects using a calibrated, hull-mounted, multi-frequency echo-sounder. Net hauls were taken to validate acoustic targets and parameterize acoustic models. Krill targets were identified using a thresholded schools analysis technique (SHAPES), and acoustic data were converted to krill density using the stochastic distorted-wave Born approximation (SDWBA) target strength model. A sensitivity analysis of glider pitch and roll indicated that, if not taken into account, glider orientation can impact density estimates by up to 8-fold. Glider-based, echo-sounder-derived krill density profiles for the two survey boxes showed features coherent with ship-borne measurements, with peak densities in both boxes around a depth of 60 m. Monte Carlo simulation of glider subsampling of ship-borne data showed no significant difference from observed profiles. Simulated glider dives required at least an order of magnitude more time than the ship to similarly estimate the abundance of krill within the sample regions. These analyses highlight the need for suitable sampling strategies for glider-based observations and are our first steps toward using autonomous underwater vehicles for ecosystem assessment and long-term monitoring. With appropriate survey design, gliders can be used for estimating krill distribution and abundance.</t>
  </si>
  <si>
    <t>[Guihen, Damien; Fielding, Sophie; Murphy, Eugene J.] British Antarctic Survey, Cambridge CB3 0ET, England; [Heywood, Karen J.] Univ E Anglia, Norwich NR4 7TJ, Norfolk, England</t>
  </si>
  <si>
    <t>UK Research &amp; Innovation (UKRI); Natural Environment Research Council (NERC); NERC British Antarctic Survey; University of East Anglia</t>
  </si>
  <si>
    <t>Guihen, D (corresponding author), British Antarctic Survey, Cambridge CB3 0ET, England.</t>
  </si>
  <si>
    <t>damaoi@bas.ac.uk</t>
  </si>
  <si>
    <t>murphy, eugene/GZL-1620-2022; Fielding, Sophie/E-5137-2012; Heywood, Karen/L-1757-2016</t>
  </si>
  <si>
    <t>Heywood, Karen/0000-0001-9859-0026</t>
  </si>
  <si>
    <t>UK Natural Environment Research Council, Antarctic Funding Initiative [NE/H014756/1, NE/H01439X/1, NE/H014217/1]; GENTOO Gliders: Excellent New Tools for Observing the Ocean; NERC [bas0100025, NE/H01439X/1, NE/H014217/1, NE/H014756/1] Funding Source: UKRI; Natural Environment Research Council [NE/H01439X/1, bas0100025, NE/H014756/1, NE/H014217/1] Funding Source: researchfish</t>
  </si>
  <si>
    <t>UK Natural Environment Research Council, Antarctic Funding Initiative; GENTOO Gliders: Excellent New Tools for Observing the Ocean; NERC(UK Research &amp; Innovation (UKRI)Natural Environment Research Council (NERC)); Natural Environment Research Council(UK Research &amp; Innovation (UKRI)Natural Environment Research Council (NERC))</t>
  </si>
  <si>
    <t>We are grateful to the masters and crews of the R.R.S. James Clark Ross and Ernest Shackleton for their support in the deployment and recovery of instruments during JR260b and JR255a. Special thanks are due to Elizabeth Creed for her expert advice and glider piloting, to Imagenex for development of the echo-sounder and to Chris Yahnker for his integration of the echo sounder into the Seaglider. We thank Jon Watkins for his helpful review of the manuscript and the two anonymous reviewers who provided valuable comments. This work was funded by the UK Natural Environment Research Council, Antarctic Funding Initiative grants NE/H014756/1, NE/H01439X/1, and NE/H014217/1, GENTOO Gliders: Excellent New Tools for Observing the Ocean.</t>
  </si>
  <si>
    <t>1541-5856</t>
  </si>
  <si>
    <t>LIMNOL OCEANOGR-METH</t>
  </si>
  <si>
    <t>Limnol. Oceanogr. Meth.</t>
  </si>
  <si>
    <t>10.4319/lom.2014.12.373</t>
  </si>
  <si>
    <t>AM0PW</t>
  </si>
  <si>
    <t>WOS:000339548800004</t>
  </si>
  <si>
    <t>Womble, JN; Blundell, GM; Gende, SM; Horning, M; Sigler, MF; Csepp, DJ</t>
  </si>
  <si>
    <t>Womble, Jamie N.; Blundell, Gail M.; Gende, Scott M.; Horning, Markus; Sigler, Michael F.; Csepp, David J.</t>
  </si>
  <si>
    <t>Linking marine predator diving behavior to local prey fields in contrasting habitats in a subarctic glacial fjord</t>
  </si>
  <si>
    <t>PHOCA-VITULINA-RICHARDII; ANTARCTIC FUR SEALS; ADULT HARBOR SEALS; PRINCE-WILLIAM-SOUND; BAY NATIONAL-PARK; EUMETOPIAS-JUBATUS; VERTICAL-DISTRIBUTION; POPULATION DECLINE; FORAGING BEHAVIOR; MONK SEALS</t>
  </si>
  <si>
    <t>Foraging theory predicts that animals will adjust their foraging behavior in order to maximize net energy intake and that trade-offs may exist that can influence their behavior. Although substantial advances have been made with respect to the foraging ecology of large marine predators, there is still a limited understanding of how predators respond to temporal and spatial variability in prey resources, primarily due to a lack of empirical studies that quantify foraging and diving behavior concurrently with characteristics of prey fields. Such information is important because changes in prey availability can influence the foraging success and ultimately fitness of marine predators. We assessed the diving behavior of juvenile female harbor seals (Phoca vitulina richardii) and prey fields near glacial ice and terrestrial haulout sites in Glacier Bay (58A degrees 40'N, -136A degrees 05'W), Alaska. Harbor seals captured at glacial ice sites dived deeper, had longer dive durations, lower percent bottom time, and generally traveled further to forage. The increased diving effort for seals from the glacial ice site corresponded to lower prey densities and prey at deeper depths at the glacial ice site. In contrast, seals captured at terrestrial sites dived shallower, had shorter dive durations, higher percent bottom time, and traveled shorter distances to access foraging areas with much higher prey densities at shallower depths. The increased diving effort for seals from glacial ice sites suggests that the lower relative availability of prey may be offset by other factors, such as the stability of the glacial ice as a resting platform and as a refuge from predation. We provide evidence of differences in prey accessibility for seals associated with glacial ice and terrestrial habitats and suggest that seals may balance trade-offs between the costs and benefits of using these habitats.</t>
  </si>
  <si>
    <t>[Womble, Jamie N.; Horning, Markus] Oregon State Univ, Marine Mammal Inst, Dept Fisheries &amp; Wildlife, Hatfield Marine Sci Ctr, Newport, OR 97365 USA; [Womble, Jamie N.; Gende, Scott M.] Natl Pk Serv, Glacier Bay Field Stn, Juneau, AK 99801 USA; [Blundell, Gail M.] Alaska Dept Fish &amp; Game, Div Wildlife Conservat, Douglas, AK 99811 USA; [Sigler, Michael F.; Csepp, David J.] NOAA, Natl Marine Fisheries Serv, Alaska Fisheries Sci Ctr, Juneau, AK 99801 USA</t>
  </si>
  <si>
    <t>Oregon State University; United States Department of the Interior; Alaska Department of Fish &amp; Game; National Aeronautics &amp; Space Administration (NASA); National Oceanic Atmospheric Admin (NOAA) - USA</t>
  </si>
  <si>
    <t>Womble, JN (corresponding author), Natl Pk Serv, Glacier Bay Field Stn, Juneau, AK 99801 USA.</t>
  </si>
  <si>
    <t>Jamie_Womble@nps.gov</t>
  </si>
  <si>
    <t>; Horning, Markus/I-3019-2015</t>
  </si>
  <si>
    <t>Womble, Jamie/0000-0002-6635-1490; Sigler, Michael/0000-0001-6361-0613; Horning, Markus/0000-0001-6178-4935</t>
  </si>
  <si>
    <t>National Park Service (NPS)-Coastal Cluster Program, Glacier Bay National Park and Preserve, NPS-NRPP (PMIS Project) [35747]; Alaska Department of Fish and Game Marine Mammal Program - National Marine Fisheries Service (NMFS); Alaska Fisheries Science Center-Auke Bay Laboratory, Alaska Sealife Center; Ocean Alaska Science and Learning Center; Mamie Markham Research Fellowship (OSU-Hatfield Marine Science Center); Munson Wildlife Fellowship; Oregon State University (OSU) Laurels Fellowship; Horace M. Albright-Conrad L. Wirth Fellowship; OSU Marine Mammal Institute-Pinniped Ecology Applied Research Laboratory; NRAC Professional Development Grants; NPS- Coastal Cluster Program; Glacier Bay National Park and Preserve</t>
  </si>
  <si>
    <t>National Park Service (NPS)-Coastal Cluster Program, Glacier Bay National Park and Preserve, NPS-NRPP (PMIS Project); Alaska Department of Fish and Game Marine Mammal Program - National Marine Fisheries Service (NMFS); Alaska Fisheries Science Center-Auke Bay Laboratory, Alaska Sealife Center; Ocean Alaska Science and Learning Center; Mamie Markham Research Fellowship (OSU-Hatfield Marine Science Center); Munson Wildlife Fellowship; Oregon State University (OSU) Laurels Fellowship; Horace M. Albright-Conrad L. Wirth Fellowship; OSU Marine Mammal Institute-Pinniped Ecology Applied Research Laboratory; NRAC Professional Development Grants; NPS- Coastal Cluster Program; Glacier Bay National Park and Preserve</t>
  </si>
  <si>
    <t>Funding and logistical support for this project was provided by the National Park Service (NPS)-Coastal Cluster Program, Glacier Bay National Park and Preserve, NPS-NRPP (PMIS Project # 35747), Alaska Department of Fish and Game Marine Mammal Program funded by congressional appropriations administered via grants from the National Marine Fisheries Service (NMFS), Alaska Fisheries Science Center-Auke Bay Laboratory, Alaska Sealife Center, and the Ocean Alaska Science and Learning Center. We sincerely thank Justin Smith (R/V Capelin), Dan Foley (R/V Steller), and Jacques Norvell (Tal Air) for safe and expert pilotage at sea and in the air. We greatly appreciate the efforts of numerous individuals (Jason Herreman, John Wells, Suzanne Conlon, Lori Polasek, Jill Prewitt, Natalie Bool, Trevor Ose, Rachel Dziuba, Shawna Karpovich, Randy Naylor, Christine Schmale, Dave Withrow, Dennis McAllister, Jennifer Burns, Jay VerHoef, Kevin White) that provided assistance with harbor seal capture and tagging efforts. J.N.W. was supported by a Mamie Markham Research Fellowship (OSU-Hatfield Marine Science Center), Munson Wildlife Fellowship, Oregon State University (OSU) Laurels Fellowship, Horace M. Albright-Conrad L. Wirth Fellowship, the OSU Marine Mammal Institute-Pinniped Ecology Applied Research Laboratory, NRAC Professional Development Grants, the NPS- Coastal Cluster Program, and Glacier Bay National Park and Preserve. Lorenzo Ciannelli, Clint Epps, Mary-Anne Lea, Dawn Wright, and three anonymous reviewers provided useful comments and discussions on previous versions of the manuscript. The findings and conclusions in the paper are those of the authors and do not necessarily represent the views of the National Marine Fisheries Service. Reference to trade names does not imply endorsement by the National Marine Fisheries Service, NOAA. All harbor seal capture, handling, and research were conducted under Marine Mammal Protection Act (MMPA) permit numbers 358-1787-00 and 358-1787-01 issued to Alaska Department of Fish and Game by NOAA's Protected Resources Division. Harbor seal capture, handling, and research were also authorized by Glacier Bay National Park under Scientific Research and Collecting permit numbers GLBA-2004-SCI-0003, GLBA-2005-SCI-0003, GLBA-2006-SCI-0003, GLBA-2007-SCI-0003, and associated Glacier Bay National Park and Preserve Waivers to park regulations. Animal use protocols used in this research were reviewed and approved by the Institutional Animal Care and Use Committee at the State of Alaska Department of Fish and Game (protocol 07-16).</t>
  </si>
  <si>
    <t>10.1007/s00227-014-2424-8</t>
  </si>
  <si>
    <t>AI4AG</t>
  </si>
  <si>
    <t>WOS:000336806700013</t>
  </si>
  <si>
    <t>Artigaud, S; Thorne, MAS; Richard, J; Lavaud, R; Jean, F; Flye-Sainte-Marie, J; Peck, LS; Pichereau, V; Clark, MS</t>
  </si>
  <si>
    <t>Artigaud, Sebastien; Thorne, Michael A. S.; Richard, Joelle; Lavaud, Romain; Jean, Fred; Flye-Sainte-Marie, Jonathan; Peck, Lloyd S.; Pichereau, Vianney; Clark, Melody S.</t>
  </si>
  <si>
    <t>Deep sequencing of the mantle transcriptome of the great scallop Pecten maximus</t>
  </si>
  <si>
    <t>MARINE GENOMICS</t>
  </si>
  <si>
    <t>Pecten maximus; RNAseq; Temperature</t>
  </si>
  <si>
    <t>SHELL</t>
  </si>
  <si>
    <t>RNA-Seq transcriptome data were generated from mantle tissue of the great scallop, Pecten maximus. The consensus data were produced from a time course series of animals subjected to a 56-day thermal challenge at 3 different temperatures. A total of 26,064 contigs were assembled de novo, providing a useful resource for both the aquaculture community and researchers with an interest in mollusc shell production. (C) 2014 Elsevier B.V. All rights reserved.</t>
  </si>
  <si>
    <t>[Artigaud, Sebastien; Richard, Joelle; Lavaud, Romain; Jean, Fred; Flye-Sainte-Marie, Jonathan; Pichereau, Vianney] Univ Bretagne Occidentale, Inst Univ Europeen Mer, LEMAR UMR CNRS UBO IRD Ifremer 6539, Lab Sci Environm Marin, F-29280 Plouzane, France; [Thorne, Michael A. S.; Peck, Lloyd S.; Clark, Melody S.] British Antarctic Survey, Nat Environm Res Council, Cambridge CB3 0ET, England</t>
  </si>
  <si>
    <t>Centre National de la Recherche Scientifique (CNRS); Ifremer; Institut de Recherche pour le Developpement (IRD); Universite de Bretagne Occidentale; Institut Universitaire Europeen de la Mer (IUEM); UK Research &amp; Innovation (UKRI); Natural Environment Research Council (NERC); NERC British Antarctic Survey</t>
  </si>
  <si>
    <t>Artigaud, S (corresponding author), Univ Bretagne Occidentale, Inst Univ Europeen Mer, LEMAR UMR CNRS UBO IRD Ifremer 6539, Lab Sci Environm Marin, F-29280 Plouzane, France.</t>
  </si>
  <si>
    <t>sebastien.artigaud@gmx.com</t>
  </si>
  <si>
    <t>PICHEREAU, Vianney/Q-7236-2019; PICHEREAU, Vianney/B-2168-2008; Lavaud, Romain/AAI-2775-2021; Clark, Melody/D-7371-2014; Jean, Fred/A-8226-2010</t>
  </si>
  <si>
    <t>PICHEREAU, Vianney/0000-0003-1078-9407; PICHEREAU, Vianney/0000-0003-1078-9407; Clark, Melody/0000-0002-3442-3824; Lavaud, Romain/0000-0002-1848-5603; Jean, Fred/0000-0002-1132-230X; Thorne, Michael/0000-0001-7759-612X; Flye-Sainte-Marie, Jonathan/0000-0002-6462-0677</t>
  </si>
  <si>
    <t>Region Bretagne [6368, 6197]; Natural Environment Research Council (NERC) [NE/G018]; British Antarctic Survey Polar Sciences for Planet Earth programme - Natural Environment Research Council; COMANCHE [ANR-2010-STRA-010]; LabexMER [ANR-10-LABX-19-01]; BBSRC [BBS/E/T/000PR6193] Funding Source: UKRI; NERC [bas0100025] Funding Source: UKRI; Biotechnology and Biological Sciences Research Council [BBS/E/T/000PR6193] Funding Source: researchfish; Natural Environment Research Council [bas0100025] Funding Source: researchfish</t>
  </si>
  <si>
    <t>Region Bretagne(Region Bretagne); Natural Environment Research Council (NERC)(UK Research &amp; Innovation (UKRI)Natural Environment Research Council (NERC)); British Antarctic Survey Polar Sciences for Planet Earth programme - Natural Environment Research Council; COMANCHE; LabexMER; BBSRC(UK Research &amp; Innovation (UKRI)Biotechnology and Biological Sciences Research Council (BBSRC)); NERC(UK Research &amp; Innovation (UKRI)Natural Environment Research Council (NERC)); Biotechnology and Biological Sciences Research Council(UK Research &amp; Innovation (UKRI)Biotechnology and Biological Sciences Research Council (BBSRC)); Natural Environment Research Council(UK Research &amp; Innovation (UKRI)Natural Environment Research Council (NERC))</t>
  </si>
  <si>
    <t>This study was funded by grants from the Region Bretagne, i.e. the Pemadapt project (ref. 6368) and a doctoral fellowship to S.A. (Protmar project ref. 6197). This study was also supported by a Natural Environment Research Council (NERC) grant to Lloyd Peck (NE/G018) and the British Antarctic Survey Polar Sciences for Planet Earth programme, which is also funded by the Natural Environment Research Council. Two French National Research Agency (ANR) programmes also supported our research: COMANCHE (ANR-2010-STRA-010) and LabexMER (ANR-10-LABX-19-01).</t>
  </si>
  <si>
    <t>1874-7787</t>
  </si>
  <si>
    <t>1876-7478</t>
  </si>
  <si>
    <t>MAR GENOM</t>
  </si>
  <si>
    <t>Mar. Genom.</t>
  </si>
  <si>
    <t>10.1016/j.margen.2014.03.006</t>
  </si>
  <si>
    <t>Genetics &amp; Heredity; Marine &amp; Freshwater Biology</t>
  </si>
  <si>
    <t>AK7KF</t>
  </si>
  <si>
    <t>WOS:000338606500002</t>
  </si>
  <si>
    <t>Rebesco, M; Hernández-Molina, FJ; Van Rooij, D; Wåhlin, A</t>
  </si>
  <si>
    <t>Rebesco, Michele; Hernandez-Molina, F. Javier; Van Rooij, David; Wahlin, Anna</t>
  </si>
  <si>
    <t>Contourites and associated sediments controlled by deep-water circulation processes: State-of-the-art and future considerations</t>
  </si>
  <si>
    <t>contourite; oceanographic process; sedimentary drift; bedform; sedimentary structure; facies model</t>
  </si>
  <si>
    <t>MEDITERRANEAN OUTFLOW WATER; WESTERN BOUNDARY CURRENT; ANTARCTIC BOTTOM WATER; FAEROE-SHETLAND CHANNEL; OFFSHORE CANTERBURY BASIN; INTERNAL TIDE GENERATION; BELGICA MOUND PROVINCE; UPPER CRETACEOUS CHALK; CURRENT REWORKED SANDS; CONTINENTAL RISE WEST</t>
  </si>
  <si>
    <t>The contourite paradigm was conceived a few decades ago, yet there remains a need to establish a sound connection between contourite deposits, basin evolution and oceanographic processes. Significant recent advances have been enabled by various factors, including the establishment of two IGCP projects and the realisation of several IODP expeditions. Contourites were first described in the Northern and Southern Atlantic Ocean, and since then, have been discovered in every major ocean basin and even in lakes. The 120 major contourite areas presently known are associated to myriad oceanographic processes in surface, intermediate and deep-water masses. The increasing recognition of these deposits is influencing palaeoclimatology &amp; palaeoceanography, slope-stability/geological hazard assessment, and hydrocarbon exploration. Nevertheless, there is a pressing need for a better understanding of the sedimentological and oceanographic processes governing contourites, which involve dense bottom currents, tides, eddies, deep-sea storms, internal waves and tsunamis. Furthermore, in light of the latest knowledge on oceanographic processes and other governing factors (e.g. sediment supply and sea-level), existing facies models must now be revised. Persistent oceanographic processes significantly affect the seafloor, resulting in large-scale depositional and erosional features. Various classifications have been proposed to subdivide a continuous spectrum of partly overlapping features. Although much progress has been made in the large-scale, geophysically based recognition of these deposits, there remains a lack of unambiguous and commonly accepted diagnostic criteria for deciphering the small-scaled contourite fades and for distinguishing them from turbidite ones. Similarly, the study of sandy deposits generated or affected by bottom currents, which is still in its infancy, offers great research potential: these deposits might prove invaluable as future reservoir targets. Expectations for the forthcoming analysis of data from the IODP Expedition 339 are high, as this work promises to tackle much of the aforementioned lack of knowledge. In the near future, geologists, oceanographers and benthic biologists will have to work in concert to achieve synergy in contourite research to demonstrate the importance of bottom currents in continental margin sedimentation and evolution. (C) 2014 The Authors. Published by Elsevier B.V. This is an open access article under the CC BY-NC-SA license (http://creativecommons.org/licenses/by-nc-sa/3.0/).</t>
  </si>
  <si>
    <t>[Rebesco, Michele] Ist Nazl Oceanog &amp; Geofis Sperimentale, OGS, I-34010 Sgonico, TS, Italy; [Hernandez-Molina, F. Javier] Royal Holloway Univ London, Dept Earth Sci, Egham TW20 0EX, Surrey, England; [Van Rooij, David] Univ Ghent, Dept Geol &amp; Soil Sci, Renard Ctr Marine Geol, B-9000 Ghent, Belgium; [Wahlin, Anna] Univ Gothenburg, Dept Earth Sci, SE-40530 Gothenburg, Sweden</t>
  </si>
  <si>
    <t>Istituto Nazionale di Oceanografia e di Geofisica Sperimentale; University of London; Royal Holloway University London; Ghent University; University of Gothenburg</t>
  </si>
  <si>
    <t>Rebesco, M (corresponding author), Ist Nazl Oceanog &amp; Geofis Sperimentale, OGS, Borgo Grotta Gigante 42-C, I-34010 Sgonico, TS, Italy.</t>
  </si>
  <si>
    <t>mrebesco@ogs.trieste.it; Javier.Hernandez-Molina@rhul.ac.uk; david.vanrooij@ugent.be; anna.wahlin@gu.se</t>
  </si>
  <si>
    <t>Wåhlin, Anna/U-3790-2017; Van Rooij, David/A-7938-2014; Rebesco, Michele/B-7462-2014</t>
  </si>
  <si>
    <t>Wåhlin, Anna/0000-0003-1799-6476; Van Rooij, David/0000-0003-3633-3344; Rebesco, Michele/0000-0002-9492-4081</t>
  </si>
  <si>
    <t>CONTOURIBER project [CTM 2008-06399-C04/MAR]; MOWER projects [CTM 2012-39599-C03]; Continental Margins Research Group (CMRG) at Royal Holloway University of London (UK); CORIBAR project of the Programma Nazionale di Ricerche in Antartide; [IGCP-619]; [INQUA-1204]</t>
  </si>
  <si>
    <t>CONTOURIBER project; MOWER projects; Continental Margins Research Group (CMRG) at Royal Holloway University of London (UK); CORIBAR project of the Programma Nazionale di Ricerche in Antartide; ;</t>
  </si>
  <si>
    <t>We thank the Editor for his invitation to write this review for the special 50th Anniversary Issue of Marine Geology. This contribution is a product of the IGCP-619 and INQUA-1204 projects and is partially supported through the CTM 2008-06399-C04/MAR (CONTOURIBER) and CTM 2012-39599-C03 (MOWER) projects, the Continental Margins Research Group (CMRG) at Royal Holloway University of London (UK), and the CORIBAR project of the Programma Nazionale di Ricerche in Antartide. We acknowledge the Flanders Marine Institute (VLIZ) for their assistance in including the contourite drift occurrence in the Marine Regions website. This work used samples and data provided by the Integrated Ocean Drilling Programme (IODP). The figures presented in this paper are partly new, partly adapted from previous work, and partly reproduced from previous work. Wherever appropriate, permission has been obtained for the reproduction or adaptation. However, not all of the copyright holders could be traced; thus, we would appreciate if such copyright holders would be so kind to contact us. We would also like to thank REPSOL, for allowing us to use a seismic record (Fig. 10B) of the Gulf of Cadiz; L O'Dogherty (Univ. Cadiz, Spain), for sending us valuable samples from radiolarian contourites (Fig. 21); F.J. Sierro (Univ. Salamanca, Spain), for useful foraminiferal contourite samples and his comments about their genesis (Fig. 21); D.A.V. Stow (Heriot-Watt University, UK), for ancient contourite outcrops examples of Fig. 11; A. Puga Bernabeu (Univ. Granada, Spain), for providing the spectacular submarine photos of volcanoclastic contourites in the Hawaii continental slope (Fig. 21); Greg Moore (University of Hawaii, USA), for sending bathymetric maps and sharing ideas about the possible influence of water-mass circulation around Hawaii; and Ron Blakey (Colorado Plateau Geosystems, http://cpgeosystems.com/mollglobe.html), for giving us permission to use the base map from Figs. 12 and 14A. We are also grateful to Manuela Sedmach for having redrawn and/or coloured Figs. 1, 2, 3, 19, 23 and 24. Finally, we are also very grateful to D.J.W. Piper, as the editor of this manuscript, and C. Campbell (Geological Survey of Canada, Canada) and S. Toucanne (IFREMER, France), as reviewers, for their suggestions, which helped us to improve the manuscript considerably.</t>
  </si>
  <si>
    <t>10.1016/j.margeo.2014.03.011</t>
  </si>
  <si>
    <t>AL0FL</t>
  </si>
  <si>
    <t>WOS:000338802700008</t>
  </si>
  <si>
    <t>Thomas, L; Kendrick, GA; Kennington, WJ; Richards, ZT; Stat, M</t>
  </si>
  <si>
    <t>Thomas, L.; Kendrick, G. A.; Kennington, W. J.; Richards, Z. T.; Stat, M.</t>
  </si>
  <si>
    <t>Exploring Symbiodinium diversity and host specificity in Acropora corals from geographical extremes of Western Australia with 454 amplicon pyrosequencing</t>
  </si>
  <si>
    <t>Acropora; next generation sequencing; Symbiodinium; Western Australia</t>
  </si>
  <si>
    <t>GREAT-BARRIER-REEF; LEEUWIN CURRENT; CLADE-D; ALGAL ENDOSYMBIONTS; MICROBIAL DIVERSITY; THERMAL TOLERANCE; GENETIC-STRUCTURE; CLIMATE-CHANGE; PCR ARTIFACTS; COMMUNITIES</t>
  </si>
  <si>
    <t>Scleractinian corals have demonstrated the ability to shuffle their endosymbiotic dinoflagellate communities (genus Symbiodinium) during periods of acute environmental stress. This has been proposed as a mechanism of acclimation, which would be increased by a diverse and flexible association with Symbiodinium. Conventional molecular techniques used to evaluate Symbiodinium diversity are unable to identify genetic lineages present at background levels below 10%. Next generation sequencing (NGS) offers a solution to this problem and can resolve microorganism diversity at much finer scales. Here we apply NGS to evaluate Symbiodinium diversity and host specificity in Acropora corals from contrasting regions of Western Australia. The application of 454 pyrosequencing allowed for detection of Symbiodinium operational taxonomic units (OTUs) occurring at frequencies as low as 0.001%, offering a 10000-fold increase in sensitivity compared to traditional methods. All coral species from both regions were overwhelmingly dominated by a single clade C OTU (accounting for 98% of all recovered sequences). Only 8.5% of colonies associated with multiple clades (clades C and D, or C and G), suggesting a high level of symbiont specificity in Acropora assemblages in Western Australia. While only 40% of the OTUs were shared between regions, the dominance of a single OTU resulted in no significant difference in Symbiodinium community structure, demonstrating that the coral-algal symbiosis can remain stable across more than 15 degrees of latitude and a range of sea surface temperature profiles. This study validates the use of NGS platforms as tools for providing fine-scale estimates of Symbiodinium diversity and can offer critical insight into the flexibility of the coral-algal symbiosis.</t>
  </si>
  <si>
    <t>[Thomas, L.; Kendrick, G. A.; Stat, M.] Univ Western Australia, Oceans Inst M470, Perth, WA 6009, Australia; [Thomas, L.; Kendrick, G. A.] Univ Western Australia, Sch Plant Biol M084, Perth, WA 6009, Australia; [Kennington, W. J.] Univ Western Australia, Sch Anim Biol, Ctr Evolutionary Biol M092, Perth, WA 6009, Australia; [Richards, Z. T.] Western Australian Museum, Dept Aquat Biol, Perth, WA 6106, Australia; [Stat, M.] Univ Western Australia, Ctr Microscopy Characterisat &amp; Anal M010, Perth, WA 6009, Australia; [Stat, M.] Australian Inst Marine Sci, Perth, WA 6009, Australia; [Stat, M.] CSIRO Marine &amp; Atmospher Res, Perth, WA 6010, Australia</t>
  </si>
  <si>
    <t>University of Western Australia; University of Western Australia; University of Western Australia; Western Australian Museum; University of Western Australia; Australian Institute of Marine Science; Commonwealth Scientific &amp; Industrial Research Organisation (CSIRO)</t>
  </si>
  <si>
    <t>Thomas, L (corresponding author), Univ Western Australia, Oceans Inst M470, Perth, WA 6009, Australia.</t>
  </si>
  <si>
    <t>luke.thomas@uwa.edu.au</t>
  </si>
  <si>
    <t>Kendrick, Gary Andrew/B-3460-2011; Kennington, Winn J/H-5182-2014; Stat, Michael/K-5290-2012</t>
  </si>
  <si>
    <t>Kendrick, Gary Andrew/0000-0002-0276-6064; Thomas, Luke/0000-0001-8978-8831; Stat, Michael/0000-0002-1663-3422</t>
  </si>
  <si>
    <t>Australian Government's National Environmental Research Program (NERP); Institute for Marine and Antarctic Studies, University of Tasmania; CSIRO; Geoscience Australia; Australian Institute of Marine Science; Museum Victoria; Charles Darwin University; University of Western Australia; UWA-AIMS-CSIRO</t>
  </si>
  <si>
    <t>Australian Government's National Environmental Research Program (NERP)(Australian Government); Institute for Marine and Antarctic Studies, University of Tasmania; CSIRO(Commonwealth Scientific &amp; Industrial Research Organisation (CSIRO)); Geoscience Australia; Australian Institute of Marine Science; Museum Victoria; Charles Darwin University; University of Western Australia; UWA-AIMS-CSIRO</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</si>
  <si>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M. S. was supported by a postdoctoral fellowship from the UWA-AIMS-CSIRO collaborative agreement and Z.R. in fieldwork and write-up phases by Woodside Energy and the Woodside Collection (Kimberley) project. The comments from SR Palumbi and two anonymous reviewers dramatically improved this manuscript.</t>
  </si>
  <si>
    <t>10.1111/mec.12801</t>
  </si>
  <si>
    <t>AJ4AF</t>
  </si>
  <si>
    <t>WOS:000337610600017</t>
  </si>
  <si>
    <t>Felis, T; McGregor, HV; Linsley, BK; Tudhope, AW; Gagan, MK; Suzuki, A; Inoue, M; Thomas, AL; Esat, TM; Thompson, WG; Tiwari, M; Potts, DC; Mudelsee, M; Yokoyama, Y; Webster, JM</t>
  </si>
  <si>
    <t>Felis, Thomas; McGregor, Helen V.; Linsley, Braddock K.; Tudhope, Alexander W.; Gagan, Michael K.; Suzuki, Atsushi; Inoue, Mayuri; Thomas, Alexander L.; Esat, Tezer M.; Thompson, William G.; Tiwari, Manish; Potts, Donald C.; Mudelsee, Manfred; Yokoyama, Yusuke; Webster, Jody M.</t>
  </si>
  <si>
    <t>Intensification of the meridional temperature gradient in the Great Barrier Reef following the Last Glacial Maximum</t>
  </si>
  <si>
    <t>SEA-SURFACE-TEMPERATURE; CLIMATE-CHANGE; SOUTHWEST PACIFIC; PORITES CORALS; NEW-ZEALAND; VARIABILITY; OCEAN; CALIBRATION; AUSTRALIA; STRONTIUM</t>
  </si>
  <si>
    <t>Tropical south-western Pacific temperatures are of vital importance to the Great Barrier Reef (GBR), but the role of sea surface temperatures (SSTs) in the growth of the GBR since the Last Glacial Maximum remains largely unknown. Here we present records of Sr/Ca and delta O-18 for Last Glacial Maximum and deglacial corals that show a considerably steeper meridional SST gradient than the present day in the central GBR. We find a 1-2 degrees C larger temperature decrease between 17 degrees and 20 degrees S about 20,000 to 13,000 years ago. The result is best explained by the northward expansion of cooler subtropical waters due to a weakening of the South Pacific gyre and East Australian Current. Our findings indicate that the GBR experienced substantial meridional temperature change during the last deglaciation, and serve to explain anomalous deglacial drying of northeastern Australia. Overall, the GBR developed through significant SST change and may be more resilient than previously thought.</t>
  </si>
  <si>
    <t>[Felis, Thomas] Univ Bremen, MARUM Ctr Marine Environm Sci, D-28359 Bremen, Germany; [McGregor, Helen V.; Gagan, Michael K.; Esat, Tezer M.] Australian Natl Univ, Res Sch Earth Sci, Canberra, ACT 0200, Australia; [Linsley, Braddock K.] Columbia Univ, Lamont Doherty Earth Observ, Palisades, NY 10964 USA; [Tudhope, Alexander W.; Thomas, Alexander L.] Univ Edinburgh, Sch Geosci, Edinburgh EH9 3JW, Midlothian, Scotland; [Suzuki, Atsushi] Natl Inst Adv Ind Sci &amp; Technol, Geol Survey Japan, Tsukuba, Ibaraki 3058567, Japan; [Inoue, Mayuri; Yokoyama, Yusuke] Univ Tokyo, Atmosphere &amp; Ocean Res Inst, Kashiwa, Chiba 2778564, Japan; [Thomas, Alexander L.] Univ Oxford, Dept Earth Sci, Oxford OX1 3AN, England; [Esat, Tezer M.] Australian Nucl Sci &amp; Technol Org, Inst Environm Res, Kirrawee Dc, NSW 2232, Australia; [Esat, Tezer M.] Australian Natl Univ, Dept Nucl Phys, Res Sch Phys Sci &amp; Engn, Canberra, ACT 0200, Australia; [Thompson, William G.] Woods Hole Oceanog Inst, Dept Geol &amp; Geophys, Woods Hole, MA 02543 USA; [Tiwari, Manish] Natl Ctr Antarctic &amp; Ocean Res, Vasco Da Gama 403804, Goa, India; [Potts, Donald C.] Univ Calif Santa Cruz, Dept Ecol &amp; Evolutionary Biol, Santa Cruz, CA 95064 USA; [Mudelsee, Manfred] Helmholtz Ctr Polar &amp; Marine Res AWI, Alfred Wegener Inst, D-27570 Bremerhaven, Germany; [Mudelsee, Manfred] Climate Risk Anal, D-37581 Bad Gandersheim, Germany; [Webster, Jody M.] Univ Sydney, Sch Geosci, Geocoastal Res Grp, Sydney, NSW 2006, Australia</t>
  </si>
  <si>
    <t>University of Bremen; Australian National University; Columbia University; University of Edinburgh; National Institute of Advanced Industrial Science &amp; Technology (AIST); University of Tokyo; University of Oxford; Australian Nuclear Science &amp; Technology Organisation; Australian National University; Woods Hole Oceanographic Institution; Ministry of Earth Sciences (MoES) - India; National Centre for Polar and Ocean Research (NCPOR); University of California System; University of California Santa Cruz; Helmholtz Association; Alfred Wegener Institute, Helmholtz Centre for Polar &amp; Marine Research; University of Sydney</t>
  </si>
  <si>
    <t>Felis, T (corresponding author), Univ Bremen, MARUM Ctr Marine Environm Sci, D-28359 Bremen, Germany.</t>
  </si>
  <si>
    <t>tfelis@marum.de</t>
  </si>
  <si>
    <t>Felis, Thomas/G-6670-2011; Gagan, Michael K/L-5014-2018; Thompson, William G/H-2407-2011; Suzuki, Atsushi/L-6120-2018; Thomas, Alex L/D-1028-2012; Mudelsee, Manfred/C-6063-2018; McGregor, Helen/I-1479-2013</t>
  </si>
  <si>
    <t>Felis, Thomas/0000-0003-1417-9657; Suzuki, Atsushi/0000-0002-0266-5765; Mudelsee, Manfred/0000-0002-2364-9561; McGregor, Helen/0000-0002-4031-2282; Linsley, Braddock/0000-0003-2085-0662; Tiwari, Manish/0000-0003-3143-1658; Thomas, Alexander/0000-0002-0734-9593</t>
  </si>
  <si>
    <t>Deutsche Forschungsgemeinschaft [FE 615/4-1]; Australian Research Council [DP1094001]; Australia and New Zealand IODP Consortium; Australian Institute of Nuclear Science and Engineering; Natural Environmental Research Council [NE/H014136/1, NE/H014268/1]; Cooperative Research Program of the Center for Advanced Marine Core Research [10B039, 11A013, 11B041]; Ministry of Earth Sciences, Govt. of India from DST ISRO-GBP; Japan Society for the Promotion of Science (JSPS) [NEXT-GR031]; IODP Bremen Core Repository; Natural Environment Research Council [NE/F01659X/1, NE/H014136/1, NE/F523318/1, NE/F52330X/1, NE/H014268/1] Funding Source: researchfish; NERC [NE/F52330X/1, NE/H014268/1, NE/F01659X/1, NE/F523318/1, NE/H014136/1] Funding Source: UKRI</t>
  </si>
  <si>
    <t>Deutsche Forschungsgemeinschaft(German Research Foundation (DFG)); Australian Research Council(Australian Research Council); Australia and New Zealand IODP Consortium; Australian Institute of Nuclear Science and Engineering; Natural Environmental Research Council(UK Research &amp; Innovation (UKRI)Natural Environment Research Council (NERC)); Cooperative Research Program of the Center for Advanced Marine Core Research; Ministry of Earth Sciences, Govt. of India from DST ISRO-GBP; Japan Society for the Promotion of Science (JSPS)(Ministry of Education, Culture, Sports, Science and Technology, Japan (MEXT)Japan Society for the Promotion of Science); IODP Bremen Core Repository; Natural Environment Research Council(UK Research &amp; Innovation (UKRI)Natural Environment Research Council (NERC)); NERC(UK Research &amp; Innovation (UKRI)Natural Environment Research Council (NERC))</t>
  </si>
  <si>
    <t>This research used samples provided by IODP, drilled on a mission-specific platform expedition (Expedition 325-Great Barrier Reef Environmental Changes) conducted by the European Consortium for Ocean Research Drilling (ECORD) Science Operator (ESO). We thank the Great Barrier Reef Marine Park Authority and the Australian Maritime Safety Authority for permissions. Funding was provided by Deutsche Forschungsgemeinschaft (FE 615/4-1), Australian Research Council (Discovery grant DP1094001), Australia and New Zealand IODP Consortium, Australian Institute of Nuclear Science and Engineering, Natural Environmental Research Council (NE/H014136/1, NE/H014268/1), the Cooperative Research Program of the Center for Advanced Marine Core Research (10B039, 11A013, 11B041), Ministry of Earth Sciences, Govt. of India (with partial support from DST &amp; ISRO-GBP) and Japan Society for the Promotion of Science (JSPS NEXT-GR031). We thank M. Kolling, S. Pape, M. Segl, C. Vogt, O. Mund, J. Cowley, L. McMorrow, H. Scott-Gagan, J. Abrantes, J. Gaudry, H. Schofield, T. Okai and T. Ishimura for analytical and technical support; A. Timmermann and P.N. DiNezio for discussion; K. Tachikawa for providing data; Expedition 325 project manager C. Cotterill; the crew and drilling team of the Greatship Maya; and the IODP Bremen Core Repository for support.</t>
  </si>
  <si>
    <t>10.1038/ncomms5102</t>
  </si>
  <si>
    <t>AL0SX</t>
  </si>
  <si>
    <t>Green Published, hybrid, Green Accepted, Green Submitted</t>
  </si>
  <si>
    <t>WOS:000338838200016</t>
  </si>
  <si>
    <t>Griffies, SM; Yin, JJ; Durack, PJ; Goddard, P; Bates, SC; Behrens, E; Bentsen, M; Bi, DH; Biastoch, A; Böning, CW; Bozec, A; Chassignet, E; Danabasoglu, G; Danilov, S; Domingues, CM; Drange, H; Farneti, R; Fernandez, E; Greatbatch, RJ; Holland, DM; Ilicak, M; Large, WG; Lorbacher, K; Lu, JH; Marsland, SJ; Mishra, A; Nurser, AJG; Mélia, DSY; Palter, JB; Samuels, BL; Schröter, J; Schwarzkopf, FU; Sidorenko, D; Treguier, AM; Tseng, YH; Tsujino, H; Uotila, P; Valcke, S; Voldoire, A; Wang, Q; Winton, M; Zhang, XB</t>
  </si>
  <si>
    <t>Griffies, Stephen M.; Yin, Jianjun; Durack, Paul J.; Goddard, Paul; Bates, Susan C.; Behrens, Erik; Bentsen, Mats; Bi, Daohua; Biastoch, Arne; Boening, Claus W.; Bozec, Alexandra; Chassignet, Eric; Danabasoglu, Gokhan; Danilov, Sergey; Domingues, Catia M.; Drange, Helge; Farneti, Riccardo; Fernandez, Elodie; Greatbatch, Richard J.; Holland, David M.; Ilicak, Mehmet; Large, William G.; Lorbacher, Katja; Lu, Jianhua; Marsland, Simon J.; Mishra, Akhilesh; Nurser, A. J. George; Salas y Melia, David; Palter, Jaime B.; Samuels, Bonita L.; Schroeter, Jens; Schwarzkopf, Franziska U.; Sidorenko, Dmitry; Treguier, Anne Marie; Tseng, Yu-heng; Tsujino, Hiroyuki; Uotila, Petteri; Valcke, Sophie; Voldoire, Aurore; Wang, Qiang; Winton, Michael; Zhang, Xuebin</t>
  </si>
  <si>
    <t>An assessment of global and regional sea level for years 1993-2007 in a suite of interannual CORE-II simulations</t>
  </si>
  <si>
    <t>Sea level; CORE global ocean-ice simulations; Steric sea level; Global sea level; Ocean heat content</t>
  </si>
  <si>
    <t>NORTH-ATLANTIC OCEAN; FREE-SURFACE METHOD; PART I; THERMOHALINE CIRCULATION; MASS-BALANCE; HEAT-CONTENT; CLIMATE; RISE; VARIABILITY; TRENDS</t>
  </si>
  <si>
    <t>We provide an assessment of sea level simulated in a suite of global ocean-sea ice models using the interannual CORE atmospheric state to determine surface ocean boundary buoyancy and momentum fluxes. These CORE-II simulations are compared amongst themselves as well as to observation-based estimates. We focus on the final 15 years of the simulations (1993-2007), as this is a period where the CORE-II atmospheric state is well sampled, and it allows us to compare sea level related fields to both satellite and in situ analyses. The ensemble mean of the CORE-II simulations broadly agree with various global and regional observation-based analyses during this period, though with the global mean thermosteric sea level rise biased low relative to observation-based analyses. The simulations reveal a positive trend in dynamic sea level in the west Pacific and negative trend in the east, with this trend arising from wind shifts and regional changes in upper 700 m ocean heat content. The models also exhibit a thermosteric sea level rise in the subpolar North Atlantic associated with a transition around 1995/1996 of the North Atlantic Oscillation to its negative phase, and the advection of warm subtropical waters into the subpolar gyre. Sea level trends are predominantly associated with steric trends, with thermosteric effects generally far larger than halosteric effects, except in the Arctic and North Atlantic. There is a general anticorrelation between thermosteric and halosteric effects for much of the World Ocean, associated with density compensated changes. Published by Elsevier Ltd.</t>
  </si>
  <si>
    <t>[Griffies, Stephen M.; Samuels, Bonita L.; Winton, Michael] NOAA, Geophys Fluid Dynam Lab, Princeton, NJ 08540 USA; [Yin, Jianjun; Goddard, Paul] Univ Arizona, Dept Geosci, Tucson, AZ 85721 USA; [Durack, Paul J.] Lawrence Livermore Natl Lab, Program Climate Model Diag &amp; Intercomparison, Livermore, CA USA; [Bates, Susan C.; Danabasoglu, Gokhan; Large, William G.; Tseng, Yu-heng] Natl Ctr Atmospher Res, Boulder, CO 80307 USA; [Behrens, Erik; Biastoch, Arne; Boening, Claus W.; Greatbatch, Richard J.; Schwarzkopf, Franziska U.] GEOMAR Helmholtz Ctr Ocean Res Kiel, Kiel, Germany; [Bentsen, Mats; Ilicak, Mehmet] Uni Res Ltd, Uni Climate, Bergen, Norway; [Bi, Daohua; Lorbacher, Katja; Marsland, Simon J.; Uotila, Petteri] CSIRO, Ctr Australian Weather &amp; Climate Res, Melbourne, Vic, Australia; [Bozec, Alexandra; Chassignet, Eric; Lu, Jianhua; Mishra, Akhilesh] Florida State Univ, Ctr Ocean Atmospher Predict Studies, Tallahassee, FL 32306 USA; [Danilov, Sergey; Schroeter, Jens; Sidorenko, Dmitry; Wang, Qiang] Alfred Wegener Inst AWI Polar &amp; Marine Res, Bremerhaven, Germany; [Domingues, Catia M.] Univ Tasmania, Antarctic Climate &amp; Ecosyst Cooperat Res Ctr, Hobart, Tas, Australia; [Drange, Helge] Univ Bergen, Bergen, Norway; [Farneti, Riccardo] Abdus Salaam Int Ctr Theoret Phys, Trieste, Italy; [Fernandez, Elodie; Valcke, Sophie] CNRS INSU, URA 1875, Ctr Europeen Rech &amp; Format Avanceen Calcul Sci, Toulouse, France; [Holland, David M.] NYU, New York, NY 10012 USA; [Nurser, A. J. George] Natl Oceanog Ctr Southampton, Southampton, Hants, England; [Salas y Melia, David; Voldoire, Aurore] Ctr Natl Rech Meteorol CNRM GAME, Toulouse, France; [Palter, Jaime B.] McGill Univ, Montreal, PQ, Canada; [Treguier, Anne Marie] CNRS Ifremer IRD UBO, UMR 6523, Lab Phys Oceans, Plouzane, France; [Tsujino, Hiroyuki] Japan Meteorol Agcy, Meteorol Res Inst, Tsukuba, Ibaraki 305, Japan; [Zhang, Xuebin] CSIRO, Ctr Australian Weather &amp; Climate Res, Hobart, Tas, Australia</t>
  </si>
  <si>
    <t>National Oceanic Atmospheric Admin (NOAA) - USA; University of Arizona; United States Department of Energy (DOE); Lawrence Livermore National Laboratory; National Center Atmospheric Research (NCAR) - USA; Helmholtz Association; GEOMAR Helmholtz Center for Ocean Research Kiel; University of Bergen; Commonwealth Scientific &amp; Industrial Research Organisation (CSIRO); State University System of Florida; Florida State University; Helmholtz Association; Alfred Wegener Institute, Helmholtz Centre for Polar &amp; Marine Research; University of Tasmania; Antarctic Climate &amp; Ecosystems Cooperative Research Centre (ACE CRC); University of Bergen; Abdus Salam International Centre for Theoretical Physics (ICTP); CERFACS; Centre National de la Recherche Scientifique (CNRS); CNRS - National Institute for Earth Sciences &amp; Astronomy (INSU); New York University; University of Southampton; NERC National Oceanography Centre; McGill University; Universite de Bretagne Occidentale; Centre National de la Recherche Scientifique (CNRS); CNRS - National Institute for Earth Sciences &amp; Astronomy (INSU); Ifremer; Institut de Recherche pour le Developpement (IRD); Meteorological Research Institute - Japan; Japan Meteorological Agency; Commonwealth Scientific &amp; Industrial Research Organisation (CSIRO)</t>
  </si>
  <si>
    <t>Griffies, SM (corresponding author), NOAA, Geophys Fluid Dynam Lab, Princeton, NJ 08540 USA.</t>
  </si>
  <si>
    <t>Stephen.Griffies@noaa.gov</t>
  </si>
  <si>
    <t>Durack, Paul James/A-8758-2010; Bentsen, Mats/JHU-7393-2023; Schwarzkopf, Franziska/P-7621-2019; Marsland, Simon J/A-1453-2012; Treguier, Anne Marie/B-7497-2009; Biastoch, Arne/B-5219-2014; Griffies, Stephen Matthew/N-9144-2019; Boening, Claus W/HIR-8996-2022; ILICAK, Mehmet/H-2219-2011; Bi, Daohua/O-4508-2015; Ilicak, Mehmet/AAG-1093-2020; Behrens, Erik/B-9631-2013; Farneti, Riccardo/B-5183-2011; MISHRA, AKHILESH/A-2356-2015; Schröter, Jens G/H-8806-2016; Boening, Claus/AAW-6387-2020; Danilov, Sergey/S-6184-2016; Lu, Jianhua/B-8923-2008; Domingues, Catia M./A-2901-2015; Uotila, Petteri/A-1703-2012; Boening, Claus W./B-1686-2012; Palter, Jaime B/B-9484-2011; Zhang, Xuebin/A-3405-2012; Bates, Susan C/G-5089-2017</t>
  </si>
  <si>
    <t>Durack, Paul James/0000-0003-2835-1438; Schwarzkopf, Franziska/0000-0002-2747-8456; Marsland, Simon J/0000-0002-5664-5276; Biastoch, Arne/0000-0003-3946-4390; Griffies, Stephen Matthew/0000-0002-3711-236X; Boening, Claus W/0000-0002-6251-5777; ILICAK, Mehmet/0000-0002-4777-8835; Ilicak, Mehmet/0000-0002-4777-8835; Farneti, Riccardo/0000-0001-7781-6436; MISHRA, AKHILESH/0000-0002-1427-3603; Schröter, Jens G/0000-0002-9240-5798; Boening, Claus/0000-0002-6251-5777; Danilov, Sergey/0000-0001-8098-182X; Domingues, Catia M./0000-0001-5100-4595; Uotila, Petteri/0000-0002-2939-7561; Boening, Claus W./0000-0002-6251-5777; Zhang, Xuebin/0000-0003-1731-3524; Sidorenko, Dmitry/0000-0001-8579-6068; Tseng, Yu-heng/0000-0002-4816-4974; Danabasoglu, Gokhan/0000-0003-4676-2732; Palter, Jaime/0000-0002-2656-8062; Treguier, Anne Marie/0000-0003-4569-845X; Goddard, Paul/0000-0002-4954-8988; Chassignet, Eric/0000-0003-4710-7502; Wang, Qiang/0000-0002-2704-5394</t>
  </si>
  <si>
    <t>US National Science Foundation; Australian Government Department of the Environment; Bureau of Meteorology; CSIRO through the Australian Climate Change Science Programme; BNP-Paribas foundation via the PRE-CLIDE project under the CNRS [30023488]; Regional and Global Climate Modeling Program of the U. S. Department of Energy Office of Science; European Commission's 7th Framework Programme [282672]; NOAA CPO [NA13OAR4310128]; NYU Abu Dhabi grant [G1204]; [DE-AC52-07NA27344]; Natural Environment Research Council [noc010010] Funding Source: researchfish; NERC [noc010010] Funding Source: UKRI</t>
  </si>
  <si>
    <t>US National Science Foundation(National Science Foundation (NSF)); Australian Government Department of the Environment(Australian Government); Bureau of Meteorology(Bureau of Meteorology - Australia); CSIRO through the Australian Climate Change Science Programme; BNP-Paribas foundation via the PRE-CLIDE project under the CNRS; Regional and Global Climate Modeling Program of the U. S. Department of Energy Office of Science; European Commission's 7th Framework Programme(European Union (EU)); NOAA CPO(National Oceanic Atmospheric Admin (NOAA) - USA); NYU Abu Dhabi grant; ; Natural Environment Research Council(UK Research &amp; Innovation (UKRI)Natural Environment Research Council (NERC)); NERC(UK Research &amp; Innovation (UKRI)Natural Environment Research Council (NERC))</t>
  </si>
  <si>
    <t>NCAR is sponsored by the US National Science Foundation. The ACCESS model is supported by the Australian Government Department of the Environment, the Bureau of Meteorology and CSIRO through the Australian Climate Change Science Programme. E. Fernandez was supported by the BNP-Paribas foundation via the PRE-CLIDE project under the CNRS research convention agreement 30023488. P.J. Durack was supported by the Regional and Global Climate Modeling Program of the U. S. Department of Energy Office of Science, and his research was performed at LLNL under Contract DE-AC52-07NA27344. A.M. Treguier acknowledges support of the European Commission's 7th Framework Programme, under Grant Agreement number 282672, EMBRACE project. J. Yin and P. Goddard are supported by NOAA CPO under Grant NA13OAR4310128. D. M. Holland was supported by NYU Abu Dhabi grant G1204.</t>
  </si>
  <si>
    <t>10.1016/j.ocemod.2014.03.004</t>
  </si>
  <si>
    <t>AI0DJ</t>
  </si>
  <si>
    <t>Green Accepted, Green Submitted, Green Published</t>
  </si>
  <si>
    <t>WOS:000336516100003</t>
  </si>
  <si>
    <t>Carter, L; Gavey, R; Tailing, PJ; Liu, JT</t>
  </si>
  <si>
    <t>Carter, Lionel; Gavey, Rachel; Tailing, Peter J.; Liu, James T.</t>
  </si>
  <si>
    <t>Insights into Submarine Geohazards from Breaks in Subsea Telecommunication Cables</t>
  </si>
  <si>
    <t>OCEANOGRAPHY</t>
  </si>
  <si>
    <t>TURBIDITY CURRENTS; FLUVIAL SEDIMENT; TAIWAN; EARTHQUAKE; TYPHOON; EVENTS; FLOWS; INITIATION; DISCHARGE; EPICENTER</t>
  </si>
  <si>
    <t>The original discovery of active submarine landslides and turbidity currents in the deep ocean was made in the 1950s through analysis of breaks in transoceanic communications cables. Further insights regarding the causes, frequency, and behavior of damaging submarine flows are presented here, based on recent disruptions of modern communications cables in the Strait of Luzon off southern Taiwan. In 2006, the Pingtung earthquake triggered landslides and at least three sediment density flows (a general term covering turbidity currents and similar flows). These flows sped down submarine canyons and into the Manila Trench at 12.7-5.6 m s(-1) (45-20 km h(-1)), resulting in 22 cable breaks. In 2009, the cables were again damaged, this time by extreme river discharge associated with Typhoon Morakot. Two cables were damaged during the main flood when debris-charged river waters dived to the seabed and down Gaoping Canyon. A second, more damaging sediment density flow formed three days later when river levels were near normal and seismic activity was low. It is suggested that this second flow resulted from deposited flood sediment that was remobilized possibly by internal wave activity. Further breaks were reported in 2010 and 2012. While historical cable break databases are incomplete, they imply that since at least 1989, density flows capable of breaking cables have been infrequent, but they increased markedly after the 2006 Pingtung earthquake a time that coincided with a transition to more extreme rainfall associated with northward migration of typhoon tracks to Taiwan.</t>
  </si>
  <si>
    <t>[Carter, Lionel] Victoria Univ Wellington, Antarctic Res Ctr, Wellington, New Zealand; [Gavey, Rachel] OMV, Wellington, New Zealand; [Tailing, Peter J.] Natl Oceanog Ctr, Geohazards &amp; Sedimentol Res Grp, Southampton, Hants, England; [Liu, James T.] Natl Sun Yat Sen Univ, Inst Marine Geol &amp; Chem, Kaohsiung 80424, Taiwan</t>
  </si>
  <si>
    <t>Victoria University Wellington; NERC National Oceanography Centre; National Sun Yat Sen University</t>
  </si>
  <si>
    <t>Carter, L (corresponding author), Victoria Univ Wellington, Antarctic Res Ctr, Wellington, New Zealand.</t>
  </si>
  <si>
    <t>lionel.carter@vuw.ac.nz</t>
  </si>
  <si>
    <t>Liu, James/L-6974-2019</t>
  </si>
  <si>
    <t>Gavey, Rachel/0000-0002-1610-1274; Talling, Peter/0000-0001-5234-0398</t>
  </si>
  <si>
    <t>NERC [noc010011] Funding Source: UKRI; Natural Environment Research Council [noc010011] Funding Source: researchfish</t>
  </si>
  <si>
    <t>OCEANOGRAPHY SOC</t>
  </si>
  <si>
    <t>ROCKVILLE</t>
  </si>
  <si>
    <t>P.O. BOX 1931, ROCKVILLE, MD USA</t>
  </si>
  <si>
    <t>1042-8275</t>
  </si>
  <si>
    <t>10.5670/oceanog.2014.40</t>
  </si>
  <si>
    <t>AK9PG</t>
  </si>
  <si>
    <t>Green Accepted, gold, Green Submitted</t>
  </si>
  <si>
    <t>WOS:000338758400010</t>
  </si>
  <si>
    <t>Wojciechowska, W; Lenard, T</t>
  </si>
  <si>
    <t>Wojciechowska, Wladyslawa; Lenard, Tomasz</t>
  </si>
  <si>
    <t>Effect of extremely severe winters on under-ice phytoplankton development in a mesotrophic lake (Eastern Poland)</t>
  </si>
  <si>
    <t>OCEANOLOGICAL AND HYDROBIOLOGICAL STUDIES</t>
  </si>
  <si>
    <t>ice cover; thermal and light conditions; winter phytoplankton biomass; cyanobacteria; flagellate and non-flagellate algae</t>
  </si>
  <si>
    <t>TEMPERATE LAKES; WATER BODIES; SEASONAL SUCCESSION; ANTARCTIC LAKE; COVER; DYNAMICS; COMMUNITIES; SIBERIA; BONNEY</t>
  </si>
  <si>
    <t>The research was carried out in a mesotrophic and dimictic lake during winters with ice cover. In the last forty years, the development of phytoplankton was analyzed in five extreme winter seasons. The studies of phytoplankton characteristics in the water column took into account values of biomass, concentration of chlorophyll-a and species composition, including dominant species. Differences in the vertical distribution of flagellate and non-flagellate species belonging to cyanobacteria and algae were analyzed in the gradient of light and thermal conditions. The phytoplankton biomass was low and vertically differentiated, with the lowest values at the deeper part of the water column. Flagellate species from the group of Cryptophyceae, Chrysophyceae and Dinophyceae were most abundant. Species biodiversity was low but every winter the dominant species represented different taxonomic groups. In some periods, larger non-motile phytoplankton species from green or blue-green algae dominated. The research proved that the development of phytoplankton under the ice cover was limited mainly by light and, to a lesser extent, by temperature.</t>
  </si>
  <si>
    <t>[Wojciechowska, Wladyslawa; Lenard, Tomasz] John Paul II Catholic Univ Lublin, Inst Environm Protect, Dept Bot &amp; Hydrobiol, PL-20708 Lublin, Poland</t>
  </si>
  <si>
    <t>Institute of Environmental Protection - National Research Institute; Catholic University of Lublin</t>
  </si>
  <si>
    <t>Lenard, T (corresponding author), John Paul II Catholic Univ Lublin, Inst Environm Protect, Dept Bot &amp; Hydrobiol, Ul Konstantynow 1H, PL-20708 Lublin, Poland.</t>
  </si>
  <si>
    <t>tomekl@kul.lublin.pl</t>
  </si>
  <si>
    <t>Lenard, Tomasz/T-6344-2018</t>
  </si>
  <si>
    <t>Lenard, Tomasz/0000-0002-0979-7082</t>
  </si>
  <si>
    <t>WALTER DE GRUYTER GMBH</t>
  </si>
  <si>
    <t>GENTHINER STRASSE 13, D-10785 BERLIN, GERMANY</t>
  </si>
  <si>
    <t>1730-413X</t>
  </si>
  <si>
    <t>1897-3191</t>
  </si>
  <si>
    <t>OCEANOL HYDROBIOL ST</t>
  </si>
  <si>
    <t>Oceanol. Hydrobiol. Stud.</t>
  </si>
  <si>
    <t>10.2478/s13545-014-0127-x</t>
  </si>
  <si>
    <t>AK5YA</t>
  </si>
  <si>
    <t>WOS:000338501900005</t>
  </si>
  <si>
    <t>Sha, LB; Jiang, H; Seidenkrantz, MS; Knudsen, KL; Olsen, J; Kuijpers, A; Liu, YG</t>
  </si>
  <si>
    <t>Sha, Longbin; Jiang, Hui; Seidenkrantz, Marit-Solveig; Knudsen, Karen Luise; Olsen, Jesper; Kuijpers, Antoon; Liu, Yanguang</t>
  </si>
  <si>
    <t>A diatom-based sea-ice reconstruction for the Vaigat Strait (Disko Bugt, West Greenland) over the last 5000 yr</t>
  </si>
  <si>
    <t>Diatoms; Sea-ice concentration (SIC); Transfer function; West Greenland; Holocene</t>
  </si>
  <si>
    <t>NORTHERN NORTH-ATLANTIC; SURFACE SEDIMENT ASSEMBLAGES; CANADIAN ARCTIC ARCHIPELAGO; LATE-HOLOCENE; BAFFIN-BAY; ENVIRONMENTAL-CHANGE; IGALIKU-FJORD; ATMOSPHERIC CIRCULATION; BENTHIC FORAMINIFERA; CLIMATE VARIABILITY</t>
  </si>
  <si>
    <t>A diatom-based sea-ice concentration (SIC) transfer function was developed by using 72 surface samples from west of Greenland and around Iceland, and validated against associated modem SIC. Canonical correspondence analysis on surface sediment diatoms and monthly average of SIC indicated that April SIC is the most important environmental factor controlling the distribution of diatoms in the area, justifying the development of a diatombased SIC transfer function. The agreement between reconstructed SIC based on diatoms from West Greenland and the satellite and modelled sea-ice data during the last -75 yr suggests that the diatom-based SIC reconstruction is reliable for studying the palaeoceanography off West Greenland. Relatively warm conditions with a strong influence of the Irminger Current (IC) were indicated for the early part of the record (-5000-3860 cal. yr BP), corresponding in time to the latest part of the Holocene Thermal Maximum. Between 3860 and 1510 cal. yr BP, April SIC oscillated around the mean value (55%) and during the time interval 1510-1120 cal. yr BP and after 650 cal. yr BP was above the mean, indicating more extensive sea-ice cover in Disko Bugt. Agreement between reconstructed April SIC and changes in the diatom species suggests that the sea-ice condition in Disko Bugt was strongly influenced by variations in the relative strength of two components of the West Greenland Current, i.e. the cold East Greenland Current and the relatively warm IC. Further analysis of the reconstructed SIC record suggests that solar radiation may be an important forcing mechanism behind the historic sea-ice changes. (C) 2014 Elsevier B.V. All rights reserved.</t>
  </si>
  <si>
    <t>[Sha, Longbin; Jiang, Hui] E China Normal Univ, Key Lab Geog Informat Sci, Shanghai 200062, Peoples R China; [Sha, Longbin; Seidenkrantz, Marit-Solveig; Knudsen, Karen Luise] Aarhus Univ, Ctr Climate Studies, DK-8000 Aarhus C, Denmark; [Sha, Longbin; Seidenkrantz, Marit-Solveig; Knudsen, Karen Luise] Aarhus Univ, Dept Geosci, Arctic Res Ctr, DK-8000 Aarhus C, Denmark; [Jiang, Hui] E China Normal Univ, State Key Lab Estuarine &amp; Coastal Res, Shanghai 200062, Peoples R China; [Olsen, Jesper] Aarhus Univ, Dept Phys &amp; Astron, DK-8000 Aarhus C, Denmark; [Kuijpers, Antoon] Geol Survey Denmark &amp; Greenland GEUS, DK-1350 Copenhagen, Denmark; [Liu, Yanguang] SOA, Inst Oceanog 1, Key Lab Marine Sedimentol &amp; Environm Geol, Qingdao 266061, Peoples R China</t>
  </si>
  <si>
    <t>East China Normal University; Aarhus University; Aarhus University; East China Normal University; Aarhus University; Geological Survey Of Denmark &amp; Greenland; First Institute of Oceanography, Ministry of Natural Resources</t>
  </si>
  <si>
    <t>Sha, LB (corresponding author), E China Normal Univ, Key Lab Geog Informat Sci, Shanghai 200062, Peoples R China.</t>
  </si>
  <si>
    <t>shalongbin@hotmail.com</t>
  </si>
  <si>
    <t>Olsen, Jesper/F-1656-2013; Liu, Yanguang/AAG-8119-2021; Seidenkrantz, Marit-Solveig/T-7198-2019; Knudsen, Karen Luise/A-4849-2012; Seidenkrantz, Marit-Solveig/A-3451-2012</t>
  </si>
  <si>
    <t>Olsen, Jesper/0000-0002-4445-5520; Liu, Yanguang/0000-0002-4524-2930; Seidenkrantz, Marit-Solveig/0000-0002-1973-5969</t>
  </si>
  <si>
    <t>National Natural Science Foundation of China [41176048, 40976115]; International cooperation project of Chinese Arctic and Antarctic Administration, SOA [IC201309]; 111 project [B08022]; Danish Council for Independent Research [09-072321, 09-069833, 12-126709]; European Union's Seventh Framework programme [243908]; GEUS; Bureau of Mineral Resources in Nuuk; NunaOil, Greenland</t>
  </si>
  <si>
    <t>National Natural Science Foundation of China(National Natural Science Foundation of China (NSFC)); International cooperation project of Chinese Arctic and Antarctic Administration, SOA; 111 project(Ministry of Education, China - 111 Project); Danish Council for Independent Research(Det Frie Forskningsrad (DFF)); European Union's Seventh Framework programme(European Union (EU)); GEUS; Bureau of Mineral Resources in Nuuk; NunaOil, Greenland</t>
  </si>
  <si>
    <t>Core DA06-139G was collected in 2006 during a cruise of RV Dana funded by GEUS, the Bureau of Mineral Resources in Nuuk, and NunaOil, Greenland. We thank the captain and crew for their engagement during the work at sea, and John Boserup (GEUS) for assisting with sediment coring. Kaarina Weckstrom and Camilla S. Andresen are also acknowledged for sharing their data. We acknowledge the financial supports from the National Natural Science Foundation of China (grants 41176048, 40976115), International cooperation project of Chinese Arctic and Antarctic Administration, SOA (grant IC201309) and 111 project (B08022). This paper is also a contribution to the Danish Council for Independent Research, Natural Sciences (FNU) projects Green-Ice (09-072321), TROPOLINK (09-069833) and OCEANHEAT (12-126709). The research leading to these results has received funding from the European Union's Seventh Framework programme (FP7/2007-2013) under grant agreement no. 243908, Past4uture', Climate change - Learning from the past climate. This is Past4Future contribution no.72. Finally, we are grateful to two anonymous referees and the Editor, Prof. Finn Surlyk for the constructive and useful comments, and to Prof. John Anderson for the constructive suggestions and correction of the English text</t>
  </si>
  <si>
    <t>10.1016/j.palaeo.2014.03.028</t>
  </si>
  <si>
    <t>AH9PF</t>
  </si>
  <si>
    <t>WOS:000336473600006</t>
  </si>
  <si>
    <t>Barker, S; Diz, P</t>
  </si>
  <si>
    <t>Barker, Stephen; Diz, Paula</t>
  </si>
  <si>
    <t>Timing of the descent into the last Ice Age determined by the bipolar seesaw</t>
  </si>
  <si>
    <t>SEA-SURFACE TEMPERATURES; OXYGEN ISOTOPIC COMPOSITION; MAJOR GLACIATION CYCLES; CLIMATE-CHANGE; SOUTHERN-OCEAN; ATMOSPHERIC CO2; PLANKTONIC-FORAMINIFERA; DANSGAARD-OESCHGER; OVERTURNING CIRCULATION; ANTARCTIC TEMPERATURE</t>
  </si>
  <si>
    <t>We present planktonic foraminiferal fauna and isotope records from the SE Atlantic that highlight the nature of millennial-scale variability over the last 100 kyr. We derive a hypothesis-driven age model for our records based on the empirical link between variations in Greenland temperature, ocean circulation, and carbonate preservation in the deep SE Atlantic. Our results extend earlier findings of an antiphase (seesaw) relationship between north and south for the largest abrupt events of Marine Isotope Stage (MIS) 3-2 and the last deglaciation. In particular, we find that Heinrich Stadials were paralleled by inferred southward shifts of the thermal Subtropical Front. These were followed by pronounced rebounds of the front with the return to interstadial conditions in the north. Our results also shed light on the mechanism of glaciation. In contrast to the last deglaciation, which was a globally symmetric change superposed by interhemispheric asynchronicity, we find that the descent into full glacial conditions at the onset of MIS 4 (similar to 70 ka) displayed interhemispheric synchrony. We suggest that this globally synchronous descent into glacial MIS 4 was preconditioned by orbital changes, but the timing was ultimately determined by abrupt changes in ocean/atmosphere circulation patterns i.e., the bipolar seesaw.</t>
  </si>
  <si>
    <t>[Barker, Stephen] Cardiff Univ, Sch Earth &amp; Ocean Sci, Cardiff CF10 3AX, S Glam, Wales; [Diz, Paula] Univ Vigo, Dept Xeociencias Marinas &amp; Ordenac Terr, Fac Ciencias Mar, Vigo 36310, Spain</t>
  </si>
  <si>
    <t>Cardiff University; Universidade de Vigo</t>
  </si>
  <si>
    <t>Barker, S (corresponding author), Cardiff Univ, Sch Earth &amp; Ocean Sci, Cardiff CF10 3AX, S Glam, Wales.</t>
  </si>
  <si>
    <t>Barkers3@cardiff.ac.uk</t>
  </si>
  <si>
    <t>Stephen, Barker/C-2770-2009; Diz, Paula/N-3113-2015</t>
  </si>
  <si>
    <t>Diz, Paula/0000-0002-7136-0690; Barker, Stephen/0000-0001-7870-6431</t>
  </si>
  <si>
    <t>NERC (UK) [NE/G004021/1]; National Science Foundation [OCE00-02380]; Office of Naval Research [N00014-02-1-0073]; UK Natural Environment Research Council [NE/G004021/1, NE/F002734/1]; Natural Environment Research Council [NE/G006105/2, NE/F002734/1, NE/G004021/1] Funding Source: researchfish; NERC [NE/G004021/1, NE/G006105/2, NE/F002734/1] Funding Source: UKRI</t>
  </si>
  <si>
    <t>NERC (UK)(UK Research &amp; Innovation (UKRI)Natural Environment Research Council (NERC)); National Science Foundation(National Science Foundation (NSF)); Office of Naval Research(Office of Naval Research);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</si>
  <si>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Planktonic faunal counts were performed by M. Vautravers as part of NERC (UK) project NE/G004021/1. We thank H. Medley for assistance in the laboratory, A. Parnell for advice on the use of Bchron, and S. Heckendorff for advice on ODV. We thank G. Knorr and D. Thornalley for helpful comments. Sample material used in this project was provided by the Lamont-Doherty Earth Observatory Deep-Sea Sample Repository. We thank Rusty Lotty and George Lozefski for their help with sampling. Support for the collection and curating facilities of the core collection is provided by the National Science Foundation through grant OCE00-02380 and the Office of Naval Research through grant N00014-02-1-0073. The work was supported by the UK Natural Environment Research Council (grants NE/F002734/1 and NE/G004021/1) and through a Philip Leverhulme prize to S. B. We thank the Editor (C. Charles), A. Piotrowski and an anonymous reviewer for their thoughtful comments. All data sets presented in this paper are tabulated within the supporting information.</t>
  </si>
  <si>
    <t>10.1002/2014PA002623</t>
  </si>
  <si>
    <t>Green Submitted, hybrid, Green Accepted, Green Published</t>
  </si>
  <si>
    <t>WOS:000340661100002</t>
  </si>
  <si>
    <t>Cook, CP; Hill, DJ; van de Flierdt, T; Williams, T; Hemming, SR; Dolan, AM; Pierce, EL; Escutia, C; Harwood, D; Cortese, G; Gonzales, JJ</t>
  </si>
  <si>
    <t>Cook, C. P.; Hill, D. J.; van de Flierdt, Tina; Williams, T.; Hemming, S. R.; Dolan, A. M.; Pierce, E. L.; Escutia, C.; Harwood, D.; Cortese, G.; Gonzales, J. J.</t>
  </si>
  <si>
    <t>Sea surface temperature control on the distribution of far-traveled Southern Ocean ice-rafted detritus during the Pliocene</t>
  </si>
  <si>
    <t>PRINCE-CHARLES MOUNTAINS; SUBPOLAR NORTH-ATLANTIC; EAST ANTARCTICA; PRYDZ BAY; TECTONIC EVENTS; HEINRICH EVENTS; GROVE MOUNTAINS; NAPIER COMPLEX; ODP SITE-1165; BUNGER HILLS</t>
  </si>
  <si>
    <t>The flux and provenance of ice-rafted detritus (IRD) deposited in the Southern Ocean can reveal information about the past instability of Antarctica's ice sheets during different climatic conditions. Here we present a Pliocene IRD provenance record based on the 40Ar/39Ar ages of ice-rafted hornblende grains from Ocean Drilling Program Site 1165, located near Prydz Bay in the Indian Ocean sector of the Southern Ocean, along with the results of modeled sensitivity tests of iceberg trajectories and their spatial melting patterns under a range of sea surface temperatures (SSTs). Our provenance results reveal that IRD and hence icebergs in the Prydz Bay area were mainly sourced from (i) the local Prydz Bay region and (ii) the remote Wilkes Land margin located at the mouth of the low-lying Aurora Subglacial Basin. A series of IRD pulses, reaching up to 10 times background IRD flux levels, were previously identified at Site 1165 between 3.3 and 3.0 Ma. Our new results reveal that the average proportion of IRD sourced from distal Wilkes Land margin doubles after 3.3 Ma. Our iceberg trajectory-melting models show that slower iceberg melting under cooling SSTs over this middle Pliocene interval allowed Wilkes Land icebergs to travel farther before melting. Hence, declining SSTs can account for a large part of the observed IRD provenance record at Site 1165. In early Pliocene IRD layers, sampled at suborbital resolution around 4.6 Ma, we find evidence for significant increases in icebergs derived from Wilkes Land during very warm interglacials. This is suggestive of large-scale destabilization of the East Antarctic Ice Sheet in the Aurora Subglacial Basin, as far-traveled icebergs would have to overcome enhanced melting in warmer SSTs. Our results highlight the importance of considering SSTs when interpreting IRD flux and provenance records in distal locations.</t>
  </si>
  <si>
    <t>[Cook, C. P.] Univ London Imperial Coll Sci Technol &amp; Med, Grantham Inst Climate Change, London, England; [Cook, C. P.; van de Flierdt, Tina] Univ London Imperial Coll Sci Technol &amp; Med, Dept Earth Sci &amp; Engn, London, England; [Hill, D. J.; Dolan, A. M.] Univ Leeds, Sch Earth &amp; Environm, Leeds, W Yorkshire, England; [Hill, D. J.] British Geol Survey, Nottingham NG12 5GG, England; [Williams, T.; Hemming, S. R.] Lamont Doherty Earth Observ, Palisades, NY USA; [Hemming, S. R.] Columbia Univ, Lamont Doherty Earth Observ, Dept Earth &amp; Environm Sci, Palisades, NY USA; [Pierce, E. L.] Wellesley Coll, Dept Geosci, Wellesley, MA 02181 USA; [Escutia, C.; Gonzales, J. J.] CSIC UGR, Inst Andaluz Ciencias Tierra, Armilla, Spain; [Harwood, D.] Univ Nebraska, Dept Geol, Lincoln, NE USA; [Cortese, G.] GNS Sci, Dept Paleontol, Lower Hutt, New Zealand</t>
  </si>
  <si>
    <t>Imperial College London; Imperial College London; University of Leeds; UK Research &amp; Innovation (UKRI); Natural Environment Research Council (NERC); NERC British Geological Survey; Columbia University; Columbia University; Wellesley College; University of Granada; Consejo Superior de Investigaciones Cientificas (CSIC); CSIC - Instituto Andaluz de Ciencias de la Tierra (IACT); University of Nebraska System; University of Nebraska Lincoln; GNS Science - New Zealand</t>
  </si>
  <si>
    <t>Cook, CP (corresponding author), Univ Florida, Dept Geol Sci, Gainesville, FL 32611 USA.</t>
  </si>
  <si>
    <t>c.cook@ufl.edu</t>
  </si>
  <si>
    <t>Dolan, Aisling M/D-2625-2012; Escutia, Carlota/B-8614-2015</t>
  </si>
  <si>
    <t>Dolan, Aisling/0000-0002-9585-9648; Hill, Daniel/0000-0001-5492-3925; Cortese, Giuseppe/0000-0003-1780-3371; Escutia, Carlota/0000-0002-4932-8619; Hemming, Sidney/0000-0001-8117-2303</t>
  </si>
  <si>
    <t>Grantham Institute for Climate Change; Leverhulme Trust; National Centre for Atmospheric Science; British Geological Survey; NERC UK IODP [NE/H014144/1]; Marie Curie Reintegration grant [IRG 230828]; Royal Society [IE110878]; NSF [ANT 0944489]; Spanish Ministry of Science [CTM2011-24079]; Natural Environment Research Council (NERC); European Research Council under the European Union/ERC [278636]; Office of Polar Programs (OPP); Directorate For Geosciences [0944489] Funding Source: National Science Foundation; NERC [NE/H014144/1, nigl010001] Funding Source: UKRI; Natural Environment Research Council [NE/H014144/1, ncas10009, nigl010001] Funding Source: researchfish</t>
  </si>
  <si>
    <t>Grantham Institute for Climate Change; Leverhulme Trust(Leverhulme Trust); National Centre for Atmospheric Science; British Geological Survey; NERC UK IODP; Marie Curie Reintegration grant(European Union (EU)); Royal Society(Royal Society); NSF(National Science Foundation (NSF)); Spanish Ministry of Science(Spanish Government); Natural Environment Research Council (NERC)(UK Research &amp; Innovation (UKRI)Natural Environment Research Council (NERC)); European Research Council under the European Union/ERC(European Research Council (ERC));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</si>
  <si>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Data presented here are freely available upon request. The authors would like to thank Sandra Passchier for providing data and discussion, Ian Bailey and Nathalie Fagel for constructive reviews, and Heiko Palike for speedy editorial handling. Grant Biggs and William Roberts are acknowledged for providing access to the iceberg model and climate input routines. C. P. Cook thanks the Grantham Institute for Climate Change for a PhD scholarship, K. Kreissig and B. Coles for lab assistance, and the Ocean Drilling Program for providing materials. D.J. Hill acknowledges the Leverhulme Trust for the award of an Early Career Fellowship and the National Centre for Atmospheric Science and the British Geological Survey for financial support. T.v.d. Flierdt acknowledges NERC UK IODP grant (NE/H014144/1) awarded to T.v.d. F. and A. Haywood (Leeds), a Marie Curie Reintegration grant (IRG 230828), and a Royal Society international exchange grant (IE110878) also awarded to S. R. Hemming. T.v.d. Flierdt, S. R. Hemming, and T. Williams also acknowledge NSF grant (ANT 0944489). C. Escutia acknowledges the Spanish Ministry of Science (Innovation grant CTM2011-24079). A. M. D. acknowledges the Natural Environment Research Council (NERC) for the provision of a doctoral training grant and also funding from the European Research Council under the European Union's Seventh Framework Programme (FP7/2007-2013)/ERC grant agreement n 278636.</t>
  </si>
  <si>
    <t>10.1002/2014PA002625</t>
  </si>
  <si>
    <t>WOS:000340661100005</t>
  </si>
  <si>
    <t>Scher, HD; Bohaty, SM; Smith, BW; Munn, GH</t>
  </si>
  <si>
    <t>Scher, Howie D.; Bohaty, Steven M.; Smith, Brian W.; Munn, Gabrielle H.</t>
  </si>
  <si>
    <t>Isotopic interrogation of a suspected late Eocene glaciation</t>
  </si>
  <si>
    <t>ANTARCTIC CIRCUMPOLAR CURRENT; WESTERN BOUNDARY CURRENT; LARGE-SCALE GLACIATION; ICE-SHEET; PRYDZ BAY; ROSS SEA; CARBONATE COMPENSATION; CALCITE COMPENSATION; TECTONIC EVOLUTION; BIPOLAR GLACIATION</t>
  </si>
  <si>
    <t>Ephemeral polar glaciations during the middle-to-late Eocene (48-34 Ma) have been proposed based on far-field ice volume proxy records and near-field glacigenic sediments, although the scale, timing, and duration of these events are poorly constrained. Here we confirm the existence of a transient cool event within a new high-resolution benthic foraminiferal delta O-18 record at Ocean Drilling Program (ODP) Site 738 (Kerguelen Plateau; Southern Ocean). This event, named the Priabonian oxygen isotope maximum (PrOM) Event, lasted similar to 140 kyr and is tentatively placed within magnetochron C17n.1n (similar to 37.3Ma) based on the correlation to ODP Site 689 (Maud Rise, Southern Ocean). A contemporaneous change in the provenance of sediments delivered to the Kerguelen Plateau occurs at the study site, determined from the &lt;63 mu m fraction of decarbonated and reductively leached sediment samples. Changes in the mixture of bottom waters, based on fossil fish tooth epsilon(Nd), were less pronounced and slower relative to the benthic delta O-18 and terrigenous epsilon(Nd) changes. Terrigenous sediment epsilon(Nd) values rapidly shifted to less radiogenic signatures at the onset of the PrOM Event, indicating an abrupt change in provenance favoring ancient sources such as the Paleoproterozoic East Antarctic craton. Bottom water epsilon(Nd) reached a minimum value during the PrOM Event, although the shift begins much earlier than the terrigenous epsilon(Nd) excursion. The origin of the abrupt change in terrigenous sediment provenance is compatible with a change in Antarctic terrigenous sediment flux and/or source as opposed to a reorganization of ocean currents. A change in terrigenous flux and/or source of Antarctic sediments during the oxygen isotope maximum suggests a combination of cooling and ice growth in East Antarctica during the early late Eocene.</t>
  </si>
  <si>
    <t>[Scher, Howie D.; Munn, Gabrielle H.] Univ S Carolina, Dept Earth &amp; Ocean Sci, Columbia, SC 29208 USA; [Bohaty, Steven M.] Univ Southampton, Natl Oceanog Ctr, Southampton, Hants, England; [Smith, Brian W.] Univ S Carolina, Marine Sci Program, Columbia, SC 29208 USA</t>
  </si>
  <si>
    <t>University of South Carolina System; University of South Carolina Columbia; University of Southampton; NERC National Oceanography Centre; University of South Carolina System; University of South Carolina Columbia</t>
  </si>
  <si>
    <t>Scher, HD (corresponding author), Univ S Carolina, Dept Earth &amp; Ocean Sci, Columbia, SC 29208 USA.</t>
  </si>
  <si>
    <t>hscher@geol.sc.edu</t>
  </si>
  <si>
    <t>Scher, Howie/C-4927-2013</t>
  </si>
  <si>
    <t>National Science Foundation [OCE 1155630]</t>
  </si>
  <si>
    <t>The Site 738 stable and radiogenic isotope data generated in this study are available in Tables S1-S3 in the supporting information. This study was made possible by a National Science Foundation grant to HDS (OCE 1155630). Special thanks to Heiko Polike for his editorial handling and to Peter Bijl and an anonymous reviewer for their helpful comments. Contributions from the following persons are gratefully acknowledged: Michael Bizimis (USC) and Brian Romans (VA Tech) for their helpful discussions, Wayne Buckley and Zachary Moffett for their assistance in the lab, and Daniel Miller for producing the maps and tectonic reconstructions. Special thanks also to Joanne Whitaker (U. Sydney) for sharing the updated rotation file for the Indian Ocean and to Douglas Wilson (UCSB) for sharing the gridded file for the preglacial Antarctic topography. We also thank Elizabeth Bair for her analytical and technical support of the USC Center for Elemental Mass Spectrometry. GPlates is a free software that is licensed for distribution under the GNU General Public License v2 (www.gplates.org). Researchers in the EarthByte Project have made GPlates-compatible data available for use with GPlates, some of which were utilized in this study.</t>
  </si>
  <si>
    <t>10.1002/2014PA002648</t>
  </si>
  <si>
    <t>WOS:000340661100011</t>
  </si>
  <si>
    <t>Shaw, JD; Terauds, A; Riddle, MJ; Possingham, HP; Chown, SL</t>
  </si>
  <si>
    <t>Shaw, Justine D.; Terauds, Aleks; Riddle, Martin J.; Possingham, Hugh P.; Chown, Steven L.</t>
  </si>
  <si>
    <t>Antarctica's Protected Areas Are Inadequate, Unrepresentative, and at Risk</t>
  </si>
  <si>
    <t>PLOS BIOLOGY</t>
  </si>
  <si>
    <t>IMPACTS; CONSERVATION; EXTENT</t>
  </si>
  <si>
    <t>Antarctica is widely regarded as one of the planet's last true wildernesses, insulated from threat by its remoteness and declaration as a natural reserve dedicated to peace and science. However, rapidly growing human activity is accelerating threats to biodiversity. We determined how well the existing protected-area system represents terrestrial biodiversity and assessed the risk to protected areas from biological invasions, the region's most significant conservation threat. We found that Antarctica is one of the planet's least protected regions, with only 1.5% of its ice-free area formally designated as specially protected areas. Five of the distinct ice-free ecoregions have no specially designated areas for the protection of biodiversity. Every one of the 55 designated areas that protect Antarctica's biodiversity lies closer to sites of high human activity than expected by chance, and seven lie in high-risk areas for biological invasions. By any measure, including Aichi Target 11 under the Convention on Biological Diversity, Antarctic biodiversity is poorly protected by reserves, and those reserves are threatened.</t>
  </si>
  <si>
    <t>[Shaw, Justine D.; Possingham, Hugh P.] Univ Queensland, Sch Biol Sci, St Lucia, Qld, Australia; [Shaw, Justine D.; Terauds, Aleks; Riddle, Martin J.] Australian Antarctic Div, Dept Environm, Kingston, Tas, Australia; [Chown, Steven L.] Monash Univ, Sch Biol Sci, Clayton, Vic, Australia</t>
  </si>
  <si>
    <t>University of Queensland; Australian Antarctic Division; Monash University</t>
  </si>
  <si>
    <t>Shaw, JD (corresponding author), Univ Queensland, Sch Biol Sci, St Lucia, Qld, Australia.</t>
  </si>
  <si>
    <t>shaw.justine@gmail.com</t>
  </si>
  <si>
    <t>POSSINGHAM, HUGH/R-8310-2019; Chown, Steven/ABD-7646-2021; Terauds, Aleks/A-4991-2010; Possingham, Hugh/B-1337-2008; Chown, Steven/H-3347-2011</t>
  </si>
  <si>
    <t>POSSINGHAM, HUGH/0000-0001-7755-996X; Possingham, Hugh/0000-0001-7755-996X; Chown, Steven/0000-0001-6069-5105; Shaw, Justine/0000-0002-9603-2271; Terauds, Aleks/0000-0001-7804-6648</t>
  </si>
  <si>
    <t>1544-9173</t>
  </si>
  <si>
    <t>1545-7885</t>
  </si>
  <si>
    <t>PLOS BIOL</t>
  </si>
  <si>
    <t>PLoS. Biol.</t>
  </si>
  <si>
    <t>e1001888</t>
  </si>
  <si>
    <t>10.1371/journal.pbio.1001888</t>
  </si>
  <si>
    <t>Biochemistry &amp; Molecular Biology; Biology</t>
  </si>
  <si>
    <t>Biochemistry &amp; Molecular Biology; Life Sciences &amp; Biomedicine - Other Topics</t>
  </si>
  <si>
    <t>AJ8QY</t>
  </si>
  <si>
    <t>WOS:000337972900015</t>
  </si>
  <si>
    <t>Saunders, RA; Collins, MA; Foster, E; Shreeve, R; Stowasser, G; Ward, P; Tarling, GA</t>
  </si>
  <si>
    <t>Saunders, Ryan A.; Collins, Martin A.; Foster, Emma; Shreeve, Rachel; Stowasser, Gabriele; Ward, Peter; Tarling, Geraint A.</t>
  </si>
  <si>
    <t>The trophodynamics of Southern Ocean Electrona (Myctophidae) in the Scotia Sea</t>
  </si>
  <si>
    <t>Myctophidae; Electrona; Feeding ecology; Antarctic krill; Copepod; Scotia Sea</t>
  </si>
  <si>
    <t>KRILL EUPHAUSIA-SUPERBA; FEEDING ECOLOGY; MESOZOOPLANKTON COMMUNITY; APTENODYTES-PATAGONICUS; SEASONAL-VARIATIONS; ANTARCTICA GUNTHER; VERTICAL MIGRATION; MESOPELAGIC FISH; FOOD-WEB; GEORGIA</t>
  </si>
  <si>
    <t>The Scotia Sea is one of the most productive regions of the Southern Ocean, but its surface waters are experiencing a rapid increase in temperature, which may be changing the behaviour and distribution of many myctophids and their prey species. Electrona antarctica and Electrona carlsbergi are two of the most abundant myctophids in the region, but their ecology is poorly understood and their response to ongoing environmental change is difficult to determine. This study investigated spatial and temporal patterns in their abundance, population structure and diets using mid-water trawl nets deployed across the Scotia Sea during spring, summer and autumn. E. antarctica was the most numerically abundant species (0.09-0.21 ind. 1,000 m(-3)), with greatest concentrations occurring in the sea-ice sectors. E. carlsbergi occurred in more northern regions, comprising densities of 0.02-0.11 ind. 1,000 m(-3). There was evidence of seasonal variation in depth distribution, size-related sexual dimorphism and size-specific vertical stratification for both species. Latitudinal trends in sex ratio and female body size were apparent for E. antarctica. Its diet varied between regions, seasons and size classes, but overall, Euphausia superba, Metridia spp. and Themisto gaudichaudii were the dominant prey items. E. carlsbergi appeared not to recruit in the Scotia Sea. Its diet was dominated by copepods, particularly Rhincalanus gigas and Metridia spp., but regional, seasonal and ontogenetic variations were evident. This study contributes to our understanding of how mid-water food webs are structured in the Southern Ocean and their sensitivity to ongoing environmental change.</t>
  </si>
  <si>
    <t>[Saunders, Ryan A.; Foster, Emma; Shreeve, Rachel; Stowasser, Gabriele; Ward, Peter; Tarling, Geraint A.] British Antarctic Survey, Nat Environm Res Council, Cambridge CB3 0ET, England; [Collins, Martin A.] Govt South Georgia &amp; South Sandwich Isl, Stanley, Falkland Island, England</t>
  </si>
  <si>
    <t>Saunders, RA (corresponding author), British Antarctic Survey, Nat Environm Res Council, High Cross,Madingley Rd, Cambridge CB3 0ET, England.</t>
  </si>
  <si>
    <t>ryaund@bas.ac.uk</t>
  </si>
  <si>
    <t>Collins, Martin A/J-8560-2017; , Martin/ABE-6728-2020</t>
  </si>
  <si>
    <t>, Martin/0000-0001-7132-8650; Stowasser, Gabriele/0000-0002-0595-0772</t>
  </si>
  <si>
    <t>10.1007/s00300-014-1480-3</t>
  </si>
  <si>
    <t>WOS:000338278200005</t>
  </si>
  <si>
    <t>Schiaparelli, S; Ghiglione, C; Alvaro, MC; Griffiths, HJ; Linse, K</t>
  </si>
  <si>
    <t>Schiaparelli, Stefano; Ghiglione, Claudio; Alvaro, Maria Chiara; Griffiths, Huw J.; Linse, Katrin</t>
  </si>
  <si>
    <t>Diversity, abundance and composition in macrofaunal molluscs from the Ross Sea (Antarctica): results of fine-mesh sampling along a latitudinal gradient</t>
  </si>
  <si>
    <t>Antarctica; Benthos; Mollusca; Ross Sea; Victoria Land coast; Rauschert dredge</t>
  </si>
  <si>
    <t>VICTORIA-LAND COAST; SPECIES-RICHNESS; SOFT-BOTTOM; MARINE; PATTERNS; SIZE; BIODIVERSITY; COMMUNITIES; ASSEMBLAGES; TRANSECT</t>
  </si>
  <si>
    <t>The Latitudinal Gradient Program (2002-2011) aimed at understanding the marine and terrestrial ecosystems existing along the Victoria Land coast (Ross Sea), an area characterized by strong latitudinal clines in environmental factors. During the program's voyage of the Italian RV Italica in 2004, a fine-mesh towed gear, the Rauschert dredge, was deployed for the first time at 18 stations in four latitudinal distinct shelf areas between similar to 71 degrees S and similar to 74 degrees S. The collected samples contained undescribed species and new records for the Ross Sea from a variety of different marine taxa. Here, we describe the molluscan fauna and investigate evidences for latitudinal effects on molluscan diversity, abundance and assemblage composition. No significant latitudinal trends were detected: while diversity did not vary significantly with latitude, species richness showed an apparent but non-significant decrease with increasing latitude. Beta-diversity was found to be high both within and between latitudinally distinct shelf areas. A large fraction (similar to 20 %) of the collected molluscs corresponded to new species records for the Ross Sea or undescribed species. Rarity in Antarctic molluscan occurrences was confirmed, with singletons (i.e. species represented by only a single individual) accounting for a 22 % and uniques (i.e. species occurring in one sample only) for a 43.5 % of the total presence. Our study of the smaller macrofaunal benthic fraction showed that Antarctic marine research still has far to go to have robust reference baselines to measure possible changes in benthic communities, even in the case of the assumed well-known, well-sampled and well-studied group of Ross Sea shelf molluscs. We advocate the use of fine-mesh trawling gears for routine sampling activities in future Antarctic expeditions to assess the full marine biodiversity.</t>
  </si>
  <si>
    <t>[Schiaparelli, Stefano; Ghiglione, Claudio; Alvaro, Maria Chiara] Univ Genoa, Dept Earth Environm &amp; Life Sci DISTAV, Genoa, Italy; [Schiaparelli, Stefano; Ghiglione, Claudio; Alvaro, Maria Chiara] Univ Genoa, Italian Natl Antarct Museum MNA, Sect Genoa, Genoa, Italy; [Griffiths, Huw J.; Linse, Katrin] British Antarctic Survey, Cambridge CB3 0ET, England</t>
  </si>
  <si>
    <t>University of Genoa; University of Genoa; UK Research &amp; Innovation (UKRI); Natural Environment Research Council (NERC); NERC British Antarctic Survey</t>
  </si>
  <si>
    <t>Schiaparelli, S (corresponding author), Univ Genoa, Dept Earth Environm &amp; Life Sci DISTAV, Genoa, Italy.</t>
  </si>
  <si>
    <t>stefano.schiaparelli@unige.it</t>
  </si>
  <si>
    <t>Griffiths, Huw J/D-4234-2009; Schiaparelli, Stefano/AAI-4024-2020</t>
  </si>
  <si>
    <t>Griffiths, Huw J/0000-0003-1764-223X; Schiaparelli, Stefano/0000-0002-0137-3605; Linse, Katrin/0000-0003-3477-3047</t>
  </si>
  <si>
    <t>NIWA (National Institute of Water and Atmospheric Research); Italian National Antarctic Program (PNRA); PNRA project BAMBi [2010/A1.10]; SCAR-AntEco Science Programme; Natural Environment Research Council [bas0100026] Funding Source: researchfish; NERC [bas0100026] Funding Source: UKRI</t>
  </si>
  <si>
    <t>NIWA (National Institute of Water and Atmospheric Research); Italian National Antarctic Program (PNRA); PNRA project BAMBi; SCAR-AntEco Science Programme; Natural Environment Research Council(UK Research &amp; Innovation (UKRI)Natural Environment Research Council (NERC)); NERC(UK Research &amp; Innovation (UKRI)Natural Environment Research Council (NERC))</t>
  </si>
  <si>
    <t>The authors are grateful to crew of RV Italica for their help and efficiency during the 19th expedition in the Ross Sea, Antarctica. We are indebted to Peter Rehm for the sampling of the Rauschert dredge molluscs. We thank the NIWA (National Institute of Water and Atmospheric Research) and the Italian National Antarctic Program (PNRA) for funding and logistic support. We are indebted to Anne-Nina Lorz (NIWA) and two anonymous referees for their comments and suggestions, which greatly improved the MS. This is CAML contribution #162, PNRA project BAMBi (2010/A1.10) contribution#5 and part of the integrated output from the SCAR-AntEco Science Programme.</t>
  </si>
  <si>
    <t>10.1007/s00300-014-1487-9</t>
  </si>
  <si>
    <t>WOS:000338278200010</t>
  </si>
  <si>
    <t>Navarro, J; Votier, SC; Phillips, RA</t>
  </si>
  <si>
    <t>Navarro, Joan; Votier, Stephen C.; Phillips, Richard A.</t>
  </si>
  <si>
    <t>Diving capabilities of diving petrels</t>
  </si>
  <si>
    <t>Alcids; Convergent evolution; Diving capability; Diving-seabirds; Polar ecosystems; Dive depth; Dive duration</t>
  </si>
  <si>
    <t>SOUTHERN INDIAN-OCEAN; MAXIMUM DIVE DEPTHS; FEEDING ECOLOGY; ILES-KERGUELEN; PACHYPTILA-DESOLATA; HALOBAENA-CAERULEA; BLUE PETRELS; ALLOMETRY; URINATRIX; BEHAVIOR</t>
  </si>
  <si>
    <t>In striking contrast to the general increase in diving ability with body mass in seabirds, amongst the Procellariiformes, the deepest dives appear to be by the smallest species. Here, we use recently developed, miniaturized time depth recorders to provide the first accurate measurement of dive depth and duration in two small Procellariiformes: Common (Pelecanoides urinatrix) and South Georgian diving petrel (P. georgicus), and compare their diving performance in relation to body mass with that of 58 seabirds from four orders. The 20 common and six South Georgia diving petrels in our study dived to considerable depths and for long periods (respective mean +/- SD of 10.5 +/- 4.6 and 18.1 +/- 3.6 m, and 36.4 +/- 9.1 and 44.2 +/- 5.9 s). In relation to body mass, these dives are closely comparable to those of small alcids, which are considered to be diving specialists, and much greater than in closely related petrels. Previous work has shown that diving petrels and small alcids share a number of convergent morphological traits; our data reveal these are manifested in terms of diving ability.</t>
  </si>
  <si>
    <t>[Navarro, Joan] CSIC, ICM, E-08003 Barcelona, Spain; [Votier, Stephen C.] Univ Exeter, Environm &amp; Sustainabil Inst, Penryn TR10 9EZ, Cornwall, England; [Phillips, Richard A.] British Antarctic Survey, NERC, Cambridge CB3 0ET, England</t>
  </si>
  <si>
    <t>Consejo Superior de Investigaciones Cientificas (CSIC); CSIC - Centro Mediterraneo de Investigaciones Marinas y Ambientales (CMIMA); CSIC - Instituto de Ciencias del Mar (ICM); University of Exeter; UK Research &amp; Innovation (UKRI); Natural Environment Research Council (NERC); NERC British Antarctic Survey</t>
  </si>
  <si>
    <t>Navarro, J (corresponding author), CSIC, ICM, Passeig Maritim Barceloneta 37-49, E-08003 Barcelona, Spain.</t>
  </si>
  <si>
    <t>joan@icm.csic.es</t>
  </si>
  <si>
    <t>Votier, Stephen/IUO-0154-2023; Navarro, Joan/C-2119-2009</t>
  </si>
  <si>
    <t>Votier, Stephen/0000-0002-0976-0167; Navarro, Joan/0000-0002-5756-9543</t>
  </si>
  <si>
    <t>NERC Antarctic Funding Initiative; Juan de la Cierva program (Spanish-MINECO); Natural Environment Research Council; NERC [bas0100025] Funding Source: UKRI; Natural Environment Research Council [bas0100025] Funding Source: researchfish</t>
  </si>
  <si>
    <t>NERC Antarctic Funding Initiative(UK Research &amp; Innovation (UKRI)Natural Environment Research Council (NERC)); Juan de la Cierva program (Spanish-MINECO);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</si>
  <si>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extend special thanks to Ruth Brown, Stacey Adlard and Jaume Forcada for their fieldwork support and to Norman Ratcliffe and Akiko Kato for their help with dive analyses. The NERC Antarctic Funding Initiative provided financial and logistic support. JN was supported by a postdoctoral contract of the Juan de la Cierva program (Spanish-MINECO). This study is part of the British Antarctic Survey Polar Science for Planet Earth Programme, funded by The Natural Environment Research Council.</t>
  </si>
  <si>
    <t>10.1007/s00300-014-1483-0</t>
  </si>
  <si>
    <t>WOS:000338278200013</t>
  </si>
  <si>
    <t>Turner, J; Barrand, NE; Bracegirdle, TJ; Convey, P; Hodgson, DA; Jarvis, M; Jenkins, A; Marshall, G; Meredith, MP; Roscoe, H; Shanklin, J; French, J; Goosse, H; Guglielmin, M; Gutt, J; Jacobs, S; Kennicutt, MC; Masson-Delmotte, V; Mayewski, P; Navarro, F; Robinson, S; Scambos, T; Sparrow, M; Summerhayes, C; Speer, K; Klepikov, A</t>
  </si>
  <si>
    <t>Turner, John; Barrand, Nicholas E.; Bracegirdle, Thomas J.; Convey, Peter; Hodgson, Dominic A.; Jarvis, Martin; Jenkins, Adrian; Marshall, Gareth; Meredith, Michael P.; Roscoe, Howard; Shanklin, Jon; French, John; Goosse, Hugues; Guglielmin, Mauro; Gutt, Julian; Jacobs, Stan; Kennicutt, Marlon C., II; Masson-Delmotte, Valerie; Mayewski, Paul; Navarro, Francisco; Robinson, Sharon; Scambos, Ted; Sparrow, Mike; Summerhayes, Colin; Speer, Kevin; Klepikov, Alexander</t>
  </si>
  <si>
    <t>Antarctic climate change and the environment: an update</t>
  </si>
  <si>
    <t>PINE ISLAND GLACIER; KING GEORGE ISLAND; SOUTHERN-OCEAN; SEA-ICE; HOLOCENE CLIMATE; ECOLOGICAL RELEVANCE; TEMPERATURE LIMITS; PENINSULA SHELF; CHANGE IMPACTS; POTENTIAL ROLE</t>
  </si>
  <si>
    <t>We present an update of the 'key points' from the Antarctic Climate Change and the Environment (ACCE) report that was published by the Scientific Committee on Antarctic Research (SCAR) in 2009. We summarise subsequent advances in knowledge concerning how the climates of the Antarctic and Southern Ocean have changed in the past, how they might change in the future, and examine the associated impacts on the marine and terrestrial biota. We also incorporate relevant material presented by SCAR to the Antarctic Treaty Consultative Meetings, and make use of emerging results that will form part of the Intergovernmental Panel on Climate Change (IPCC) Fifth Assessment Report.</t>
  </si>
  <si>
    <t>[Turner, John; Barrand, Nicholas E.; Bracegirdle, Thomas J.; Convey, Peter; Hodgson, Dominic A.; Jarvis, Martin; Jenkins, Adrian; Marshall, Gareth; Meredith, Michael P.; Roscoe, Howard; Shanklin, Jon] British Antarctic Survey, Cambridge CB3 0ET, England; [French, John] Australian Antarctic Div, Kingston, Tas 7050, Australia; [Goosse, Hugues] Catholic Univ Louvain, B-1348 Louvain, Belgium; [Guglielmin, Mauro] Univ Insubria, I-21100 Varese, Italy; [Gutt, Julian] Helmholtz Ctr Polar &amp; Marine Res, Alfred Wegener Inst, D-27515 Bremerhaven, Germany; [Jacobs, Stan] Columbia Univ, New York, NY 10027 USA; [Kennicutt, Marlon C., II] Texas A&amp;M Univ, College Stn, TX 77843 USA; [Masson-Delmotte, Valerie] LSCE, F-91191 Gif Sur Yvette, France; [Mayewski, Paul] Univ Maine, Climate Change Inst, Orono, ME USA; [Navarro, Francisco] Tech Univ Madrid, Madrid 28040, Spain; [Robinson, Sharon] Univ Wollongong, Inst Conservat Biol &amp; Environm Management, Dept Biol Sci, Wollongong, NSW 2522, Australia; [Scambos, Ted] US Natl Snow &amp; Ice Data Ctr, Boulder, CO 80303 USA; [Sparrow, Mike; Summerhayes, Colin] Univ Cambridge, Scott Polar Res Inst, Cambridge CB2 1ER, England; [Speer, Kevin] Florida State Univ, Ft Lauderdale, FL 33301 USA; [Klepikov, Alexander] Arctic &amp; Antarctic Res Inst, St Petersburg 199397, Russia</t>
  </si>
  <si>
    <t>UK Research &amp; Innovation (UKRI); Natural Environment Research Council (NERC); NERC British Antarctic Survey; Australian Antarctic Division; Universite Catholique Louvain; University of Insubria; Helmholtz Association; Alfred Wegener Institute, Helmholtz Centre for Polar &amp; Marine Research; Columbia University; Texas A&amp;M University System; Texas A&amp;M University College Station; CEA; Centre National de la Recherche Scientifique (CNRS); Universite Paris Saclay; University of Maine System; University of Maine Orono; Universidad Politecnica de Madrid; University of Wollongong; University of Cambridge; State University System of Florida; Florida State University; Arctic &amp; Antarctic Research Institute</t>
  </si>
  <si>
    <t>Turner, J (corresponding author), British Antarctic Survey, Madingley Rd, Cambridge CB3 0ET, England.</t>
  </si>
  <si>
    <t>jtu@bas.ac.uk</t>
  </si>
  <si>
    <t>Jenkins, Adrian/IUN-2406-2023; Navarro, Francisco/L-2941-2014; Masson-Delmotte, Valerie L/G-1995-2011; Mayewski, Paul Andrew/HRD-6969-2023; Bracegirdle, Tom/AAD-6060-2020; Convey, Peter/AAV-5728-2020; Robinson, Sharon/B-2683-2008</t>
  </si>
  <si>
    <t>Navarro, Francisco/0000-0002-5147-0067; Masson-Delmotte, Valerie L/0000-0001-8296-381X; Convey, Peter/0000-0001-8497-9903; Robinson, Sharon/0000-0002-7130-9617; Gutt, Julian/0000-0003-3773-9370; Meredith, Michael/0000-0002-7342-7756; Jenkins, Adrian/0000-0002-9117-0616; Barrand, Nicholas/0000-0003-4428-1863; Turner, John/0000-0002-6111-5122; French, John/0000-0001-9305-6190; Bracegirdle, Thomas/0000-0002-8868-4739; SCAMBOS, Ted A./0000-0003-4268-6322</t>
  </si>
  <si>
    <t>NERC [bas0100028, bas0100023, bas0100024] Funding Source: UKRI; Natural Environment Research Council [bas0100024, bas0100023, bas0100028] Funding Source: researchfish; Directorate For Geosciences; Office of Polar Programs (OPP) [0837883] Funding Source: National Science Foundation; Office of Polar Programs (OPP); Directorate For Geosciences [1042883]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</si>
  <si>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</si>
  <si>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10.1017/S0032247413000296</t>
  </si>
  <si>
    <t>WOS:000337752900002</t>
  </si>
  <si>
    <t>Fang, NY; Lee, J; Yin, SJ; Wang, W; Wang, ZJ; Yang, JM; Qian, GY; Si, YX; Park, YD</t>
  </si>
  <si>
    <t>Fang, Nai-Yun; Lee, Jinhyuk; Yin, Shang-Jun; Wang, Wei; Wang, Zhi-Jiang; Yang, Jun-Mo; Qian, Guo-Ying; Si, Yue-Xiu; Park, Yong-Doo d</t>
  </si>
  <si>
    <t>Effects of osmolytes on arginine kinase from Euphausia superba: A study on thermal denaturation and aggregation</t>
  </si>
  <si>
    <t>PROCESS BIOCHEMISTRY</t>
  </si>
  <si>
    <t>Euphausia superba; Arginine kinase; Thermal denaturation; Osmolytes; RACE; Docking simulations</t>
  </si>
  <si>
    <t>BETA-D-GLUCOSAMINIDASE; CREATINE-KINASE; ANTARCTIC KRILL; PROTEIN; PURIFICATION; WATER; EVOLUTION; SYSTEMS; MUSCLE; ACID</t>
  </si>
  <si>
    <t>Investigations of energy-related enzymatic properties may provide valuable information about the mechanisms that are involved in the adaptation to extreme climatic environments. The protective effects of osmolytes on the thermal denaturation and aggregation of arginine kinase from E. superba (ESAK) was investigated. When the concentration of glycine, proline and glycerol increased, the relative activation was significantly enhanced, while the aggregation of ESAK during thermal denaturation was decreased. Spectrofluorometry results showed that the presence of these three osmolytes significantly decreased the tertiary structural changes of ESAK and that thermal denaturation directly induced ESAK aggregation. The results demonstrated that glycine, proline and glycerol not only prevented ESAK from inactivation and unfolding but also inhibited aggregation by stabilizing the ESAK conformation. We measured the ORF gene sequence of ESAK by RACE, and built the 3D structure of ESAK and osmolytes by homology models. The results showed that the docking energy was relatively low and that the clustering groups were spread to the surface of ESAK, indicating that osmolytes directly protect the surface of the protein. Our study provides important insight into the protective effects of osmolytes on ESAK folding. (C) 2014 Elsevier Ltd. All rights reserved.</t>
  </si>
  <si>
    <t>[Fang, Nai-Yun; Yin, Shang-Jun; Wang, Wei; Wang, Zhi-Jiang; Qian, Guo-Ying; Si, Yue-Xiu; Park, Yong-Doo d] Zhejiang Wanli Univ, Coll Biol &amp; Environm Sci, Ningbo 315100, Peoples R China; [Lee, Jinhyuk] Korea Res Inst Biosci &amp; Biotechnol, Korean Bioinformat Ctr KOBIC, Taejon 305806, South Korea; [Lee, Jinhyuk] Univ Sci &amp; Technol, Dept Bioinformat, Taejon 305350, South Korea; [Yang, Jun-Mo] Sungkyunkwan Univ, Samsung Med Ctr, Sch Med, Dept Dermatol, Seoul 135710, South Korea; [Park, Yong-Doo d] Tsinghua Univ, Yangtze Delta Reg Inst, Zhejiang Prov Key Lab Appl Enzymol, Jiaxing 314006, Peoples R China</t>
  </si>
  <si>
    <t>Park, YD (corresponding author), Zhejiang Wanli Univ, Coll Biol &amp; Environm Sci, Ningbo 315100, Peoples R China.</t>
  </si>
  <si>
    <t>siyuexiu@hotmail.com; parkyd@hotmail.com</t>
  </si>
  <si>
    <t>Ningbo international cooperation project [2012D10012]; Zhejiang Provincial Top Key Discipline of Modern Microbiology and Application [ZS2012011, ZS2013014]; Innovation Team Project of Ningbo Municipal Science and Technology Bureau [2012B82016]; 624 project; Zhejiang Leading Team of Science and Technology Innovation [2010R50019]; Korea Health Technology R&amp;D Project, Ministry of Health &amp; Welfare, Republic of Korea [HI12C1299]; Samsung Biomedical Research Institute [GL1-B2-181-1]; Korea Research Institute of Bioscience and Biotechnology (KRIBB) Research Initiative Program; Korean Ministry of Education, Science and Technology (MEST) [2012R1A1A2002676]; Pioneer Research Center Program through the National Research Foundation of Korea - Ministry of Science, ICT &amp; Future Planning [2013M3C1A3064780]; Science and Technology Planning Project of Jiaxing [2012AY1041]</t>
  </si>
  <si>
    <t>Ningbo international cooperation project; Zhejiang Provincial Top Key Discipline of Modern Microbiology and Application; Innovation Team Project of Ningbo Municipal Science and Technology Bureau; 624 project; Zhejiang Leading Team of Science and Technology Innovation; Korea Health Technology R&amp;D Project, Ministry of Health &amp; Welfare, Republic of Korea; Samsung Biomedical Research Institute(Samsung); Korea Research Institute of Bioscience and Biotechnology (KRIBB) Research Initiative Program; Korean Ministry of Education, Science and Technology (MEST)(Ministry of Education, Science &amp; Technology (MEST), Republic of Korea); Pioneer Research Center Program through the National Research Foundation of Korea - Ministry of Science, ICT &amp; Future Planning(National Research Foundation of Korea); Science and Technology Planning Project of Jiaxing</t>
  </si>
  <si>
    <t>This study was supported by the Ningbo international cooperation project (No. 2012D10012) and the Zhejiang Provincial Top Key Discipline of Modern Microbiology and Application (No. ZS2012011, No. ZS2013014). Dr. Guo-Ying Qian was supported by the Innovation Team Project of Ningbo Municipal Science and Technology Bureau (No. 2012B82016). Shang-Jun Yin was supported by a grant from the 624 project supported by the Zhejiang Leading Team of Science and Technology Innovation (Team No. 2010R50019). Dr. Jun-Mo Yang was supported by a grant of the Korea Health Technology R&amp;D Project, Ministry of Health &amp; Welfare, Republic of Korea (No. HI12C1299) and by a grant from the Samsung Biomedical Research Institute (GL1-B2-181-1). Dr. Jinhyuk Lee was supported by a grant from the Korea Research Institute of Bioscience and Biotechnology (KRIBB) Research Initiative Program, the Korean Ministry of Education, Science and Technology (MEST) (2012R1A1A2002676), and the Pioneer Research Center Program through the National Research Foundation of Korea funded by the Ministry of Science, ICT &amp; Future Planning (2013M3C1A3064780). Dr. Yong-Doo Park was supported by a fund from the Science and Technology Planning Project of Jiaxing (No. 2012AY1041).</t>
  </si>
  <si>
    <t>1359-5113</t>
  </si>
  <si>
    <t>1873-3298</t>
  </si>
  <si>
    <t>PROCESS BIOCHEM</t>
  </si>
  <si>
    <t>Process Biochem.</t>
  </si>
  <si>
    <t>10.1016/j.procbio.2014.03.019</t>
  </si>
  <si>
    <t>Biochemistry &amp; Molecular Biology; Biotechnology &amp; Applied Microbiology; Engineering, Chemical</t>
  </si>
  <si>
    <t>Biochemistry &amp; Molecular Biology; Biotechnology &amp; Applied Microbiology; Engineering</t>
  </si>
  <si>
    <t>AJ4PQ</t>
  </si>
  <si>
    <t>WOS:000337658700004</t>
  </si>
  <si>
    <t>Trani, M; Falco, P; Zambianchi, E; Sallée, JB</t>
  </si>
  <si>
    <t>Trani, M.; Falco, P.; Zambianchi, E.; Sallee, J. B.</t>
  </si>
  <si>
    <t>Aspects of the Antarctic Circumpolar Current dynamics investigated with drifter data</t>
  </si>
  <si>
    <t>SOUTHERN-OCEAN; EDDY-DIFFUSIVITY; MEAN-FLOW; GULF-STREAM; NORTH-ATLANTIC; MULTIPLE JETS; POLAR FRONT; MIXED-LAYER; TRANSPORT; CIRCULATION</t>
  </si>
  <si>
    <t>Interactions between eddies and mean flow are essential to close the momentum budget of the Southern Ocean, as well as to determine the structure of the global meridional overturning circulation. Both the structure of the Antarctic Circumpolar Current and the eddy dynamics arising at its heart are important for water-mass circulation and global ocean ventilation, and therefore for the global climate. However, the characterization of the eddy fields of heat and momentum are still poorly sampled by direct observations, and are difficult to accurately resolve or parameterize in numerical models. Here we present observation-based eddy statistics and eddy heat flux (EHF) from a consistent dataset, and estimate Southern Ocean surface EHF from direct measurements without any parameterization assumption. Observations obtained from near-surface drifters represent a very useful dataset to analyze the eddy field because of their ability to catch a large number of scales of motion while providing a quasi-synoptic coverage of the investigated area. Differences between winter and summer distributions of mean velocities, mean kinetic energy and eddy kinetic energy are shown to be strongly constrained by bottom topography and suggest a winter shift of the polar front in specific areas around the circumpolar belt. Overall, the flow follows the contours of constant planetary vorticity set by the depth of the ocean, and creates anisotropy in eddy dispersion with maximum dispersion along these contours. Furthermore, eddy-mean flow interactions are strongly influenced by topography, with eddies having a tendency to accelerate jets upstream of ridges, and decelerate them further downstream. These strong regional variabilities introduced by topography affect the flux of heat induced by eddies, and therefore affect formation and subduction of the main surface and intermediate Southern Ocean water masses. Integrated over the Southern Ocean, subduction of water masses induced by EHF appears as an order on component for the Southern Ocean thermocline ventilation. Our results based on direct observations emphasizes, once more, the importance of continuing sustained effort to better represent the effect of mesoscale eddies in a coarse climate model, if we are to represent and predict future climate. (C) 2014 Elsevier Ltd. All rights reserved.</t>
  </si>
  <si>
    <t>[Trani, M.; Falco, P.; Zambianchi, E.] Univ Naples Parthenope, Dept Sci &amp; Technol, Ctr Direzionale, IT-80143 Naples, Italy; [Sallee, J. B.] Univ Paris 06, Univ Sorbonne, CNRS, IRD,MNHN,Lab LOCEAN IPSL, F-75252 Paris 05, France; [Sallee, J. B.] British Antarctic Survey, Cambridge CB3 0ET, England</t>
  </si>
  <si>
    <t>Parthenope University Naples; Institut de Recherche pour le Developpement (IRD); Centre National de la Recherche Scientifique (CNRS); Museum National d'Histoire Naturelle (MNHN); Sorbonne Universite; UK Research &amp; Innovation (UKRI); Natural Environment Research Council (NERC); NERC British Antarctic Survey</t>
  </si>
  <si>
    <t>Trani, M (corresponding author), Univ Naples Parthenope, Dept Sci &amp; Technol, Ctr Direzionale, Isola C4, IT-80143 Naples, Italy.</t>
  </si>
  <si>
    <t>marilisa.trani@uniparthenope.it</t>
  </si>
  <si>
    <t>SALLEE, Jean baptiste/HDO-5355-2022; zambianchi, enrico/KGK-8209-2024; SALLEE, Jean baptiste/A-5837-2010</t>
  </si>
  <si>
    <t>zambianchi, enrico/0000-0001-5474-7466; Falco, Pierpaolo/0000-0002-5130-5440; SALLEE, Jean baptiste/0000-0002-6109-5176</t>
  </si>
  <si>
    <t>CLIMA project of the Italian National Program for Antarctic Research through a (Ph.D. program in Polar Sciences, Siena University); Agence Nationale de la Recherche (ANR) [ANR-12-PDOC-0001]; British Antarctic Survey; Natural Environment Research Council [bas0100028] Funding Source: researchfish; NERC [bas0100028] Funding Source: UKRI; Agence Nationale de la Recherche (ANR) [ANR-12-PDOC-0001] Funding Source: Agence Nationale de la Recherche (ANR)</t>
  </si>
  <si>
    <t>CLIMA project of the Italian National Program for Antarctic Research through a (Ph.D. program in Polar Sciences, Siena University); Agence Nationale de la Recherche (ANR)(Agence Nationale de la Recherche (ANR)); British Antarctic Survey; Natural Environment Research Council(UK Research &amp; Innovation (UKRI)Natural Environment Research Council (NERC)); NERC(UK Research &amp; Innovation (UKRI)Natural Environment Research Council (NERC)); Agence Nationale de la Recherche (ANR)(Agence Nationale de la Recherche (ANR))</t>
  </si>
  <si>
    <t>This work was partly funded by the CLIMA project of the Italian National Program for Antarctic Research through a Ph.D. scholarship to Marilisa Trani (Ph.D. program in Polar Sciences, Siena University). SVP drifter data have been kindly provided by NOAA's Atlantic Oceanographic and Meteorological Laboratory in Miami. JBS received support from Agence Nationale de la Recherche (ANR), ANR-12-PDOC-0001, as well as from the British Antarctic Survey as a BAS Fellow.</t>
  </si>
  <si>
    <t>10.1016/j.pocean.2014.05.001</t>
  </si>
  <si>
    <t>AK4SU</t>
  </si>
  <si>
    <t>WOS:000338415200001</t>
  </si>
  <si>
    <t>Borisova, TD; Blagoveshchenskaya, NF; Kalishin, AS; Kosch, M; Senior, A; Rietveld, MT; Yeoman, TK; Hagstrom, I</t>
  </si>
  <si>
    <t>Borisova, T. D.; Blagoveshchenskaya, N. F.; Kalishin, A. S.; Kosch, M.; Senior, A.; Rietveld, M. T.; Yeoman, T. K.; Hagstrom, I.</t>
  </si>
  <si>
    <t>PHENOMENA IN THE HIGH-LATITUDE IONOSPHERIC F REGION INDUCED BY A HF HEATER WAVE AT FREQUENCIES NEAR THE FOURTH ELECTRON GYROHARMONIC</t>
  </si>
  <si>
    <t>RADIOPHYSICS AND QUANTUM ELECTRONICS</t>
  </si>
  <si>
    <t>STIMULATED ELECTROMAGNETIC EMISSION; MAGNETIC ZENITH; RADIO-WAVES; FEATURES; MAXIMUM; EISCAT</t>
  </si>
  <si>
    <t>We present the results of multi-instrument studies of the phenomena in the high-latitude ionospheric F region stimulated by high-power HF O-mode radio waves injected towards the magnetic zenith when the ratio of the heater frequency to the cutoff frequency of the F-2 layer is near the fourth electron gyroharmonic. Based on the stimulated electromagnetic emission (SEE), spectral observations in the kilohertz and hertz frequency bands of detunings relative to the heater wave frequency, the behaviors of different parameters of the ionospheric plasma and small-scale artificial field-aligned irregularities are compared and analyzed. The coexistence of the thermal (resonance) parametric instability (TPI) and parametric decay (striction) instability (PDI) was found in the vicinity of the fourth gyroresonance harmonic.</t>
  </si>
  <si>
    <t>[Borisova, T. D.; Blagoveshchenskaya, N. F.; Kalishin, A. S.] Arctic &amp; Antarctic Res Inst, St Petersburg 199226, Russia; [Kosch, M.; Senior, A.] Univ Lancaster, Lancaster, England; [Rietveld, M. T.] European Sci Assoc EISCAT, Tromso, Norway; [Yeoman, T. K.] Leyster Univ, Leyster, England; [Hagstrom, I.] Swedish Inst Space Phys, S-98128 Kiruna, Sweden</t>
  </si>
  <si>
    <t>Arctic &amp; Antarctic Research Institute; Lancaster University</t>
  </si>
  <si>
    <t>Borisova, TD (corresponding author), Arctic &amp; Antarctic Res Inst, St Petersburg 199226, Russia.</t>
  </si>
  <si>
    <t>borisova@aari.ru</t>
  </si>
  <si>
    <t>Blagoveshchenskaya, Nataly F./S-4342-2017; Borisova, Tatiana/AAK-7698-2020; Blagoveshchenskaya, Nataly/AAE-4093-2022; Yeoman, Timothy k/L-9105-2014</t>
  </si>
  <si>
    <t>Blagoveshchenskaya, Nataly F./0000-0003-1752-3273; Blagoveshchenskaya, Nataly/0000-0003-1752-3273; Yeoman, Timothy k/0000-0002-8434-4825; Kosch, Michael Jurgen/0000-0003-2846-3915; Borisova, Tatiana/0000-0003-1727-5310; Kalishin, Alexey/0000-0001-7299-6546</t>
  </si>
  <si>
    <t>British Council for Science and Technology [PP/E007929/1, ST/H0022480/1]; Finnish Meteorological Institute; Swedish Institute of Space Physics; NERC [NE/K011766/1] Funding Source: UKRI; STFC [ST/G00241X/1] Funding Source: UKRI; Natural Environment Research Council [NE/K011766/1] Funding Source: researchfish</t>
  </si>
  <si>
    <t>British Council for Science and Technology; Finnish Meteorological Institute; Swedish Institute of Space Physics; NERC(UK Research &amp; Innovation (UKRI)Natural Environment Research Council (NERC)); STFC(UK Research &amp; Innovation (UKRI)Science &amp; Technology Facilities Council (STFC)); Natural Environment Research Council(UK Research &amp; Innovation (UKRI)Natural Environment Research Council (NERC))</t>
  </si>
  <si>
    <t>The authors are grateful to the collaborators of the European Scientific Association for help with the experiments in Tromso (Norway). The system of CUTLASS radars in Finland and Iceland is supported by the British Council for Science and Technology (project PP/E007929/1), Finnish Meteorological Institute and Swedish Institute of Space Physics. T. K. Yeoman was supported by the British Council for Science and Technology (project ST/H0022480/1).</t>
  </si>
  <si>
    <t>0033-8443</t>
  </si>
  <si>
    <t>1573-9120</t>
  </si>
  <si>
    <t>RADIOPHYS QUANT EL+</t>
  </si>
  <si>
    <t>Radiophys. Quantum Electron.</t>
  </si>
  <si>
    <t>Engineering, Electrical &amp; Electronic; Physics, Applied; Physics, Fluids &amp; Plasmas</t>
  </si>
  <si>
    <t>Engineering; Physics</t>
  </si>
  <si>
    <t>AN8XV</t>
  </si>
  <si>
    <t>WOS:000340890200001</t>
  </si>
  <si>
    <t>Pecl, GT; Hobday, AJ; Frusher, S; Sauer, WHH; Bates, AE</t>
  </si>
  <si>
    <t>Pecl, Gretta T.; Hobday, Alistair J.; Frusher, Stewart; Sauer, Warwick H. H.; Bates, Amanda E.</t>
  </si>
  <si>
    <t>Ocean warming hotspots provide early warning laboratories for climate change impacts</t>
  </si>
  <si>
    <t>MARINE; FISHERIES</t>
  </si>
  <si>
    <t>[Pecl, Gretta T.; Frusher, Stewart] Univ Tasmania, Inst Marine &amp; Antarctic Studies, Hobart, Tas 7001, Australia; [Hobday, Alistair J.] CSIRO Marine &amp; Atmospher Res, Hobart, Tas 7001, Australia; [Sauer, Warwick H. H.] Rhodes Univ, Dept Ichthyol &amp; Fisheries Sci, ZA-6140 Grahamstown, South Africa; [Bates, Amanda E.] Univ Southampton, Natl Oceanog Ctr Southampton, Southampton SO14 3ZH, Hants, England</t>
  </si>
  <si>
    <t>University of Tasmania; Commonwealth Scientific &amp; Industrial Research Organisation (CSIRO); Rhodes University; NERC National Oceanography Centre; University of Southampton</t>
  </si>
  <si>
    <t>Pecl, GT (corresponding author), Univ Tasmania, Inst Marine &amp; Antarctic Studies, Private Bag 49, Hobart, Tas 7001, Australia.</t>
  </si>
  <si>
    <t>Gretta.Pecl@utas.edu.au</t>
  </si>
  <si>
    <t>Pecl, Gretta/D-7267-2011; Sauer, Warwick/GJI-2267-2022; Bates, Amanda E./ABD-6874-2021; Hobday, Alistair/A-1460-2012; Frusher, Stewart/G-5117-2014</t>
  </si>
  <si>
    <t>Pecl, Gretta/0000-0003-0192-4339; Sauer, Warwick/0000-0002-9756-1757; Bates, Amanda E./0000-0002-0198-4537; Frusher, Stewart/0000-0003-2493-3676</t>
  </si>
  <si>
    <t>10.1007/s11160-014-9355-9</t>
  </si>
  <si>
    <t>WOS:000336285600001</t>
  </si>
  <si>
    <t>Hobday, AJ; Pecl, GT</t>
  </si>
  <si>
    <t>Hobday, Alistair J.; Pecl, Gretta T.</t>
  </si>
  <si>
    <t>Identification of global marine hotspots: sentinels for change and vanguards for adaptation action</t>
  </si>
  <si>
    <t>Climate change impacts; Fisheries adaptation; Food security; Global collaboration; International cooperation; Ocean warming</t>
  </si>
  <si>
    <t>CLIMATE-CHANGE; AUSTRALIAN MARINE; ICE COVER; IMPACTS; OCEAN; BIODIVERSITY; TRENDS; SHIFTS; COASTAL; FISH</t>
  </si>
  <si>
    <t>Major changes consistent with the fingerprint of global warming have been reported for nearly every ecosystem on earth. Recently, studies have moved beyond correlation-based inference to demonstrate mechanistic links between warming and biological responses, particularly in regions experiencing rapid change. However, the assessment of climate change impacts and development of adaptation options that humans can undertake are at the earliest stages, particularly for marine systems. Here, we use trends in ocean temperature to characterize regions that can act as natural laboratories or focal points for early learning. These discrete marine 'hotspots', where ocean warming is fastest, were identified based on 50 years of historical sea surface temperature data. Persistence of these hotspots into the future was evaluated using global climate models. This analysis provides insights and a starting point for scientists aiming to identify key regions of concern with regard to ocean warming, and illustrates a potential approach for considering additional physical drivers of change such as ocean pH or oxygenation. We found that some hotspot regions were of particular concern due to other non-climate stressors. For instance, many of the marine hotspots occur where human dependence on marine resources is greatest, such as south-east Asia and western Africa, and are therefore of critical consideration in the context of food security. Intensive study and development of comprehensive inter-disciplinary networks based on the hotspot regions identified here will allow earliest testing of management and adaptation pathways, facilitating rapid global learning and implementation of adaptation options to cope with future change.</t>
  </si>
  <si>
    <t>[Hobday, Alistair J.] CSIRO Marine &amp; Atmospher Res, Climate Adaptat Flagship, Hobart, Tas 7001, Australia; [Hobday, Alistair J.; Pecl, Gretta T.] Adaptat Res Network Marine Biodivers &amp; Resources, Hobart, Tas, Australia; [Pecl, Gretta T.] Univ Tasmania, Inst Marine &amp; Antarctic Studies, Hobart, Tas 7001, Australia</t>
  </si>
  <si>
    <t>Commonwealth Scientific &amp; Industrial Research Organisation (CSIRO); University of Tasmania</t>
  </si>
  <si>
    <t>Hobday, Alistair/A-1460-2012; Pecl, Gretta/D-7267-2011</t>
  </si>
  <si>
    <t>Pecl, Gretta/0000-0003-0192-4339</t>
  </si>
  <si>
    <t>Australian Marine Adaptation Network; Institute for Marine and Antarctic Science; CSIRO Marine and Atmospheric Research</t>
  </si>
  <si>
    <t>Australian Marine Adaptation Network; Institute for Marine and Antarctic Science; CSIRO Marine and Atmospheric Research(Commonwealth Scientific &amp; Industrial Research Organisation (CSIRO))</t>
  </si>
  <si>
    <t>This work was supported in part by the Australian Marine Adaptation Network, the Institute for Marine and Antarctic Science and CSIRO Marine and Atmospheric Research. Discussion with G. Meyers, P. McIntosh, J. Risbey, P. Oke and M. Pook were valuable in developing the qualitative analysis presented here. GCM projections were downloaded from the IPCC data hosted by PCMDI and processed at CSIRO Marine and Atmospheric Research. Review by S. Condie, S. Frusher, S. Jennings and A. Bates improved the clarity of the final manuscript.</t>
  </si>
  <si>
    <t>10.1007/s11160-013-9326-6</t>
  </si>
  <si>
    <t>WOS:000336285600002</t>
  </si>
  <si>
    <t>Morley, SA; Belchier, M; Sands, C; Barnes, DKA; Peck, LS</t>
  </si>
  <si>
    <t>Morley, S. A.; Belchier, M.; Sands, C.; Barnes, D. K. A.; Peck, L. S.</t>
  </si>
  <si>
    <t>Geographic isolation and physiological mechanisms underpinning species distributions at the range limit hotspot of South Georgia</t>
  </si>
  <si>
    <t>Warming hotspots; Physiological limits; Range shifts; Range edge; Antarctic; Evolutionary history</t>
  </si>
  <si>
    <t>ICEFISH CHAMPSOCEPHALUS-GUNNARI; CLIMATE-CHANGE; THERMAL TOLERANCE; MARINE FISH; SCOTIA SEA; TEMPERATURE; OCEAN; 20TH-CENTURY; RECRUITMENT; PERFORMANCE</t>
  </si>
  <si>
    <t>In order to allocate quotas for sustainable harvests, that account for climate warming, it is important to incorporate species vulnerabilities that will underlie likely changes in population dynamics. Hotspots, regions with rapidly changing climate, are important locations for rapid advances in mechanistic understanding of the factors driving these changes, particularly if they coincide with regions with a high incidence of range limits, such as the sub-Antarctic Island of South Georgia. This archipelago is at the Northern limit of the Southern Ocean and therefore the northern distribution limit for many Southern Ocean shallow water marine species, which are amongst the most sensitive fauna to increasing temperature. At range limits species may either be living close to their physiological limits, or they may have more resistant phenotypes. In case studies, the northern range limit population of the gastropod limpet, Nacella concinna, has greater physiological plasticity at South Georgia than those from further south, allowing them to cope better with the warmer and more variable seasonal temperatures. Bivalve species, however, alter their depth distributions at South Georgia, to avoid the warmer water masses, indicating that they may not be able to cope with the warmer temperatures. Mackerel icefish, Champsocephalus gunnari, has a unique Antarctic trait, the loss of haemoglobin. A combination of temperature driven change in food web structure, and this extreme physiological cold adaptation, may explain why rapid warming at its northern range limit of South Georgia, has prevented stocks fully recovering from over fishing in the 1980s, despite highly conservative management strategies.</t>
  </si>
  <si>
    <t>[Morley, S. A.; Belchier, M.; Sands, C.; Barnes, D. K. A.; Peck, L. S.] British Antarctic Survey, NERC, Cambridge CB3 0ET, England</t>
  </si>
  <si>
    <t>Morley, SA (corresponding author), British Antarctic Survey, NERC, Madingley Rd, Cambridge CB3 0ET, England.</t>
  </si>
  <si>
    <t>Sands, Chester/0000-0003-1028-0328</t>
  </si>
  <si>
    <t>UK Natural Environment Research Council's British Antarctic Survey, Adaptations and physiology program; Natural Environment Research Council [bas0100025] Funding Source: researchfish; NERC [bas0100025] Funding Source: UKRI</t>
  </si>
  <si>
    <t>UK Natural Environment Research Council's British Antarctic Survey, Adaptations and physiology program; Natural Environment Research Council(UK Research &amp; Innovation (UKRI)Natural Environment Research Council (NERC)); NERC(UK Research &amp; Innovation (UKRI)Natural Environment Research Council (NERC))</t>
  </si>
  <si>
    <t>This contribution to the hotspots symposium was funded by the UK Natural Environment Research Council's British Antarctic Survey, Adaptations and physiology program.</t>
  </si>
  <si>
    <t>10.1007/s11160-013-9308-8</t>
  </si>
  <si>
    <t>WOS:000336285600006</t>
  </si>
  <si>
    <t>Frusher, SD; Hobday, AJ; Jennings, SM; Creighton, C; D'Silva, D; Haward, M; Holbrook, NJ; Nursey-Bray, M; Pecl, GT; van Putten, EI</t>
  </si>
  <si>
    <t>Frusher, Stewart D.; Hobday, Alistair J.; Jennings, Sarah M.; Creighton, Colin; D'Silva, Dallas; Haward, Marcus; Holbrook, Neil J.; Nursey-Bray, Melissa; Pecl, Gretta T.; van Putten, E. Ingrid</t>
  </si>
  <si>
    <t>The short history of research in a marine climate change hotspot: from anecdote to adaptation in south-east Australia</t>
  </si>
  <si>
    <t>Engagement; Inter-disciplinary; Fisheries; Climate change</t>
  </si>
  <si>
    <t>TASMANIAN ROCK-LOBSTER; BIODIVERSITY CONSERVATION; JASUS-EDWARDSII; RANGE EXPANSION; PACIFIC-OCEAN; MANAGEMENT; FISHERY; VARIABILITY; IMPACTS; SYSTEM</t>
  </si>
  <si>
    <t>Climate change is not being felt equally around the world. Regions where warming is most rapid will be among those to experience impacts first, will need to develop early responses to these impacts and can provide a guide for management elsewhere. We describe the research history in one such global marine hotspot-south-east Australia-where a number of contentions about the value of hotspots as natural laboratories have been supported, including (1) early reporting of changes (2) early documentation of impacts, and (3) earlier development and promotion of adaptation options. We illustrate a transition from single discipline impacts-focused research to an inter-disciplinary systems view of adaptation research. This transition occurred against a background of change in the political position around climate change and was facilitated by four preconditioning factors. These were: (1) early observations of rapid oceanic change that coincided with (2) biological change which together provided a focus for action, (3) the strong marine orientation and history of management in the region, and (4) the presence of well developed networks. Three case studies collectively show the critical role of inter-disciplinary engagement and stakeholder participation in supporting industry and government adaptation planning.</t>
  </si>
  <si>
    <t>[Frusher, Stewart D.; Haward, Marcus; Holbrook, Neil J.; Pecl, Gretta T.] Univ Tasmania, Inst Marine &amp; Antarctic Studies, Hobart, Tas 7001, Australia; [Frusher, Stewart D.; Hobday, Alistair J.; Jennings, Sarah M.; Haward, Marcus; Holbrook, Neil J.; Nursey-Bray, Melissa; Pecl, Gretta T.; van Putten, E. Ingrid] Adaptat Res Network Marine Biodivers &amp; Resources, Hobart, Tas 7001, Australia; [Hobday, Alistair J.; van Putten, E. Ingrid] CSIRO Marine &amp; Atmospher Res, Climate Adaptat Flagship, Hobart, Tas 7001, Australia; [Jennings, Sarah M.] Univ Tasmania, Sch Econ &amp; Finance, Hobart, Tas 7001, Australia; [Creighton, Colin] Fisheries Res &amp; Dev Corp, Deakin West, ACT 2600, Australia; [D'Silva, Dallas] Fisheries New South Wales Dept Primary Ind, Coffs Harbour, NSW 2450, Australia; [Nursey-Bray, Melissa] Univ Adelaide, Adelaide, SA 5005, Australia</t>
  </si>
  <si>
    <t>University of Tasmania; Commonwealth Scientific &amp; Industrial Research Organisation (CSIRO); University of Tasmania; University of Adelaide</t>
  </si>
  <si>
    <t>Frusher, SD (corresponding author), Univ Tasmania, Inst Marine &amp; Antarctic Studies, Hobart, Tas 7001, Australia.</t>
  </si>
  <si>
    <t>Stewart.Frusher@utas.edu.au</t>
  </si>
  <si>
    <t>Pecl, Gretta/D-7267-2011; Hobday, Alistair/A-1460-2012; Nursey-Bray, Melissa/J-8183-2019; Frusher, Stewart/G-5117-2014; Haward, Marcus/G-3369-2014; Holbrook, Neil/M-7544-2013; Jennings, Sarah/J-7888-2014</t>
  </si>
  <si>
    <t>Pecl, Gretta/0000-0003-0192-4339; Nursey-Bray, Melissa/0000-0002-4121-5177; Frusher, Stewart/0000-0003-2493-3676; Haward, Marcus/0000-0003-4775-0864; Holbrook, Neil/0000-0002-3523-6254; Jennings, Sarah/0000-0002-5760-4193</t>
  </si>
  <si>
    <t>DCCEE; FRDC; NCCARF Marine Network; NCCARF; DAFF; SEAP</t>
  </si>
  <si>
    <t>The authors wish to thank the large number of stakeholders who have participated in the research described in this paper, and the funding agencies who have supported the research approaches, in particular DCCEE, FRDC, the NCCARF Marine Network, NCCARF, DAFF, and SEAP. We are grateful to a large number of colleagues who have also been a part of this learning in south-east Australia and elsewhere. Support from Toni Cracknell in preparation of the manuscript is greatly appreciated.</t>
  </si>
  <si>
    <t>10.1007/s11160-013-9325-7</t>
  </si>
  <si>
    <t>WOS:000336285600012</t>
  </si>
  <si>
    <t>Green, BS; Gardner, C; Hochmuth, JD; Linnane, A</t>
  </si>
  <si>
    <t>Green, Bridget S.; Gardner, Caleb; Hochmuth, Jennifer D.; Linnane, Adrian</t>
  </si>
  <si>
    <t>Environmental effects on fished lobsters and crabs</t>
  </si>
  <si>
    <t>Catchability; Crabs; Lobsters; Temperature; Salinity; pH; Oxygen; Swell; Lunar cycle</t>
  </si>
  <si>
    <t>WESTERN ROCK LOBSTER; ANTHROPOGENIC OCEAN ACIDIFICATION; PANULIRUS-CYGNUS FISHERY; CANCER-IRRORATUS LARVAE; CLIMATE-INDUCED CHANGES; SCYLLA-SERRATA FORSKAL; LONG-ISLAND SOUND; RED KING CRAB; HOMARUS-AMERICANUS; SPINY LOBSTER</t>
  </si>
  <si>
    <t>The fisheries for crabs and lobsters (Reptantia, Decapoda) are shaped by environmental variation through the distribution ecology, productivity or even their market traits such as colour and size. Many crabs and lobsters have a wide latitudinal distribution and therefore are exposed to significant abiotic gradients throughout their geographic range. Environmental factors affect reptantians throughout their complex life cycle, including embryo development, timing and length of the spawning period, the duration and quality of the larval stages, the level and spatial distribution of the settlement, growth rates and size of the juveniles, size at maturity, and catchability. The most consistent environmental response is of growth and reproduction to temperature. Growth rates increase with increasing temperatures in a parabolic function, tapering and then declining as the boundaries of thermal tolerance are reached. With increasing temperature the intermoult duration decreases. Once the upper thermal boundary is reached, increases in temperature result in longer intermoult duration and smaller growth increments so that growth is reduced. Declines in temperature generally suppress moulting, and consequently reptantians rarely moult in winter. Increasing temperature decreases the time for egg incubation, larval development and the maturational age. Catchability increases with water temperature and also varies, although less predictably, with moon phase and wind strength. Catchability decreases with an increase in population density. Larval settlement of many reptantian species depends on current strength, increasing with the strength of certain local currents. Reptantians can tolerate a wide-variety of conditions and have flexible life-histories to respond to conditions throughout their broad geographic ranges. Information on environmental effects on reptantians not only assists in understanding probable effects of ocean warming and acidification, but also seasonal and interannual changes in fisheries production.</t>
  </si>
  <si>
    <t>[Green, Bridget S.; Gardner, Caleb] Univ Tasmania, Inst Marine &amp; Antarctic Studies, Hobart, Tas, Australia; [Hochmuth, Jennifer D.] Univ Ghent, Lab Environm Toxicol &amp; Aquat Ecol, B-9000 Ghent, Belgium; [Linnane, Adrian] South Australian Res &amp; Dev Inst Aquat Sci, West Beach, SA, Australia</t>
  </si>
  <si>
    <t>University of Tasmania; Ghent University</t>
  </si>
  <si>
    <t>Green, BS (corresponding author), Univ Tasmania, Inst Marine &amp; Antarctic Studies, Hobart, Tas, Australia.</t>
  </si>
  <si>
    <t>bridget.green@utas.edu.au</t>
  </si>
  <si>
    <t>Green, Bridget S/G-3368-2014; Gardner, Caleb/I-7086-2013</t>
  </si>
  <si>
    <t>Gardner, Caleb/0000-0003-0324-4337; Hochmuth, Jennifer D./0009-0003-6776-8540</t>
  </si>
  <si>
    <t>Australian Government Fisheries Research and Development Commission [2009/047]</t>
  </si>
  <si>
    <t>Australian Government Fisheries Research and Development Commission(Fisheries R&amp;D Corp)</t>
  </si>
  <si>
    <t>We thank John Feenstra for help with the section on catchability. This research was funded by the Australian Government Fisheries Research and Development Commission Grant 2009/047. Our colleagues on this grant contributed to the structure and planning of this review. We would like to thank Gro van der Meeran and Gretta Pecl for constructive and comprehensive reviews of this manuscript.</t>
  </si>
  <si>
    <t>10.1007/s11160-014-9350-1</t>
  </si>
  <si>
    <t>WOS:000336285600013</t>
  </si>
  <si>
    <t>Atkinson, A; Hill, SL; Barange, M; Pakhomov, EA; Raubenheimer, D; Schmidt, K; Simpson, SJ; Reiss, C</t>
  </si>
  <si>
    <t>Atkinson, Angus; Hill, Simeon L.; Barange, Manuel; Pakhomov, Evgeny A.; Raubenheimer, David; Schmidt, Katrin; Simpson, Stephen J.; Reiss, Christian</t>
  </si>
  <si>
    <t>Sardine cycles, krill declines, and locust plagues: revisiting 'wasp-waist' food webs</t>
  </si>
  <si>
    <t>TRENDS IN ECOLOGY &amp; EVOLUTION</t>
  </si>
  <si>
    <t>HUMBOLDT CURRENT ECOSYSTEM; NATURAL GROWTH-RATES; ANTARCTIC KRILL; EUPHAUSIA-SUPERBA; COLLECTIVE MOVEMENT; SOUTHERN BENGUELA; MARINE ECOSYSTEM; SINKING RATES; FECAL PELLETS; SCOTIA SEA</t>
  </si>
  <si>
    <t>'Wasp-waist' systems are dominated by a mid trophic-level species that is thought to exert top-down control on its food and bottom-up control on its predators. Sardines, anchovy, and Antarctic krill are suggested examples, and here we use locusts to explore whether the wasp-waist concept also applies on land. These examples also display the traits of mobile aggregations and dietary diversity, which help to reduce the foraging footprint from their large, localised biomasses. This suggests that top-down control on their food operates at local aggregation scales and not at wider scales suggested by the original definition of wasp-waist. With this modification, the wasp-waist framework can cross-fertilise marine and terrestrial approaches, revealing how seemingly disparate but economically important systems operate.</t>
  </si>
  <si>
    <t>[Atkinson, Angus; Barange, Manuel] Plymouth Marine Lab, Prospect Pl, Plymouth PL1 3DH, Devon, England; [Hill, Simeon L.; Schmidt, Katrin] British Antarctic Survey, Nat Environm Res Council, Cambridge CB3 0ET, England; [Pakhomov, Evgeny A.] Univ British Columbia, Dept Earth &amp; Ocean Sci, Vancouver, BC V6T 1Z4, Canada; [Raubenheimer, David; Simpson, Stephen J.] Univ Sydney, Sch Biol Sci, Sydney, NSW 2006, Australia; [Raubenheimer, David; Simpson, Stephen J.] Univ Sydney, Charles Perkins Ctr, Sydney, NSW 2006, Australia; [Raubenheimer, David] Univ Sydney, Fac Vet Sci, Sydney, NSW 2006, Australia; [Reiss, Christian] NOAA Fisheries, Antarctic Ecosyst Res Div, Southwest Fisheries Sci Ctr, La Jolla, CA 92037 USA</t>
  </si>
  <si>
    <t>Plymouth Marine Laboratory; UK Research &amp; Innovation (UKRI); Natural Environment Research Council (NERC); NERC British Antarctic Survey; University of British Columbia; University of Sydney; University of Sydney; University of Sydney; National Oceanic Atmospheric Admin (NOAA) - USA</t>
  </si>
  <si>
    <t>Atkinson, A (corresponding author), Plymouth Marine Lab, Prospect Pl, Plymouth PL1 3DH, Devon, England.</t>
  </si>
  <si>
    <t>aat@pml.ac.uk</t>
  </si>
  <si>
    <t>Simpson, Stephen J/C-8392-2009; Atkinson, Angus/HOH-3417-2023; Simeon, Hill L/B-2307-2008; Barange, Manuel/D-2689-2016</t>
  </si>
  <si>
    <t>Barange, Manuel/0000-0002-1508-0483; Simpson, Stephen J./0000-0003-0256-7687; Raubenheimer, David/0000-0001-9050-1447</t>
  </si>
  <si>
    <t>Natural Environment Research Council [pml010007, pml010009, pml010004] Funding Source: researchfish; NERC [pml010009, pml010004, pml010007] Funding Source: UKRI</t>
  </si>
  <si>
    <t>ELSEVIER SCIENCE LONDON</t>
  </si>
  <si>
    <t>84 THEOBALDS RD, LONDON WC1X 8RR, ENGLAND</t>
  </si>
  <si>
    <t>0169-5347</t>
  </si>
  <si>
    <t>1872-8383</t>
  </si>
  <si>
    <t>TRENDS ECOL EVOL</t>
  </si>
  <si>
    <t>Trends Ecol. Evol.</t>
  </si>
  <si>
    <t>10.1016/j.tree.2014.03.011</t>
  </si>
  <si>
    <t>Ecology; Evolutionary Biology; Genetics &amp; Heredity</t>
  </si>
  <si>
    <t>Environmental Sciences &amp; Ecology; Evolutionary Biology; Genetics &amp; Heredity</t>
  </si>
  <si>
    <t>AI4YY</t>
  </si>
  <si>
    <t>WOS:000336873800006</t>
  </si>
  <si>
    <t>van der Winden, J; Fijn, RC; van Horssen, PW; Gerritsen-Davidse, D; Piersma, T</t>
  </si>
  <si>
    <t>van der Winden, Jan; Fijn, Ruben C.; van Horssen, Peter W.; Gerritsen-Davidse, Debby; Piersma, Theunis</t>
  </si>
  <si>
    <t>Idiosyncratic Migrations of Black Terns (Chlidonias niger): Diversity in Routes and Stopovers</t>
  </si>
  <si>
    <t>WATERBIRDS</t>
  </si>
  <si>
    <t>Africa; Black Tern; Chlidonias niger; geolocator; staging strategies; travel distances</t>
  </si>
  <si>
    <t>STERNA-PARADISAEA; SAHARA; BIRDS</t>
  </si>
  <si>
    <t>By 2013, six of 27 Black Terns (Chlidonias niger) from four Dutch colonies that had received light level geolocators in 2010-2011 had been recaptured. All six recovered individuals migrated to West Africa, but whereas one individual flew there nonstop, the others made stops of varying length en route. These included flights of 2,000-6,000 km between major stopovers, achieving travel speeds over 1,000 km/day. In addition to the single previously known postbreeding stopover, Lake Usselmeer, this work revealed postbreeding stopovers at the Alboran Sea, the seas near the Canary Islands and at the Banc d'Arguin, Mauritania. Staging durations varied between 2 and 35 days, and the longer the staging took, the longer the subsequent flights were. In the West African nonbreeding region, the Black Terns with geolocators staged at the Banc d'Arguin, the marine continental edge seas between Senegal and Liberia, and the Gulf of Guinea, or went as far south as the Benguela Current off Namibia. Most birds spent most of their time far offshore. Northward migration for the three birds with active geolocators took 38-39 days with staging episodes near the Canary Islands and in the Mediterranean west of Italy. One individual crossed the Sahara from Senegal to northern Algeria in 3 days. After arrival in Europe, travel speeds were lower than when in transit from West Africa. Even with a sample size of six, we showed that Black Terns are long-distance migrants with substantial individual variation in migration patterns, including the use of staging sites, stopover times and travel distances. The variation in itineraries may imply that the distribution of the marine resources they rely on are relatively unpredictable. It remains to be seen whether the variability seen here reflects differences in otherwise fixed individual strategies or whether Black Terns are truly highly flexible.</t>
  </si>
  <si>
    <t>[van der Winden, Jan; Fijn, Ruben C.; van Horssen, Peter W.] Bur Waardenburg, Sect Bird Ecol, NL-4100 AJ Culemborg, Netherlands; [Gerritsen-Davidse, Debby] Landschapsbeheer Zuid Holland, NL-2611 CG Delft, Netherlands; [Piersma, Theunis] Univ Groningen, Ctr Ecol &amp; Evolutionary Studies, Anim Ecol Grp, Chair Global Flyway Ecol, NL-9700 CC Groningen, Netherlands; [Piersma, Theunis] NIOZ Royal Netherlands Inst Sea Res, Dept Marine Ecol, NL-1790 AB Den Burg, Netherlands</t>
  </si>
  <si>
    <t>University of Groningen; Utrecht University; Royal Netherlands Institute for Sea Research (NIOZ)</t>
  </si>
  <si>
    <t>van der Winden, J (corresponding author), Bur Waardenburg, Sect Bird Ecol, POB 365, NL-4100 AJ Culemborg, Netherlands.</t>
  </si>
  <si>
    <t>jvdwinden@hetnet.nl</t>
  </si>
  <si>
    <t>Piersma, Theunis/D-1871-2012</t>
  </si>
  <si>
    <t>van Horssen, Peter/0000-0002-5449-4697; Fijn, Ruben/0000-0002-6233-2954; Piersma, Theunis/0000-0001-9668-466X</t>
  </si>
  <si>
    <t>geolocators</t>
  </si>
  <si>
    <t>This study is part of a Black Tern conservation program initiated by Landschapsbeheer Zuid-Holland, which partially funded the geolocators. The following farmers are thanked for their dedicated involvement in the project: M. Stolwijk, A. van Eijk, J. Verduijn and C. van de Bas. P. van den Ring and T. de Bruijn (Waterschap Rivierenland) and W. Reinink (Zuid-Hollands Landschap) allowed us to work on their properties. The following volunteers assisted with the project: M. Kruk, R. Meijer, A. Clements, C. Stam, A. Kooij, H. Borsje, J. Schoonderwoerd, J. Vlot, fam van Dijk, L. Kromwijk, J. den Hollander, and J. van Doom. C. Camphuysen is thanked for information about offshore areas near Mauritania. B. de Bruijn (Vogelbescherming Nederland) provided funding for data analysis. M. Poot assisted with field work and discussions. H. van der Jeugd (Vogeltrekstadon Netherlands) supplied band recovery data of Dutch Black Terns. R. Phillips (British Antarctic Survey) provided geolocators and advised during the analysis phase of this study. Three anonymous referees are thanked for their useful suggestions. The study is executed according to Dutch laws on bird capture and handling (bird capture and banding licence 936, Vogeltrekstation, Dutch Institute for Ecology, Wageningen).</t>
  </si>
  <si>
    <t>WATERBIRD SOC</t>
  </si>
  <si>
    <t>NATL MUSEUM NATURAL HISTORY SMITHSONIAN INST, WASHINGTON, DC 20560 USA</t>
  </si>
  <si>
    <t>1524-4695</t>
  </si>
  <si>
    <t>1938-5390</t>
  </si>
  <si>
    <t>Waterbirds</t>
  </si>
  <si>
    <t>10.1675/063.037.0205</t>
  </si>
  <si>
    <t>AL4VH</t>
  </si>
  <si>
    <t>WOS:000339132400005</t>
  </si>
  <si>
    <t>Navarro, J; Moreno, R; Braun, L; Sanpera, C; Hennicke, JC</t>
  </si>
  <si>
    <t>Navarro, Joan; Moreno, Rocio; Braun, Lena; Sanpera, Carola; Hennicke, Janos C.</t>
  </si>
  <si>
    <t>Resource partitioning between incubating and chick-rearing brown boobies and red-tailed tropicbirds on Christmas Island</t>
  </si>
  <si>
    <t>ZOOLOGICAL STUDIES</t>
  </si>
  <si>
    <t>Feeding segregation; Stable isotope analysis; Tropical ecosystems; Seabirds</t>
  </si>
  <si>
    <t>TROPICAL SEABIRD COMMUNITY; STABLE-ISOTOPES; FEEDING ECOLOGY; TROPHIC RELATIONSHIPS; PHAETHON-RUBRICAUDA; FORAGING ECOLOGY; INDIAN-OCEAN; CONSTRAINTS; INFORMATION; ALBATROSS</t>
  </si>
  <si>
    <t>Background: In oligotrophic tropical marine environments, the main mechanism explaining the coexistence of sympatric seabirds is segregation by habitat or segregation by prey within the same habitat. Both types of segregation can play a role during the breeding season due to different constraints associated with different phases of the breeding cycle. By using stable isotope analyses, we investigated intra- and interspecific foraging segregation in two tropical seabird species, the red-tailed tropicbird Phaeton rubricauda and the brown booby Sula leucogaster, breeding sympatrically on Christmas Island, Indian Ocean. We compared isotopic values of delta C-13 and delta N-15 in blood from incubating and chick-rearing adults of both species. Results: The results showed small but significantly interspecific and intraspecific differences in delta C-13 and delta N-15 values. Differences in delta C-13 values suggest spatial segregation in the main foraging grounds between the two species during the breeding season as well as between incubating and chick-rearing brown boobies. In contrast, red-tailed tropicbirds probably exploited similar foraging habitats during both breeding stages. delta N-15 values did not indicate diet-related differences, neither within nor between species, suggesting a highly opportunistic feeding behavior to cope with the limited prey available in the oligotrophic marine environment. Conclusions: Competition for prey in breeding red-tailed tropicbirds and brown boobies seems to be reduced by spatial segregation enabling both species to successfully reproduce in sympatry in an oligotrophic tropical marine environment.</t>
  </si>
  <si>
    <t>[Navarro, Joan] CSIC, ICM, E-08003 Barcelona, Spain; [Moreno, Rocio] British Antarctic Survey, NERC, Cambridge CB3 0ET, England; [Moreno, Rocio; Sanpera, Carola] Univ Barcelona, Fac Biol, Dept Biol Anim Vertebrats, E-08028 Barcelona, Spain; [Braun, Lena; Hennicke, Janos C.] Univ Hamburg, Dept Ecol &amp; Conservat Bioctr Grindel, D-20146 Hamburg, Germany; [Hennicke, Janos C.] CNRS, Ctr Etudes Biol Chize, UPR 1934, F-79360 Villiers En Bois, France</t>
  </si>
  <si>
    <t>Consejo Superior de Investigaciones Cientificas (CSIC); CSIC - Centro Mediterraneo de Investigaciones Marinas y Ambientales (CMIMA); CSIC - Instituto de Ciencias del Mar (ICM); UK Research &amp; Innovation (UKRI); Natural Environment Research Council (NERC); NERC British Antarctic Survey; University of Barcelona; University of Hamburg; Centre National de la Recherche Scientifique (CNRS)</t>
  </si>
  <si>
    <t>Navarro, J (corresponding author), CSIC, ICM, P Maritim Barceloneta 37-49, E-08003 Barcelona, Spain.</t>
  </si>
  <si>
    <t>Navarro, Joan/C-2119-2009; Sanpera, Carolina/B-5461-2013</t>
  </si>
  <si>
    <t>Navarro, Joan/0000-0002-5756-9543; Sanpera, Carolina/0000-0002-5198-6514</t>
  </si>
  <si>
    <t>University of Hamburg Research Fund; Christmas Island Tourist Association; Island Explorer Holidays; CI Territory Week Committee; CI Island Care; Generalitat de Catalunya [SGR 2009 963]; Parks Australia North Christmas Island; Natural Environment Research Council [bas0100025] Funding Source: researchfish; NERC [bas0100025] Funding Source: UKRI</t>
  </si>
  <si>
    <t>University of Hamburg Research Fund; Christmas Island Tourist Association; Island Explorer Holidays; CI Territory Week Committee; CI Island Care; Generalitat de Catalunya(Generalitat de Catalunya); Parks Australia North Christmas Island; Natural Environment Research Council(UK Research &amp; Innovation (UKRI)Natural Environment Research Council (NERC)); NERC(UK Research &amp; Innovation (UKRI)Natural Environment Research Council (NERC))</t>
  </si>
  <si>
    <t>The study was conducted within the framework of the Christmas Island Seabird Project (www.seabirdproject.cx), which was supported by the University of Hamburg Research Fund, Christmas Island Tourist Association, Island Explorer Holidays, CI Territory Week Committee, and CI Island Care. We thank Xavier Ruiz for their scientific support to this project. Funding for the analysis was provided by project SGR 2009 963 (Generalitat de Catalunya). Fieldwork was carried out under permission of Parks Australia North Christmas Island and Darwin and was approved by the Animal Ethics Committee of Charles Darwin University, Darwin, Australia. We thank Parks Australia North Christmas Island for their support in all aspects of the study and to M. van der Stap for her help in the field.</t>
  </si>
  <si>
    <t>BIODIVERSITY RESEARCH CENTER, ACAD SINICA</t>
  </si>
  <si>
    <t>TAIPEI</t>
  </si>
  <si>
    <t>128 ACADEMIA RODA, SECTION 2, NANKANG, TAIPEI, 11529, TAIWAN</t>
  </si>
  <si>
    <t>1021-5506</t>
  </si>
  <si>
    <t>1810-522X</t>
  </si>
  <si>
    <t>ZOOL STUD</t>
  </si>
  <si>
    <t>Zool. Stud.</t>
  </si>
  <si>
    <t>10.1186/s40555-014-0027-1</t>
  </si>
  <si>
    <t>AP3QI</t>
  </si>
  <si>
    <t>WOS:000341991400004</t>
  </si>
  <si>
    <t>Hallis, LJ; Ishii, HA; Bradley, JP; Taylor, GJ</t>
  </si>
  <si>
    <t>Hallis, L. J.; Ishii, H. A.; Bradley, J. P.; Taylor, G. J.</t>
  </si>
  <si>
    <t>Transmission electron microscope analyses of alteration phases in martian meteorite MIL 090032</t>
  </si>
  <si>
    <t>ALTERATION ASSEMBLAGES; IGNEOUS ROCKS; NAKHLITE; RANGE; SOILS; MARS; ANTARCTICA; CHEMISTRY; PETROLOGY; BASALT</t>
  </si>
  <si>
    <t>The nakhlite group of martian meteorites found in the Antarctic contain varying abundances of both martian and terrestrial secondary alteration phases. The aim of this study was to use transmission electron microscopy (TEM) to compare martian and terrestrial alteration embodied within a single nakhlite martian meteorite find - MIL 090032. Martian alteration veins in MIL 090032 are composed of poorly ordered Fe-smectite phyllosilicate. This poorly-ordered smectite appears to be equivalent to the nanocrystalline phyllosilicate/hydrated amorphous gel phase previously described in the martian alteration veins of other nakhlites. Chemical differences in this nanocrystalline phyllosilicate between different nakhlites imply localised alteration, which occurred close to the martian surface in MIL 090032. Both structurally and compositionally the nakhlite nanocrystalline phyllosilicate shows similarities to the amorphous/poorly ordered phase recently discovered in martian soil by the Mars Curiosity Rover at Rocknest, Gale Crater. Terrestrially derived alteration phases in MIL 090032 include jarosite and gypsum, amorphous silicates, and Fe-oxides and hydroxides. Similarities between the mineralogy and chemistry of the MIL 090032 terrestrial and martian alteration phases suggest the alteration conditions on Mars were similar to those in the Antarctic. At both sites a small amount of fluid at low temperatures infiltrated the rock and became acidic as a result of the conversion of Fe2+ to Fe3+ under oxidising conditions. (C) 2014 Elsevier Ltd. All rights reserved.</t>
  </si>
  <si>
    <t>[Hallis, L. J.; Taylor, G. J.] Univ Hawaii, Inst Astron, NASA Astrobiol Inst, Honolulu, HI 96822 USA; [Hallis, L. J.; Taylor, G. J.] Univ Hawaii, Hawaii Inst Geophys &amp; Planetol, Honolulu, HI 96822 USA; [Ishii, H. A.; Bradley, J. P.] Lawrence Livermore Natl Lab, Inst Geophys &amp; Planetary Phys, Livermore, CA 94550 USA</t>
  </si>
  <si>
    <t>University of Hawaii System; National Aeronautics &amp; Space Administration (NASA); University of Hawaii System; United States Department of Energy (DOE); Lawrence Livermore National Laboratory</t>
  </si>
  <si>
    <t>Hallis, LJ (corresponding author), Univ Hawaii, Inst Astron, NASA Astrobiol Inst, 2680 Woodlawn Dr, Honolulu, HI 96822 USA.</t>
  </si>
  <si>
    <t>lydh@higp.hawaii.edu</t>
  </si>
  <si>
    <t>Ishii, Hope/JOZ-4512-2023</t>
  </si>
  <si>
    <t>hallis, lydia/0000-0001-6455-8415; Ishii, Hope/0000-0002-7976-5078</t>
  </si>
  <si>
    <t>National Aeronautics and Space Administration through the NASA Astrobiology Institute, Office of Space Science [NNA09-DA77A]; U. S. Department of Energy by Lawrence Livermore National Laboratory [DE-AC52-07NA27344]</t>
  </si>
  <si>
    <t>National Aeronautics and Space Administration through the NASA Astrobiology Institute, Office of Space Science; U. S. Department of Energy by Lawrence Livermore National Laboratory(United States Department of Energy (DOE))</t>
  </si>
  <si>
    <t>This material is based upon work supported by the National Aeronautics and Space Administration through the NASA Astrobiology Institute under Cooperative Agreement No. NNA09-DA77A, issued through the Office of Space Science. A portion of this work was performed under the auspices of the U. S. Department of Energy by Lawrence Livermore National Laboratory under Contract DE-AC52-07NA27344. We thank the NASA Johnson Space Center for allocation of the Miller Range nakhlite thin-sections, and Eric Hellebrand and Nick Teslich for their assistance with EMP analysis and FIB section preparation, respectively. Hitesh Changela is thanked for his helpful suggestions relating to nakhlite iddingsite fluid evolution. Martin Lee, John Bridges and one anonymous reviewer are thanked for their helpful suggestions, as is the Associate Editor Wolf Uwe Reimold.</t>
  </si>
  <si>
    <t>10.1016/j.gca.2014.02.007</t>
  </si>
  <si>
    <t>AG0WM</t>
  </si>
  <si>
    <t>WOS:000335136400016</t>
  </si>
  <si>
    <t>Hawes, I; Howard-Williams, C; Sorrell, B</t>
  </si>
  <si>
    <t>Hawes, Ian; Howard-Williams, Clive; Sorrell, Brian</t>
  </si>
  <si>
    <t>Decadal timescale variability in ecosystem properties in the ponds of the McMurdo Ice Shelf, southern Victoria Land, Antarctica</t>
  </si>
  <si>
    <t>nutrients; temporal change; chlorophyll a; pond ecosystems; conductivity; pH</t>
  </si>
  <si>
    <t>DRY VALLEYS; MICROBIAL BIOMASS; EAST ANTARCTICA; CLIMATE-CHANGE; LAKES; MATS; BIODIVERSITY</t>
  </si>
  <si>
    <t>Meltwater ponds are important biodiversity elements in continental Antarctica. Many occupy closed basins and are vulnerable to changes in the balance between water accrual, through melting of ice and snow, and water loss by ablation and evaporation. We use a two-decade long record of ponds on the McMurdo Ice Shelf to assess temporal variability in key limnological variables. Ponds underwent many-fold change in biologically conservative variables, such as conductivity, and changes were similar in ponds from different catchments but of comparable area. In contrast, biologically active variables (pH, inorganic nutrients and planktonic/benthic biomass) are buffered by in-pond processes and show consistency between years and no coherence across catchments. Coherent behaviour across catchments implies an overarching, climatic effect. However, we could identify no signature of summer air temperature or irradiance in pond dynamics, although winter snow deposition may leave a legacy of low conductivity to the following summer. While ponds are clearly affected by climate, our data show that ecosystem responses are complex and highlight the need for system-appropriate, long-term observation if directional environmental change is to be separated from inherent variability in systems that respond to multiple climatic variables and which have significant biological buffering capacity.</t>
  </si>
  <si>
    <t>[Hawes, Ian] Gateway Antarctica, Christchurch, New Zealand; [Howard-Williams, Clive] Natl Inst Water &amp; Atmospher Res, Christchurch, New Zealand; [Sorrell, Brian] Univ Aarhus, Dept Biol, Aarhus, Denmark</t>
  </si>
  <si>
    <t>National Institute of Water &amp; Atmospheric Research (NIWA) - New Zealand; Aarhus University</t>
  </si>
  <si>
    <t>Hawes, I (corresponding author), Gateway Antarctica, Private Bag 4800, Christchurch, New Zealand.</t>
  </si>
  <si>
    <t>Ian.hawes@canterbury.ac.nz</t>
  </si>
  <si>
    <t>; Sorrell, Brian/L-1351-2013</t>
  </si>
  <si>
    <t>Howard-Williams, Clive/0000-0002-8323-6806; Sorrell, Brian/0000-0002-2460-8438; Hawes, Ian/0000-0003-2471-6903</t>
  </si>
  <si>
    <t>New Zealand Foundation for Research, Science and Technology [CO1X0220, CO1605, CO1X0306]</t>
  </si>
  <si>
    <t>New Zealand Foundation for Research, Science and Technology(New Zealand Foundation for Research, Science and Technology)</t>
  </si>
  <si>
    <t>This research was conducted over a long period and was dependent on field contributions from a wide range of people. In large part it was funded by the New Zealand Foundation for Research, Science and Technology through contracts CO1X0220, CO1605 and CO1X0306. We would like to acknowledge the ongoing logistic support of Antarctica New Zealand, the National Institute of Water and Atmospheric Research (NIWA) and the University of Canterbury and to thank all participants of the K081 event over many years of research. The manuscript was improved by the suggestions of the editor, one of the fathers of Antarctic limnology, Dr En Kaup, and an anonymous reviewer.</t>
  </si>
  <si>
    <t>10.1017/S0954102013000576</t>
  </si>
  <si>
    <t>WOS:000334841900002</t>
  </si>
  <si>
    <t>Ma, YX; Zhang, F; Yang, HZ; Lin, L; He, JF</t>
  </si>
  <si>
    <t>Ma, Yuxin; Zhang, Fang; Yang, Haizhen; Lin, Ling; He, Jianfeng</t>
  </si>
  <si>
    <t>Detection of phytoplankton blooms in Antarctic coastal water with an online mooring system during summer 2010/11</t>
  </si>
  <si>
    <t>temperature; photosynthetically active radiation (PAR); South Shetland Islands; King George Island</t>
  </si>
  <si>
    <t>SEA-ICE; INTERANNUAL VARIABILITY; CLIMATE-CHANGE; BIOMASS; BAY; PHOTOADAPTATION; TEMPERATURE; PENINSULA</t>
  </si>
  <si>
    <t>In order to continuously monitor the phytoplankton growth in Antarctic coastal waters, an online mooring system was deployed in Great Wall Bay (unofficial name), King George Island, and both chlorophyll a (chl a) concentrations and environmental variables were monitored in a period between December 2010 and March 2011. Water temperatures showed a significant increasing trend (0.27-2.52 degrees C), whereas the salinities displayed a decreasing trend (34.19-33.86). In general, phytoplankton biomass accumulated from mid-December and two significant blooms developed in January (3.18 mu g l(-1) and 4.75 mu g l(-1)) and were then maintained at a relatively high level, with a transient bloom in late February (4.93 mu g l(-1)). Sea-ice meltwater and terrestrial freshwater input caused by the increase of temperature played an important role in inducing phytoplankton blooms in early summer. The variation and stratification of temperature and salinity signals in different water layers, without total mixing, suggested lateral intrusion of oceanic waters with alternating levels of temperature and salinity and, presumably, phytoplankton as well. Meanwhile, chl a concentrations initially decreased with an increase in irradiance, indicating the shade-adapted characteristic of phytoplankton in early summer, and then gradually adapted to the increasing irradiance. Our results demonstrated the effectiveness and reliability of the online coastal mooring system for the monitoring of Antarctic coastal phytoplankton bloom and environmental conditions.</t>
  </si>
  <si>
    <t>[Ma, Yuxin; Yang, Haizhen] Tongji Univ, Coll Environm Sci &amp; Engn, Shanghai 200092, Peoples R China; [Ma, Yuxin; Zhang, Fang; Lin, Ling; He, Jianfeng] Polar Res Inst China, State Ocean Adm, Key Lab Polar Sci, Shanghai 200136, Peoples R China</t>
  </si>
  <si>
    <t>Tongji University; Polar Research Institute of China</t>
  </si>
  <si>
    <t>He, JF (corresponding author), Polar Res Inst China, State Ocean Adm, Key Lab Polar Sci, Shanghai 200136, Peoples R China.</t>
  </si>
  <si>
    <t>hejianfeng@pric.gov.cn</t>
  </si>
  <si>
    <t>MA, Yuxin/AAG-8630-2020; Zhang, Fang/AAX-3262-2021</t>
  </si>
  <si>
    <t>Zhang, Fang/0000-0002-0300-8273</t>
  </si>
  <si>
    <t>National High Technology Research and Development Programme of China (Program 863) [2007AA09Z121]; National Ocean Public Benefit Research Foundation [200805095]; National Nature Science Foundation of China [41076130]</t>
  </si>
  <si>
    <t>National High Technology Research and Development Programme of China (Program 863)(National High Technology Research and Development Program of China); National Ocean Public Benefit Research Foundation; National Nature Science Foundation of China(National Natural Science Foundation of China (NSFC))</t>
  </si>
  <si>
    <t>We thank the members of all the expeditions who helped to deploy the monitoring system in Antarctica's Great Wall Bay. This work was supported by the National High Technology Research and Development Programme of China (Program 863, No. 2007AA09Z121), the National Ocean Public Benefit Research Foundation (No. 200805095) and the National Nature Science Foundation of China (No. 41076130). The constructive comments of the reviewers are gratefully acknowledged.</t>
  </si>
  <si>
    <t>10.1017/S0954102013000400</t>
  </si>
  <si>
    <t>WOS:000334841900003</t>
  </si>
  <si>
    <t>Karanovic, T; Gibson, JAE; Hawes, I; Andersen, DT; Stevens, MI</t>
  </si>
  <si>
    <t>Karanovic, Tomislav; Gibson, John A. E.; Hawes, Ian; Andersen, Dale T.; Stevens, Mark I.</t>
  </si>
  <si>
    <t>Diacyclops (Copepoda: Cyclopoida) in Continental Antarctica, including three new species</t>
  </si>
  <si>
    <t>biogeography; crustaceans; McMurdo Dry Valleys lakes; biodiversity</t>
  </si>
  <si>
    <t>MCMURDO DRY VALLEYS; CRYPTIC SPECIATION; EAST ANTARCTICA; SOUTHERN-OCEAN; VICTORIA-LAND; BUNGER HILLS; LAKES; CRUSTACEA; GEOCHEMISTRY; BIODIVERSITY</t>
  </si>
  <si>
    <t>Contrary to earlier beliefs, crustaceans are present in ice-covered lakes of Antarctica. Interpretation of the significance of this has been hampered by the absence of robust identification of taxa present. We examine cyclopoid copepods from three widely separated lakes. All belong to the michaelseni group of the genus Diacyclops, which is widespread across Continental Antarctica, but do not fit into any existing species. Two new species were identified from eastern Antarctica, D. walkeri from Pineapple Lake (Vestfold Hills) and D. kaupi from Transkriptsii Gulf (Bunger Hills). Most significant was a dense population of a new epibenthic species (D. joycei) associated with microbial mats in Lake Joyce, one of the smaller McMurdo Dry Valleys lakes. This represents the first record of adult cyclopoid copepods from the ice-covered lakes of the Transantarctic Mountains. Continental Antarctica is the centre of diversity for this group of crustaceans and we argue that this is better explained by persistence through past glacial advances rather than by recent post-glacial colonization. The existence of a species endemic to Lake Joyce but apparently absent from other Dry Valleys lakes is discussed in relation to our understanding of the history of the McMurdo Dry Valleys lakes and their faunas.</t>
  </si>
  <si>
    <t>[Karanovic, Tomislav] Hanyang Univ, Dept Life Sci, Seoul 133791, South Korea; [Karanovic, Tomislav; Gibson, John A. E.] Univ Tasmania, Inst Marine &amp; Antarctic Studies, Hobart, Tas 7001, Australia; [Hawes, Ian] Univ Canterbury, Christchurch 1, New Zealand; [Andersen, Dale T.] SETI Inst, Carl Sagan Ctr Study Life Universe, Mountain View, CA 94043 USA; [Stevens, Mark I.] Univ Adelaide, Australian Ctr Evolutionary Biol &amp; Biodivers, Adelaide, SA 5005, Australia; [Stevens, Mark I.] S Australian Museum, Adelaide, SA 5000, Australia</t>
  </si>
  <si>
    <t>Hanyang University; University of Tasmania; University of Canterbury; University of Adelaide</t>
  </si>
  <si>
    <t>Karanovic, T (corresponding author), Hanyang Univ, Dept Life Sci, Seoul 133791, South Korea.</t>
  </si>
  <si>
    <t>Tomislav.Karanovic@utas.edu.au</t>
  </si>
  <si>
    <t>Andersen, Dale T/B-4816-2013</t>
  </si>
  <si>
    <t>Andersen, Dale T/0000-0001-8827-1259; Hawes, Ian/0000-0003-2471-6903</t>
  </si>
  <si>
    <t>NASA [NNX08AO19G, NNZ09AE77A]; Australian Antarctic Division [ASAC 2355]; NASA [NNX08AO19G, 97030] Funding Source: Federal RePORTER</t>
  </si>
  <si>
    <t>NASA(National Aeronautics &amp; Space Administration (NASA)); Australian Antarctic Division; NASA(National Aeronautics &amp; Space Administration (NASA))</t>
  </si>
  <si>
    <t>We are extremely grateful to the support from NASA's Exobiology (NNX08AO19G) and Astrobiology (NNZ09AE77A) programmes; logistic support was provided by the US National Science Foundation Office of Polar Programs. This paper contributes to the Australian Antarctic Division project ASAC 2355 (MIS). Dr Martin J. Riddle is acknowledged for supporting this work. Comments from Dr Slava Ivanenko and two anonymous reviewers greatly improved our paper.</t>
  </si>
  <si>
    <t>10.1017/S0954102013000643</t>
  </si>
  <si>
    <t>WOS:000334841900005</t>
  </si>
  <si>
    <t>Juáres, MA; Negrete, J; Mennucci, JA; Perchivale, PJ; Santos, M; Moreira, E; Coria, NR</t>
  </si>
  <si>
    <t>Juares, Mariana A.; Negrete, Javier; Mennucci, Jorge A.; Perchivale, Pablo J.; Santos, Mercedes; Moreira, Eugenia; Coria, Nestor R.</t>
  </si>
  <si>
    <t>Further evidence of king penguins' breeding range extension at the South Shetland Islands?</t>
  </si>
  <si>
    <t>ANTARCTIC PENINSULA</t>
  </si>
  <si>
    <t>[Juares, Mariana A.; Negrete, Javier; Mennucci, Jorge A.; Perchivale, Pablo J.; Santos, Mercedes; Moreira, Eugenia; Coria, Nestor R.] Inst Antartico Argentino, Dept Biol Predadores Tope, Buenos Aires, DF, Argentina; [Negrete, Javier; Moreira, Eugenia] Consejo Nacl Invest Cient &amp; Tecn, Buenos Aires, DF, Argentina</t>
  </si>
  <si>
    <t>Instituto Antartico Argentino; Consejo Nacional de Investigaciones Cientificas y Tecnicas (CONICET)</t>
  </si>
  <si>
    <t>Juáres, MA (corresponding author), Inst Antartico Argentino, Dept Biol Predadores Tope, Balcarce 290,C1064AAF, Buenos Aires, DF, Argentina.</t>
  </si>
  <si>
    <t>marianajuares@hotmail.com</t>
  </si>
  <si>
    <t>MOREIRA, EUGENIA/0000-0002-3704-1696; Negrete, Javier/0000-0001-6853-8307; Juares, Mariana A./0000-0002-6763-0416</t>
  </si>
  <si>
    <t>Instituto Antartico Argentino</t>
  </si>
  <si>
    <t>We want to thank Lucrecia Longarzo, Guillermo Panisse, Miguel Gasco, Patricia Pastorizo, Ariel Pereira and the mammals group for field assistance. To Florencia Matus for her help. The Instituto Antartico Argentino provided financial and logistical support. We thank the two anonymous reviewers and Professor Walton for their comments on the manuscript.</t>
  </si>
  <si>
    <t>10.1017/S0954102013000655</t>
  </si>
  <si>
    <t>WOS:000334841900006</t>
  </si>
  <si>
    <t>Gottfried, MD</t>
  </si>
  <si>
    <t>Gottfried, Michael D.</t>
  </si>
  <si>
    <t>Cooperative foraging behaviour by crabeater seals (Lobodon carcinophaga) at Pleneau Island, Antarctic Peninsula</t>
  </si>
  <si>
    <t>Michigan State Univ, Geol Sci &amp; Museum, E Lansing, MI 48824 USA</t>
  </si>
  <si>
    <t>Michigan State University</t>
  </si>
  <si>
    <t>Gottfried, MD (corresponding author), Michigan State Univ, Geol Sci &amp; Museum, E Lansing, MI 48824 USA.</t>
  </si>
  <si>
    <t>gottfriedmd@gmail.com</t>
  </si>
  <si>
    <t>10.1017/S0954102013000941</t>
  </si>
  <si>
    <t>WOS:000334841900007</t>
  </si>
  <si>
    <t>Bowman, DC; Wilcock, WSD</t>
  </si>
  <si>
    <t>Bowman, Daniel C.; Wilcock, William S. D.</t>
  </si>
  <si>
    <t>Unusual signals recorded by ocean bottom seismometers in the flooded caldera of Deception Island volcano: volcanic gases or biological activity?</t>
  </si>
  <si>
    <t>hydrothermal activity; degassing; volcanic seismology; undersea seismic network; biological signal</t>
  </si>
  <si>
    <t>EARTHQUAKES; ANTARCTICA; EVOLUTION; SEA</t>
  </si>
  <si>
    <t>An ocean bottom seismometer (OBS) network was deployed for 1 month at Deception Island volcano, Antarctica, in early 2005. Although only two volcano-tectonic and three long-period events were observed, the three OBSs located &gt; 2 km apart inside the caldera detected over 3900 events that could not be attributed to known volcanic or hydrothermal sources. These events are found on one instrument at a time and occur in three types. Type 1 events resemble impulsive signals from biological organisms while type 2 and type 3 events resemble long-period seismicity. The largest number of events was observed in a region of volcanic resurgence and hydrothermal venting. All three types occur together suggesting a common cause and they show evidence for a diurnal distribution. The events are most likely to be due to aquatic animals striking the sensors, but a geological source is also possible. In the first case, these signals indicate the presence of a biological community confined to the caldera. In the second case, they imply widespread hydrothermal activity in Port Foster. Future OBS experiments should bury the seismometers, include a hydrophone, deploy instruments side-by-side, or include a video camera to distinguish between biological and geological events.</t>
  </si>
  <si>
    <t>[Bowman, Daniel C.] GZA GeoEnvironm, Norwood, MA 02062 USA; [Bowman, Daniel C.] Univ N Carolina, Dept Geol Sci, Chapel Hill, NC 27599 USA; [Wilcock, William S. D.] Univ Washington, Sch Oceanog, Seattle, WA 98195 USA</t>
  </si>
  <si>
    <t>University of North Carolina; University of North Carolina Chapel Hill; University of Washington; University of Washington Seattle</t>
  </si>
  <si>
    <t>Bowman, DC (corresponding author), GZA GeoEnvironm, 249 Vanderbilt Ave, Norwood, MA 02062 USA.</t>
  </si>
  <si>
    <t>daniel.bowman@unc.edu</t>
  </si>
  <si>
    <t>Wilcock, William/0000-0001-7224-7246; Bowman, Daniel/0000-0002-9341-520X</t>
  </si>
  <si>
    <t>Spanish Institute of Science and Technology [REN 200-3833]; US National Science Foundation [ANT-0230094, DGE-1144081]</t>
  </si>
  <si>
    <t>Spanish Institute of Science and Technology; US National Science Foundation(National Science Foundation (NSF))</t>
  </si>
  <si>
    <t>This research would not have been possible without funding for the TOMODEC experiment provided by the Spanish Institute of Science and Technology grant REN 200-3833 and the US National Science Foundation grants ANT-0230094 and DGE-1144081. We thank Jesus Ibanez for leading the experiment and Jonathan Lees, Andrew Barclay, Allan Sauter, Anne Trehu and Spahr Webb for helpful discussions. We would also like to acknowledge Karl Wirth and John Craddock at Macalester College and Matthew Barvenik of GZA GeoEnvironmental for their support and insight during the research process. This paper greatly benefited from reviews by Fred Duennebier, Daria Zandomeneghi, Maya Tolstoy and Anne Trehu.</t>
  </si>
  <si>
    <t>10.1017/S0954102013000758</t>
  </si>
  <si>
    <t>WOS:000334841900009</t>
  </si>
  <si>
    <t>Bomfleur, B; Schöner, R; John, N; Schneider, JW; Elsner, M; Viereck-Goette, L; Kerp, H</t>
  </si>
  <si>
    <t>Bomfleur, Benjamin; Schoener, Robert; John, Nadine; Schneider, Joerg W.; Elsner, Martin; Viereck-Goette, Lothar; Kerp, Hans</t>
  </si>
  <si>
    <t>New Palaeozoic deposits of the Victoria Group in the Eisenhower Range, northern Victoria Land, Antarctica</t>
  </si>
  <si>
    <t>[Bomfleur, Benjamin] Swedish Museum Nat Hist, Dept Palaeobot, SE-10405 Stockholm, Sweden; [Schoener, Robert] Geozentrum Hannover, Landesamt Bergbau Energie &amp; Geol, D-30655 Hannover, Germany; [John, Nadine; Elsner, Martin; Viereck-Goette, Lothar] Univ Jena, Inst Geowissensch, D-07749 Jena, Germany; [Schneider, Joerg W.] TU Bergakad Freiberg, Inst Geol, D-09596 Freiberg, Germany; [Kerp, Hans] Univ Munster, Inst Geol &amp; Palaontol, D-48143 Munster, Germany</t>
  </si>
  <si>
    <t>Swedish Museum of Natural History; Friedrich Schiller University of Jena; Technical University Freiberg; University of Munster</t>
  </si>
  <si>
    <t>Bomfleur, B (corresponding author), Swedish Museum Nat Hist, Dept Palaeobot, Box 50007, SE-10405 Stockholm, Sweden.</t>
  </si>
  <si>
    <t>Alexander von Humboldt-Foundation; Deutsche Forschungsgemeinschaft (DFG) [SCHO 1269/1, GA 457/11+13, SCHN 408/11+13, VI 215/6, KE584/12+16, SPP1158]</t>
  </si>
  <si>
    <t>Alexander von Humboldt-Foundation(Alexander von Humboldt Foundation); Deutsche Forschungsgemeinschaft (DFG)(German Research Foundation (DFG))</t>
  </si>
  <si>
    <t>We thank the Bundesanstalt fur Geowissenschaften und Rohstoffe (BGR, Hannover) for the invitation to join the GANOVEX IX expedition and for a great time in the field, and Sofie Lindstrom (Lund), Steve McLoughlin (Stockholm), and Alan P. M. Vaughan for helpful comments. Financial support by the Alexander von Humboldt-Foundation (Feodor Lynen fellowship to BB) and the Deutsche Forschungsgemeinschaft (DFG grants SCHO 1269/1 to RS; GA 457/11+13 to Reinhard Gaupp, Jena; SCHN 408/11+13 to JWS; VI 215/6 to LV-G, and KE584/12+16 to HK; all in Priority Program SPP1158) is gratefully acknowledged.</t>
  </si>
  <si>
    <t>10.1017/S0954102013000618</t>
  </si>
  <si>
    <t>WOS:000334841900010</t>
  </si>
  <si>
    <t>Jadwiszczak, P; Gazdzicki, A</t>
  </si>
  <si>
    <t>Jadwiszczak, Piotr; Gazdzicki, Andrzej</t>
  </si>
  <si>
    <t>First report on hind-toe development in Eocene Antarctic penguins</t>
  </si>
  <si>
    <t>[Jadwiszczak, Piotr] Univ Bialystok, Inst Biol, PL-15950 Bialystok, Poland; [Gazdzicki, Andrzej] Polish Acad Sci, Inst Paleobiol, PL-00818 Warsaw, Poland</t>
  </si>
  <si>
    <t>University of Bialystok; Polish Academy of Sciences; Institute of Paleobiology of the Polish Academy of Sciences</t>
  </si>
  <si>
    <t>Jadwiszczak, P (corresponding author), Univ Bialystok, Inst Biol, Swierkowa 20B, PL-15950 Bialystok, Poland.</t>
  </si>
  <si>
    <t>piotrj@uwb.edu.pl</t>
  </si>
  <si>
    <t>Andrzej, Gazdzicki/AAW-2137-2020; Jadwiszczak, Piotr/K-5136-2014; Jadwiszczak, Piotr/P-4336-2019</t>
  </si>
  <si>
    <t>Andrzej, Gazdzicki/0000-0003-2001-3282; Jadwiszczak, Piotr/0000-0002-5263-1125</t>
  </si>
  <si>
    <t>10.1017/S0954102013000631</t>
  </si>
  <si>
    <t>WOS:000334841900011</t>
  </si>
  <si>
    <t>Berbel, GBB; Braga, ES</t>
  </si>
  <si>
    <t>Berbel, Glaucia B. B.; Braga, Elisabete S.</t>
  </si>
  <si>
    <t>Phosphorus in Antarctic surface marine sediments-chemical speciation in Admiralty Bay</t>
  </si>
  <si>
    <t>P sequential extraction; detrital apatite; total phosphorus; South Shetland Islands; bottom sediment</t>
  </si>
  <si>
    <t>KING-GEORGE-ISLAND; IRON; CLASSIFICATION; GEOCHEMISTRY; TEMPERATURE; PHOSPHATE; SORPTION; BURIAL; RATIOS; EARTHS</t>
  </si>
  <si>
    <t>This study describes the relation of the phosphorus chemical speciation in surface sediments with input processes in Admiralty Bay, King George Island, Antarctica. The sediments were analysed with a sequential extraction for phosphorus fractionation to measure: exchangeable P (P-exch), iron oxyhydroxide bound P (P-Fe), authigenic P (Auth-P), detrital P (Detrital-P) and organic P (P-org). The study revealed that Detrital-P (39-70%) was the main sedimentary phosphorus forms and Auth-P (40-54%) was the second largest pool. The average percentage of each fraction of P followed the sequence: Detrital-P (41%) &gt; Auth-P (37%) &gt; P-Fe (12%) &gt; P-org = P-exch (5%). Spatial differences in grain size distribution were found. Silt and clay factions were predominant in the inlets, whereas sand and gravel were the main components in Central bay (unofficial name). Values were extremely low for organic carbon (&lt; 0.30%) and total nitrogen (&lt; 0.17%). Total sulfur was lower than 0.15%, except for Mackellar Inlet where values were 1%. The dominance of detrital apatite in the total sedimentary phosphorus demonstrates the importance of terrestrial inputs from ice melting in governing the abundance and speciation of sedimentary phosphorus in the Admiralty Bay sediments.</t>
  </si>
  <si>
    <t>[Berbel, Glaucia B. B.; Braga, Elisabete S.] Univ Sao Paulo, Inst Oceanog, Lab Nutr Micronutrientes &amp; Tracos Nos Oceanos, BR-05508120 Sao Paulo, Brazil</t>
  </si>
  <si>
    <t>Universidade de Sao Paulo</t>
  </si>
  <si>
    <t>Berbel, GBB (corresponding author), Univ Sao Paulo, Inst Oceanog, Lab Nutr Micronutrientes &amp; Tracos Nos Oceanos, Praca Oceanog 191, BR-05508120 Sao Paulo, Brazil.</t>
  </si>
  <si>
    <t>glauciaberbel@uol.com.br</t>
  </si>
  <si>
    <t>Braga, Elisabete/E-5285-2012; Berbel, Gláucia B.B./E-4940-2012</t>
  </si>
  <si>
    <t>Braga, Elisabete/0000-0001-5780-3814; Berbel, Glaucia/0000-0003-4326-1211</t>
  </si>
  <si>
    <t>CNPq (Brazilian National Research Council) [550349/2002-2, 558472/2005-2]; CAPES (Coordenadoria de Aperfeicoamento ao Pessoal de Nivel Superior)</t>
  </si>
  <si>
    <t>CNPq (Brazilian National Research Council)(Conselho Nacional de Desenvolvimento Cientifico e Tecnologico (CNPQ)); CAPES (Coordenadoria de Aperfeicoamento ao Pessoal de Nivel Superior)(Coordenacao de Aperfeicoamento de Pessoal de Nivel Superior (CAPES))</t>
  </si>
  <si>
    <t>The authors thank the CNPq (Brazilian National Research Council) for the financial support of Hidrogeoquimba Project process n.550349/2002-2 and 558472/2005-2 projects that integrated the PROANTAR (Brazilian Antarctic Research Program). The authors are grateful to Dr Laurence Padman and the two reviewers for improving this manuscript. Also, we thank the colleagues Adriana R. Perretti, Katia S. Jaworski and Joao C. Maluf, members of the sampling team. This research was part of a PhD thesis supported by CAPES (Coordenadoria de Aperfeicoamento ao Pessoal de Nivel Superior) involving the first author.</t>
  </si>
  <si>
    <t>10.1017/S0954102013000552</t>
  </si>
  <si>
    <t>WOS:000334841900012</t>
  </si>
  <si>
    <t>Ricaud, P; Carminati, F; Courcoux, Y; Pellegrini, A; Attié, JL; El Amraoui, L; Abida, R; Genthon, C; August, T; Warner, J</t>
  </si>
  <si>
    <t>Ricaud, P.; Carminati, F.; Courcoux, Y.; Pellegrini, A.; Attie, J. -L.; El Amraoui, L.; Abida, R.; Genthon, C.; August, T.; Warner, J.</t>
  </si>
  <si>
    <t>Statistical analyses and correlation between tropospheric temperature and humidity at Dome C, Antarctica</t>
  </si>
  <si>
    <t>ground-based sensors; integrated water vapour; space-borne sensors; radiosonde; in situ sensors; meteorological analyses</t>
  </si>
  <si>
    <t>WATER-VAPOR; CONCORDIA STATION; RADIOSOUNDINGS; RADIOMETER</t>
  </si>
  <si>
    <t>The Dome C (Concordia) station in Antarctica (75 degrees 06 ' S, 123 degrees 21 ' E, 3233 m above mean sea level) has a unique opportunity to test the quality of remote-sensing measurements and meteorological analyses because it is situated well inside the Eastern Antarctic Plateau and is less affected by local phenomena. Measurements of tropospheric temperature and water vapour (H2O) together with the integrated water vapour (IWV) performed in 2010 are statistically analysed to assess their quality and to study the yearly correlation between temperature and H2O over the entire troposphere. The statistical tools include yearly evolution, seasonally-averaged mean and bias, standard deviation and linear Pearson correlation. The datasets are made of measurements from the ground-based microwave radiometer H2O Antarctica Microwave Stratospheric and Tropospheric Radiometer (HAMSTRAD), radiosonde, in situ sensors, the space-borne infrared sensors Infrared Atmospheric Sounding Interferometer (IASI) on the MetOp-A platform and the Atmospheric InfraRed Sounder (AIRS) on the Aqua platform, and the analyses from the European Centre for Medium-Range Weather Forecast (ECMWF). Despite some obvious biases within all these datasets, our study shows that temperature and IWV are generally measured with high quality whilst H2O measurement quality is slightly worse. The AIRS and IASI measurements do not have the vertical resolution to correctly probe the lowermost troposphere, whilst HAMSTRAD loses sensitivity in the upper troposphere-lower stratosphere. Within the entire troposphere over the whole year, it is found that the time evolution of temperature and H2O is highly correlated (&gt; 0.8). This suggests that, in addition to the variability of solar radiation producing an obvious diurnal cycle in the planetary boundary layer in summer and an obvious seasonal cycle over the year, the H2O and temperature intra-seasonal variabilities are affected by the same processes, e.g. related to the long-range transport of air masses.</t>
  </si>
  <si>
    <t>[Ricaud, P.; Carminati, F.; Attie, J. -L.; El Amraoui, L.; Abida, R.] Meteo France CNRS, UMR 3589, F-31057 Toulouse, France; [Carminati, F.; Warner, J.] Univ Maryland, College Pk, MD 20742 USA; [Courcoux, Y.] Univ Paris 06, Univ Versailles, CNRS UMR 8190, F-75252 Paris 05, France; [Pellegrini, A.] CNR, Rome, Italy; [Attie, J. -L.] Univ Toulouse, Lab Aerol, CNRS, UMR 5560, F-31400 Toulouse, France; [Genthon, C.] LGGE CNRS, F-38402 St Martin Dheres, France; [August, T.] EUMETSAT, Darmstadt, Germany</t>
  </si>
  <si>
    <t>Meteo France; Centre National de la Recherche Scientifique (CNRS); CNRS - National Institute for Earth Sciences &amp; Astronomy (INSU); University System of Maryland; University of Maryland College Park; Universite Paris Saclay; Sorbonne Universite; Consiglio Nazionale delle Ricerche (CNR); Universite de Toulouse; Universite Toulouse III - Paul Sabatier; Centre National de la Recherche Scientifique (CNRS); CNRS - National Institute for Earth Sciences &amp; Astronomy (INSU); Centre National de la Recherche Scientifique (CNRS); European Organisation for the Exploitation of Meteorological Satellites</t>
  </si>
  <si>
    <t>Ricaud, P (corresponding author), Meteo France CNRS, UMR 3589, 42 Ave Gaspard Coriolis, F-31057 Toulouse, France.</t>
  </si>
  <si>
    <t>philippe.ricaud@meteo.fr</t>
  </si>
  <si>
    <t>Warner, Juying/T-6396-2019; Ricaud, Philippe/AAC-2991-2020; Carminati, Fabien/V-9592-2019; Pellegrini, Andrea/O-3094-2015</t>
  </si>
  <si>
    <t>Carminati, Fabien/0000-0002-2638-1927; Pellegrini, Andrea/0000-0001-5577-7472; Abida, Rachid/0000-0001-8746-5262</t>
  </si>
  <si>
    <t>Institut National des Sciences de l'Univers (INSU)/Centre National de la Recherche Scientifique (CNRS)</t>
  </si>
  <si>
    <t>The HAMSTRAD programme (910) has been funded by the Institut National des Sciences de l'Univers (INSU)/Centre National de la Recherche Scientifique (CNRS), the Institut Polaire Francais Paul-Emile Victor (IPEV) and the Centre National d'Etudes Spatiales (CNES). The permanently manned Concordia Station is jointly operated by IPEV and the Italian Programma Nazionale Ricerche in Antartide (PNRA). IASI has been developed and built under the responsibility of CNES. It is onboard the MetOp-A satellite as part of the EUMETSAT polar System. IASI vertical profiles of water vapour and temperature were extracted from the Ether French atmospheric database (http://ether.ipsl.jussieu.fr, accessed July 2013). AIRS has been developed and built under the responsibility of the National Aeronautics and Space Administration (NASA). It is onboard the NASA EOS Aqua satellite. AIRS data were extracted from Giovanni, a web-based application developed and maintained by the NASA GES DISC (http://gdata1.sci.gsfc.nasa.gov/daac-bin/G3/gui.cgi?instance_id=AIRS_Level3Daily, accessed July 2013). We finally would like to thank the three anonymous reviewers for their helpful comments.</t>
  </si>
  <si>
    <t>10.1017/S0954102013000564</t>
  </si>
  <si>
    <t>WOS:000334841900013</t>
  </si>
  <si>
    <t>Ebner, L; Heinemann, G; Haid, V; Timmermann, R</t>
  </si>
  <si>
    <t>Ebner, Lars; Heinemann, Guenther; Haid, Verena; Timmermann, Ralph</t>
  </si>
  <si>
    <t>Katabatic winds and polynya dynamics at Coats Land, Antarctica</t>
  </si>
  <si>
    <t>Weddell Sea; boundary layer; sea ice-ocean interaction; atmospheric modelling</t>
  </si>
  <si>
    <t>SEA-ICE; COASTAL POLYNYAS; WEDDELL SEA; MODEL; SURFACE; LAYER; SENSITIVITY; GREENLAND; FIELD; FLUX</t>
  </si>
  <si>
    <t>Mesoscale model simulations were conducted for the Weddell Sea region for the autumn and winter periods of 2008 using a high-resolution, limited-area, non-hydrostatic atmospheric model. A sea ice-ocean model was run with enhanced horizontal resolution and high-resolution forcing data of the atmospheric model. Daily passive thermal and microwave satellite data was used to derive the polynya area in the Weddell Sea region. The focus of the study is on the formation of polynyas in the coastal region of Coats Land, which is strongly affected by katabatic flows. The polynya areas deduced from two independent remote sensing methods and data sources show good agreement, while the results of the sea ice simulation show some weaknesses. Linkages between the pressure gradient force composed of a katabatic and a synoptic component, offshore wind regimes and polynya area are identified. It is shown that the downslope surface offshore wind component of Coats Land is the main forcing factor for polynya dynamics, which is mainly steered by the offshore pressure gradient force, where the katabatic force is the dominant term. We find that the synoptic pressure gradient is opposed to the katabatic force during major katabatic wind events.</t>
  </si>
  <si>
    <t>[Ebner, Lars; Heinemann, Guenther] Univ Trier, Dept Environm Meteorol, D-54286 Trier, Germany; [Haid, Verena; Timmermann, Ralph] Helmholtz Ctr Polar &amp; Marine Res, Alfred Wegener Inst, D-27570 Bremerhaven, Germany</t>
  </si>
  <si>
    <t>Universitat Trier; Helmholtz Association; Alfred Wegener Institute, Helmholtz Centre for Polar &amp; Marine Research</t>
  </si>
  <si>
    <t>Ebner, L (corresponding author), Univ Trier, Dept Environm Meteorol, Behringstr 21, D-54286 Trier, Germany.</t>
  </si>
  <si>
    <t>ebner@uni-trier.de</t>
  </si>
  <si>
    <t>Heinemann, Gunther/0000-0002-4831-9016; Haid, Verena/0000-0002-9899-1740</t>
  </si>
  <si>
    <t>Deutsche Forschungsgemeinschaft (DFG) [He2740/10, Ti296/5]</t>
  </si>
  <si>
    <t>This work was supported by the Deutsche Forschungsgemeinschaft (DFG) in the framework of the priority programme 'Antarctic Research with comparative investigations in Arctic ice areas' under grant numbers He2740/10 and Ti296/5. The COSMO model and GME data were provided by the German Meteorological Service. AMSR-E sea ice concentrations were obtained from the University of Hamburg. MODIS satellite data was made available by NOAA/NESDIS (US). AWS data was made available by BAS. MODIS-derived polynya data were kindly provided by Stephan Paul. Computing time was partly supplied by the DKRZ (Hamburg). We also thank the two anonymous reviewers for their useful and constructive comments on the manuscript.</t>
  </si>
  <si>
    <t>10.1017/S0954102013000679</t>
  </si>
  <si>
    <t>WOS:000334841900014</t>
  </si>
  <si>
    <t>Nel, W; Boelhouwers, J</t>
  </si>
  <si>
    <t>Nel, Werner; Boelhouwers, Jan</t>
  </si>
  <si>
    <t>First observations on needle ice formation in the sub-Antarctic</t>
  </si>
  <si>
    <t>MARION ISLAND; TEMPERATURES; ENVIRONMENT; GROWTH</t>
  </si>
  <si>
    <t>[Nel, Werner] Univ Ft Hare, Dept Geog &amp; Environm Sci, ZA-5700 Alice, South Africa; [Boelhouwers, Jan] Uppsala Univ, Dept Social &amp; Econ Geog, S-75120 Uppsala, Sweden</t>
  </si>
  <si>
    <t>University of Fort Hare; Uppsala University</t>
  </si>
  <si>
    <t>Nel, W (corresponding author), Univ Ft Hare, Dept Geog &amp; Environm Sci, ZA-5700 Alice, South Africa.</t>
  </si>
  <si>
    <t>wnel@ufh.ac.za</t>
  </si>
  <si>
    <t>Nel, Werner/0000-0002-3769-4937</t>
  </si>
  <si>
    <t>NRF/SANAP project: Landscape processes in Antarctic ecosystems [80264]</t>
  </si>
  <si>
    <t>NRF/SANAP project: Landscape processes in Antarctic ecosystems</t>
  </si>
  <si>
    <t>This work was undertaken as part of the NRF/SANAP project: Landscape processes in Antarctic ecosystems (Grant no 80264). Ian Meiklejohn as principal investigator of the project is thanked for logistical and financial support. Mphumzi Zilindile is thanked for the field observations and logger maintenance. We also thank the reviewers for their helpful comments on earlier versions of this paper.</t>
  </si>
  <si>
    <t>10.1017/S0954102013000722</t>
  </si>
  <si>
    <t>WOS:000334841900015</t>
  </si>
  <si>
    <t>Casasanta, G; Pietroni, I; Petenko, I; Argentini, S</t>
  </si>
  <si>
    <t>Casasanta, Giampietro; Pietroni, Ilaria; Petenko, Igor; Argentini, Stefania</t>
  </si>
  <si>
    <t>Observed and Modelled Convective Mixing-Layer Height at Dome C, Antarctica</t>
  </si>
  <si>
    <t>BOUNDARY-LAYER METEOROLOGY</t>
  </si>
  <si>
    <t>Antarctica; Boundary layer; Mixing-layer height; Sodar</t>
  </si>
  <si>
    <t>ATMOSPHERIC BOUNDARY-LAYER; SURFACE-ENERGY BALANCE; DAYTIME MIXED-LAYER; SODAR DATA; PLATEAU; SUMMER; BEHAVIOR; GROWTH</t>
  </si>
  <si>
    <t>The mixing-layer height is estimated using measurements from a high resolution surface-layer sodar run at the French-Italian station of Concordia at Dome C, Antarctica during the summer 2011-2012. The temporal and spatial resolution of the sodar allows the monitoring of the mixing-layer evolution during the whole diurnal cycle, i.e. a very shallow nocturnal boundary layer followed by a typical daytime growth. The behaviour of the summer mixing-layer height, variable between about 10- and 300 m, is analyzed as a function of the mean and turbulent structure of the boundary layer. Focusing on convective cases only, the retrieved values are compared with those calculated using a one-dimensional prognostic equation. The role of subsidence is examined and discussed. We show that the agreement between modelled and experimental values significantly increases if the subsidence is not kept fixed during the day. A simple diagnostic equation, which depends on the time-averaged integral of the near-surface turbulent heat flux, the background static stability and the buoyancy parameter, is proposed and evaluated. The diagnostic relation performance is comparable to that of the more sophisticated prognostic model.</t>
  </si>
  <si>
    <t>[Casasanta, Giampietro; Pietroni, Ilaria; Petenko, Igor; Argentini, Stefania] CNR, Inst Atmospher Sci &amp; Climate, I-00133 Rome, Italy; [Petenko, Igor] RAS, AM Obukhov Inst Atmospher Phys, Moscow 119017, Russia</t>
  </si>
  <si>
    <t>Consiglio Nazionale delle Ricerche (CNR); Istituto di Scienze dell'Atmosfera e del Clima (ISAC-CNR); Russian Academy of Sciences; Obukhov Institute of Atmospheric Physics of Russian Academy of Sciences</t>
  </si>
  <si>
    <t>Casasanta, G (corresponding author), CNR, Inst Atmospher Sci &amp; Climate, Via Fosso Cavaliere 100, I-00133 Rome, Italy.</t>
  </si>
  <si>
    <t>g.casasanta@isac.cnr.it</t>
  </si>
  <si>
    <t>ARGENTINI, STEFANIA/0000-0002-7939-0309; PETENKO, IGOR/0000-0002-8475-5018</t>
  </si>
  <si>
    <t>Italian Antarctic Research Programme (PNRA)</t>
  </si>
  <si>
    <t>This research was supported by the Italian Antarctic Research Programme (PNRA), in the framework of the French-Italian Dome C Project. The authors wish to thank the logistics staff at Concordia for their support during the experimental fieldwork, and everyone who contributed to the field experiments. Special thanks are due to Dr. A. Viola and Mr. A. Conidi who participated in the summer field operations during ABLCLIMAT.</t>
  </si>
  <si>
    <t>0006-8314</t>
  </si>
  <si>
    <t>1573-1472</t>
  </si>
  <si>
    <t>BOUND-LAY METEOROL</t>
  </si>
  <si>
    <t>Bound.-Layer Meteor.</t>
  </si>
  <si>
    <t>10.1007/s10546-014-9907-5</t>
  </si>
  <si>
    <t>AF0ZC</t>
  </si>
  <si>
    <t>WOS:000334442900010</t>
  </si>
  <si>
    <t>Kohout, AL; Williams, MJM; Dean, SM; Meylan, MH</t>
  </si>
  <si>
    <t>Kohout, A. L.; Williams, M. J. M.; Dean, S. M.; Meylan, M. H.</t>
  </si>
  <si>
    <t>Storm-induced sea-ice breakup and the implications for ice extent</t>
  </si>
  <si>
    <t>OCEAN WAVES; ATTENUATION; TRENDS; ZONE; CLIMATE</t>
  </si>
  <si>
    <t>The propagation of large, storm-generated waves through sea ice has so far not been measured, limiting our understanding of how ocean waves break sea ice. Without improved knowledge of ice breakup, we are unable to understand recent changes, or predict future changes, in Arctic and Antarctic sea ice. Here we show that storm-generated ocean waves propagating through Antarctic sea ice are able to transport enough energy to break sea ice hundreds of kilometres from the ice edge. Our results, which are based on concurrent observations at multiple locations, establish that large waves break sea ice much farther from the ice edge than would be predicted by the commonly assumed exponential decay(1-3). We observed the wave height decay to be almost linear for large waves-those with a significant wave height greater than three metres-and to be exponential only for small waves. This implies a more prominent role for large ocean waves in sea-ice breakup and retreat than previously thought. We examine the wider relevance of this by comparing observed Antarctic sea-ice edge positions with changes in modelled significant wave heights for the Southern Ocean between 1997 and 2009, and find that the retreat and expansion of the sea-ice edge correlate with mean significant wave height increases and decreases, respectively. This includes capturing the spatial variability in sea-ice trends found in the Ross and Amundsen-Bellingshausen seas. Climate models fail to capture recent changes in sea ice in both polar regions(4,5). Our results suggest that the incorporation of explicit or parameterized interactions between ocean waves and sea ice may resolve this problem.</t>
  </si>
  <si>
    <t>[Kohout, A. L.] Natl Inst Water &amp; Atmospher Res, Christchurch 8011, New Zealand; [Williams, M. J. M.; Dean, S. M.] Natl Inst Water &amp; Atmospher Res, Wellington 6021, New Zealand; [Meylan, M. H.] Univ Newcastle, Newcastle, NSW 2308, Australia</t>
  </si>
  <si>
    <t>National Institute of Water &amp; Atmospheric Research (NIWA) - New Zealand; National Institute of Water &amp; Atmospheric Research (NIWA) - New Zealand; University of Newcastle</t>
  </si>
  <si>
    <t>Kohout, AL (corresponding author), Natl Inst Water &amp; Atmospher Res, Christchurch 8011, New Zealand.</t>
  </si>
  <si>
    <t>alison.kohout@niwa.co.nz</t>
  </si>
  <si>
    <t>Williams, Michael/H-9674-2014; Meylan, Michael/A-7341-2010; Dean, Samuel/F-7711-2011</t>
  </si>
  <si>
    <t>Meylan, Michael/0000-0002-3164-1367; Dean, Samuel/0000-0001-6338-4601</t>
  </si>
  <si>
    <t>New Zealand Foundation of Research Science and Technology; Marsden Fund Council; NIWA, under National Climate Centre Climate Systems programme; Antarctic Climate and Ecosystems Cooperative Research Centre; Australian Antarctic Science project [4073]; Grants-in-Aid for Scientific Research [24510001] Funding Source: KAKEN</t>
  </si>
  <si>
    <t>New Zealand Foundation of Research Science and Technology(New Zealand Foundation for Research, Science and Technology); Marsden Fund Council(Royal Society of New ZealandMarsden Fund (NZ)); NIWA, under National Climate Centre Climate Systems programme; Antarctic Climate and Ecosystems Cooperative Research Centre(Australian GovernmentDepartment of Industry, Innovation and ScienceCooperative Research Centres (CRC) Programme); Australian Antarctic Science project; Grants-in-Aid for Scientific Research(Ministry of Education, Culture, Sports, Science and Technology, Japan (MEXT)Japan Society for the Promotion of ScienceGrants-in-Aid for Scientific Research (KAKENHI))</t>
  </si>
  <si>
    <t>We thank Inprod Pty Ltd for instrument design and construction; M. Doble, V. Squire and T. Haskell for contributions toward instrument design; T. Toyota for the provision of ice floe size and ice thickness data; the captain and crew of RSV Aurora Australis and the second Sea Ice Physics and Ecosystem Experiment (SIPEX II) for their assistance in deploying the waves-in-ice instruments; and V. Squire, T. Toyota, L. Bennetts and T. Williams for contributions toward interpretation and editing. The work was funded by a New Zealand Foundation of Research Science and Technology Postdoctoral award to A. L. K.; the Marsden Fund Council, administered by the Royal Society of New Zealand; NIWA, through core funding under the National Climate Centre Climate Systems programme; the Antarctic Climate and Ecosystems Cooperative Research Centre; and Australian Antarctic Science project 4073.</t>
  </si>
  <si>
    <t>MAY 29</t>
  </si>
  <si>
    <t>10.1038/nature13262</t>
  </si>
  <si>
    <t>AH9JC</t>
  </si>
  <si>
    <t>WOS:000336457100046</t>
  </si>
  <si>
    <t>Sinclair, KE; Bertler, NAN; Bowen, MM; Arrigo, KR</t>
  </si>
  <si>
    <t>Sinclair, Kate E.; Bertler, Nancy A. N.; Bowen, Melissa M.; Arrigo, Kevin R.</t>
  </si>
  <si>
    <t>Twentieth century sea-ice trends in the Ross Sea from a high-resolution, coastal ice-core record</t>
  </si>
  <si>
    <t>Ice core; Geochemistry; Sea ice; Antarctica; Climate</t>
  </si>
  <si>
    <t>WHALING RECORDS; ANTARCTICA; EXTENT; PRECIPITATION; VARIABILITY; MECHANISMS; DECLINE</t>
  </si>
  <si>
    <t>We present the first proxy record of sea-ice area (SIA) in the Ross Sea, Antarctica, from a 130year coastal ice-core record. High-resolution deuterium excess data show prevailing stable SIA from the 1880s until the 1950s, a 2-5% reduction from the mid-1950s to the early-1990s, and a 5% increase after 1993. Additional support for this reconstruction is derived from ice-core methanesulphonic acid concentrations and whaling records. While SIA has continued to decline around much of the West Antarctic coastline since the 1950s, concurrent with increasing air and ocean temperatures, the underlying trend is masked in the Ross Sea by a switch to positive SIA anomalies since the early-1990s. This increase is associated with a strengthening of southerly winds and the enhanced northward advection of sea ice.</t>
  </si>
  <si>
    <t>[Sinclair, Kate E.; Bertler, Nancy A. N.] GNS Sci, Natl Isotope Ctr, Gracefield, New Zealand; [Bertler, Nancy A. N.] Victoria Univ Wellington, Antarctic Res Ctr, Wellington, New Zealand; [Bowen, Melissa M.] Univ Auckland, Sch Environm, Auckland 1, New Zealand; [Arrigo, Kevin R.] Stanford Univ, Dept Environm Earth Syst Sci, Stanford, CA 94305 USA</t>
  </si>
  <si>
    <t>GNS Science - New Zealand; Victoria University Wellington; University of Auckland; Stanford University</t>
  </si>
  <si>
    <t>Sinclair, KE (corresponding author), GNS Sci, Natl Isotope Ctr, Gracefield, New Zealand.</t>
  </si>
  <si>
    <t>k.sinclair@gns.cri.nz</t>
  </si>
  <si>
    <t>Bertler, Nancy A N/F-3967-2011</t>
  </si>
  <si>
    <t>Arrigo, Kevin/0000-0002-7364-876X; Bertler, Nancy/0000-0001-6028-4891</t>
  </si>
  <si>
    <t>New Zealand Ministry of Business, Innovation and Employment [VICX0704, CO5X0202, RDF-VUW1103]; N.Z. Foundation for Research, Science, and Technology [CO5X0902]; Antarctica New Zealand [K049]; U.S. Antarctic Program [K049]</t>
  </si>
  <si>
    <t>New Zealand Ministry of Business, Innovation and Employment(New Zealand Ministry of Business, Innovation and Employment (MBIE)); N.Z. Foundation for Research, Science, and Technology(New Zealand Foundation for Research, Science and Technology); Antarctica New Zealand; U.S. Antarctic Program</t>
  </si>
  <si>
    <t>This project was funded by the New Zealand Ministry of Business, Innovation and Employment (contracts: VICX0704, CO5X0202, RDF-VUW1103) and a N.Z. Foundation for Research, Science, and Technology Postdoctoral Fellowship awarded to K.E.S. (contract CO5X0902). Antarctica New Zealand and the U.S. Antarctic Program provided logistical support for ice-core extraction (project K049), and we thank the Alfred Wegener Institute for the loan of their shallow ice-core drilling system. We are also grateful to the field team, including Julia Bull, Alex Pyne, and Sepp Kipfstuhl, and Rebecca Pyne, Jessica Dallas, and Gemma Wihare for laboratory assistance, and the staff at the Stable Isotope Laboratory at GNS Science for analytical work.</t>
  </si>
  <si>
    <t>MAY 28</t>
  </si>
  <si>
    <t>10.1002/2014GL059821</t>
  </si>
  <si>
    <t>AJ4AC</t>
  </si>
  <si>
    <t>WOS:000337610200025</t>
  </si>
  <si>
    <t>Kitade, Y; Shimada, K; Tamura, T; Williams, GD; Aoki, S; Fukamachi, Y; Roquet, F; Hindell, M; Ushio, S; Ohshima, KI</t>
  </si>
  <si>
    <t>Kitade, Yujiro; Shimada, Keishi; Tamura, Takeshi; Williams, Guy D.; Aoki, Shigeru; Fukamachi, Yasushi; Roquet, Fabien; Hindell, Mark; Ushio, Shuki; Ohshima, Kay I.</t>
  </si>
  <si>
    <t>Antarctic Bottom Water production from the Vincennes Bay Polynya, East Antarctica</t>
  </si>
  <si>
    <t>Antarctic Bottom Water; dense shelf water; sea-ice production; Australian-Antarctic Basin; polynya</t>
  </si>
  <si>
    <t>140-DEGREES-E; CIRCULATION; ZONE</t>
  </si>
  <si>
    <t>One year moorings at depths greater than 3000m on the continental slope off Vincennes Bay, East Antarctica, reveal the cold (&lt;-0.5 degrees C) and fresh (&lt;34.64) signals of newly formed Antarctic Bottom Water (AABW). The signal appeared in June, 3 months after the onset of active sea-ice production in the nearby Vincennes Bay Polynya (VBP). The AABW signal continued for about 5 months at two moorings, with 1 month delay at the western site further downstream. Ship-based hydrographic data are in agreement, detecting the westward spread of new AABW over the continental slope from VBP. On the continental shelf, Dense Shelf Water (DSW) formation is observed by instrumented seals, in and around the VBP during autumn, and we estimate its transport to be 0.16 +/- 0.07 (x 106m3s-1). We conclude that the DSW formed in this region, albeit from a modest amount of sea-ice production, nonetheless contributes to the upper layer of AABW in Australian-Antarctic Basin.</t>
  </si>
  <si>
    <t>[Kitade, Yujiro; Shimada, Keishi] Tokyo Univ Marine Sci &amp; Technol, Tokyo, Japan; [Tamura, Takeshi; Ushio, Shuki] Natl Inst Polar Res, Tachikawa, Tokyo, Japan; [Tamura, Takeshi; Williams, Guy D.] Univ Tasmania, Antarctic Climate &amp; Ecosyst Cooperat Res Ctr, Hobart, Tas, Australia; [Aoki, Shigeru; Fukamachi, Yasushi; Ohshima, Kay I.] Hokkaido Univ, Inst Low Temp Sci, Sapporo, Hokkaido 060, Japan; [Roquet, Fabien] Stockholm Univ, Dept Meteorol, S-10691 Stockholm, Sweden; [Hindell, Mark] Univ Tasmania, Inst Marine &amp; Antarctic Studies, Hobart, Tas, Australia</t>
  </si>
  <si>
    <t>Tokyo University of Marine Science &amp; Technology; Research Organization of Information &amp; Systems (ROIS); National Institute of Polar Research (NIPR) - Japan; Antarctic Climate &amp; Ecosystems Cooperative Research Centre (ACE CRC); University of Tasmania; Hokkaido University; Stockholm University; University of Tasmania</t>
  </si>
  <si>
    <t>Kitade, Y (corresponding author), Tokyo Univ Marine Sci &amp; Technol, Tokyo, Japan.</t>
  </si>
  <si>
    <t>ykitade@kaiyodai.ac.jp</t>
  </si>
  <si>
    <t>Roquet, Fabien/D-4848-2013; Hindell, Mark A/K-1131-2013; Ohshima, Kay I/D-6909-2012; Roquet, Fabien/N-3221-2019; KITADE, Yujiro/O-1912-2014; Aoki, Shigeru/D-9105-2012; Fukamachi, Yasushi/D-1895-2012</t>
  </si>
  <si>
    <t>Roquet, Fabien/0000-0003-1124-4564; KITADE, Yujiro/0000-0002-9312-6870; Fukamachi, Yasushi/0000-0001-5798-9380; Hindell, Mark/0000-0002-7823-7185</t>
  </si>
  <si>
    <t>JSPS KAKENHI [23310003, 25241001, 23340135]; MEXT for physical and chemical oceanographic observations under Japanese Antarctic Research Expedition; Australian Government's Cooperative Research Centres Programme through the Antarctic Climate and Ecosystem Cooperative Research Centre; Grants-in-Aid for Scientific Research [26740007, 25281001, 23340135, 24651016, 23310003, 25241001] Funding Source: KAKEN</t>
  </si>
  <si>
    <t>JSPS KAKENHI(Ministry of Education, Culture, Sports, Science and Technology, Japan (MEXT)Japan Society for the Promotion of ScienceGrants-in-Aid for Scientific Research (KAKENHI)); MEXT for physical and chemical oceanographic observations under Japanese Antarctic Research Expedition; Australian Government's Cooperative Research Centres Programme through the Antarctic Climate and Ecosystem Cooperative Research Centre(Australian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</si>
  <si>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We are deeply indebted to the officers, crew, and scientists on board TR/V Umitaka-maru. This work was supported by JSPS KAKENHI grants 23310003, 25241001, and 23340135, MEXT for physical and chemical oceanographic observations under Japanese Antarctic Research Expedition, and the Australian Government's Cooperative Research Centres Programme through the Antarctic Climate and Ecosystem Cooperative Research Centre. IMOS seal CTD data were provided through the Australian Animal Tracking and Monitoring System, a facility of Integrated Marine Observing System.</t>
  </si>
  <si>
    <t>10.1002/2014GL059971</t>
  </si>
  <si>
    <t>WOS:000337610200028</t>
  </si>
  <si>
    <t>Klocker, A; Marshall, DP</t>
  </si>
  <si>
    <t>Klocker, Andreas; Marshall, David P.</t>
  </si>
  <si>
    <t>Advection of baroclinic eddies by depth mean flow</t>
  </si>
  <si>
    <t>advection; eddies; Rossby waves; Doppler shift</t>
  </si>
  <si>
    <t>EXTRATROPICAL PLANETARY-WAVES; ANTARCTIC CIRCUMPOLAR CURRENT; ROSSBY WAVES; SOUTHERN-OCEAN; TOPOGRAPHY; SPEED; CIRCULATION; SUPPRESSION; VORTICES</t>
  </si>
  <si>
    <t>Observed zonal propagation speeds of nonlinear eddies, derived using an eddy tracking algorithm, are compared with the classical long Rossby wave speed, Doppler shifted by just the depth mean velocity, the latter obtained from annual mean hydrography and an ocean atlas. Despite neglecting any Doppler shift from baroclinic background flows, the correspondence between observed eddy propagation speeds and theoretical long Rossby wave phase speeds is improved in the Antarctic Circumpolar Current region, where both show eastward propagation at speeds of 1-3cms-1, although the observed eastward eddy propagation speeds are systematically lower than the predicted Rossby wave phase speeds.</t>
  </si>
  <si>
    <t>[Klocker, Andreas] Univ Tasmania, Inst Marine &amp; Antarctic Studies, Hobart, Tas, Australia; [Marshall, David P.] Univ Oxford, Dept Phys, Oxford, England</t>
  </si>
  <si>
    <t>University of Tasmania; University of Oxford</t>
  </si>
  <si>
    <t>Klocker, A (corresponding author), Univ Tasmania, Inst Marine &amp; Antarctic Studies, Hobart, Tas, Australia.</t>
  </si>
  <si>
    <t>Andreas.Klocker@utas.edu.au</t>
  </si>
  <si>
    <t>Marshall, David Philip/B-6767-2009; Klocker, Andreas/E-4632-2011</t>
  </si>
  <si>
    <t>Marshall, David Philip/0000-0002-5199-6579; Klocker, Andreas/0000-0002-2038-7922</t>
  </si>
  <si>
    <t>UK Natural Environment Research Council; Oxford Martin School; Natural Environment Research Council [NE/H020454/1] Funding Source: researchfish; NERC [NE/H020454/1] Funding Source: UKRI</t>
  </si>
  <si>
    <t>UK Natural Environment Research Council(UK Research &amp; Innovation (UKRI)Natural Environment Research Council (NERC)); Oxford Martin School; Natural Environment Research Council(UK Research &amp; Innovation (UKRI)Natural Environment Research Council (NERC)); NERC(UK Research &amp; Innovation (UKRI)Natural Environment Research Council (NERC))</t>
  </si>
  <si>
    <t>We thank Dudley Chelton, Remi Tailleux, and an anonymous reviewer for their extremely careful and constructive comments on the manuscript. We acknowledge partial support from the UK Natural Environment Research Council and Oxford Martin School.</t>
  </si>
  <si>
    <t>10.1002/2014GL060001</t>
  </si>
  <si>
    <t>WOS:000337610200026</t>
  </si>
  <si>
    <t>Markhaseva, EL</t>
  </si>
  <si>
    <t>Markhaseva, Elena L.</t>
  </si>
  <si>
    <t>New Sensiava species (Copepoda: Calanoida: Diaixidae) from the deep South Atlantic and first description of the female</t>
  </si>
  <si>
    <t>Clausocalanoidea; calanoids; taxonomy; benthopelagic; biogeography</t>
  </si>
  <si>
    <t>NOV CRUSTACEA COPEPODA; GENUS; PACIFIC; OCEAN</t>
  </si>
  <si>
    <t>Females are described for the first time in the genus Sensiava Markhaseva &amp; Schulz, 2006, that was known previously only from males. Four species of this genus are identified from samples collected in the vicinity of the abyssal sea bed. Two species, Sensiava secunda sp. nov. and S. peculiaris sp. nov. are named, and two species are not given names due to a poor condition of the examined specimens and their incomplete descriptions. Sensiava males have also been found in the samples. They share with their male congener Sensiava longiseta Markhaseva &amp; Schulz, 2006 a geniculate right antennule, which is a plesiomorphy observed only in the benthopelagic Clausocalanoidea Giesbrecht, 1893. A differential diagnosis for the genus is given, based on both sexes. Sensiava was previously known only from the Antarctic waters between 63-64 degrees S, but its distributional range now can be extended significantly further to the north, up to the Equator in the South Atlantic.</t>
  </si>
  <si>
    <t>Russian Acad Sci, Inst Zool, St Petersburg 199034, Russia</t>
  </si>
  <si>
    <t>Russian Academy of Sciences; Zoological Institute of the Russian Academy of Sciences</t>
  </si>
  <si>
    <t>Markhaseva, EL (corresponding author), Russian Acad Sci, Inst Zool, Univ Skaya Nab 1, St Petersburg 199034, Russia.</t>
  </si>
  <si>
    <t>markhaseva@yahoo.com</t>
  </si>
  <si>
    <t>Markhaseva, Elena L/R-1832-2017</t>
  </si>
  <si>
    <t>Senckenberg; Russian Foundation for Basic Research [12-04-00071-a]</t>
  </si>
  <si>
    <t>Senckenberg; Russian Foundation for Basic Research(Russian Foundation for Basic Research (RFBR)Spanish Government)</t>
  </si>
  <si>
    <t>The author thanks Prof. Pedro Martinez Arbizu for providing the sorted copepod fraction of the DIVA-I-III expeditions, which yielded the specimens analyzed in this paper. Many thanks to Frank Ferrari for correcting the English, and for valuable comments on an early draft of this paper. The research of E. L. Markhaseva at the Deutsches Zentrum fur Marine Biodiversitaetsforschung Senckenberg, Biozentrum Grindel, and Zoologisches Museum Hamburg was funded by Senckenberg and 12-04-00071-a grant of the Russian Foundation for Basic Research.</t>
  </si>
  <si>
    <t>MAY 26</t>
  </si>
  <si>
    <t>10.11646/zootaxa.3802.2.5</t>
  </si>
  <si>
    <t>AI5HS</t>
  </si>
  <si>
    <t>WOS:000336897000005</t>
  </si>
  <si>
    <t>Zidarova, R; Levkov, Z; Van de Vijver, B</t>
  </si>
  <si>
    <t>Zidarova, Ralitsa; Levkov, Zlatko; Van de Vijver, Bart</t>
  </si>
  <si>
    <t>Four new Luticola taxa (Bacillariophyta) from Maritime Antarctica</t>
  </si>
  <si>
    <t>PHYTOTAXA</t>
  </si>
  <si>
    <t>Antarctic Region; Bacillariophyta; Luticola; new species; morphology; taxonomy</t>
  </si>
  <si>
    <t>SOUTH SHETLAND ISLANDS; JAMES-ROSS-ISLAND; LIVINGSTON ISLAND; DIATOMS; DISTANTES; PENINSULA</t>
  </si>
  <si>
    <t>The paper describes four new Luticola taxa from the South Shetland Archipelago, Antarctica: Luticola neglecta sp. nov., L. bogaertsiana sp. nov., L. contii sp. nov. and L. olegsakharovii sp. nov. All new taxa are studied using both light and scanning electron microscopy and compared to other morphologically similar species from (sub-) Antarctica and elsewhere in the world. Data on their ecology and biogeography are added.</t>
  </si>
  <si>
    <t>[Zidarova, Ralitsa] St Kliment Ohridski Univ Sofia, Fac Biol, Dept Bot, Sofia 1164, Bulgaria; [Levkov, Zlatko] Fac Nat Sci, Inst Biol, Skopje, North Macedonia; [Van de Vijver, Bart] Bot Garden Meise, Dept Bryophyta &amp; Thallophyta, B-1860 Meise, Belgium; [Van de Vijver, Bart] Univ Antwerp, Dept Biol, B-2610 Antwerp, Belgium</t>
  </si>
  <si>
    <t>University of Sofia; University of Antwerp</t>
  </si>
  <si>
    <t>Zidarova, R (corresponding author), St Kliment Ohridski Univ Sofia, Fac Biol, Dept Bot, 8 Dragan Tzankov Blvd, Sofia 1164, Bulgaria.</t>
  </si>
  <si>
    <t>zidarova.r@gmail.com; zlevkov@iunona.pmf.ukim.edu.mk; vandevijver@br.fgov.be</t>
  </si>
  <si>
    <t>Zidarova, Ralitsa/I-3793-2017</t>
  </si>
  <si>
    <t>Zidarova, Ralitsa/0000-0002-6451-0099; Levkov, Zlatko/0000-0002-1184-2356</t>
  </si>
  <si>
    <t>Bulgarian Science Fund [03-63]; EU</t>
  </si>
  <si>
    <t>Bulgarian Science Fund(National Science Fund of Bulgaria); EU(European Union (EU))</t>
  </si>
  <si>
    <t>The sampling and observations on King George Island and Deception Island were funded by Project Pi MY 03-63 (Bulgarian Science Fund). Observations on Livingston Island were done within L'Oreal-UNESCO For women in science Program (Bulgaria). The Olympus BX53 light microscope used at University of Sofia (SU) was bought under CEBDER Project. Sampling on the South Shetland Islands was made possible with the support of the Bulgarian Antarctic Institute (BAI). The staff of the Bellingshausen Russian Antarctic Station on King George Island and Decepcion Argentinian Base on Deception Island are thanked for their help during our stay (RZ) there. Dr. Blagoy Uzunov (SU) is thanked for his help during the field work. Additional samples on Deception Island were acquired thanks the help of Dr. Gabriela Mataloni. Part of the research was funded within an EU Synthesys grant to BVDV to visit the National History Museum in London, UK. Dr. Alex Ball, the staff of the EMMA laboratory and Dr. Eileen J. Cox at the Natural History Museum are thanked for their help with the scanning electron microscopy. Mrs. Myriam de Haan is thanked for her technical assistance with the SEM at the Botanic Garden of Belgium.</t>
  </si>
  <si>
    <t>250F Marua Road Mt Wellington, AUCKLAND, ST LUKES 1023, NEW ZEALAND</t>
  </si>
  <si>
    <t>1179-3155</t>
  </si>
  <si>
    <t>1179-3163</t>
  </si>
  <si>
    <t>Phytotaxa</t>
  </si>
  <si>
    <t>10.11646/phytotaxa.170.3.2</t>
  </si>
  <si>
    <t>AI4OQ</t>
  </si>
  <si>
    <t>WOS:000336845100002</t>
  </si>
  <si>
    <t>Soil moisture derived using two apparent thermal inertia functions over Canterbury, New Zealand</t>
  </si>
  <si>
    <t>moderate resolution imaging spectroradiometer; near-surface soil moisture; rainfall; apparent thermal inertia; land cover; time series</t>
  </si>
  <si>
    <t>MORNING NOAA SATELLITES; SURFACE-HYDROLOGY MODEL; COMBINING AFTERNOON; VALIDATION; ALGORITHM; SYSTEM; AQUA</t>
  </si>
  <si>
    <t>The near-surface soil moisture (SM) is an important property of the soil that can be studied from satellite remote sensing observations over a large spatial domain. This research provides an estimate on the accuracy of SM retrieved from satellite land surface temperature (LST) observations over the Canterbury Plains, New Zealand. The apparent thermal inertia (ATI) method with two approaches (ATI1 and ATI2) was applied to derive the near-surface SM from the moderate resolution imaging spectroradiometer (MODIS) LST product. The in-situ measurements of SM and rainfall data at six sites across the study area were used as reference. The analysis was conducted over two periods, a short period of four months and a longer period of three years. SM simulations by the weather research and forecasting (WRF) model were used in the analysis for the shorter period. Overall, SM based on ATI2 showed a slightly higher correlation with the in-situ measurements ((rho) over bar = 0.66) than ATI1 ((rho) over bar = 0.63). The correlation, in general, was higher for the WRF simulations ((rho) over bar = 0.81). Both functions performed better during summer compared to winter, but overall, ATI2 showed lower mean errors (ME approximate to -15 m(3) . m(-3) volumetric SM) compared to ATI1 (ME approximate to -20 m(3) . m(-3)) at most of the sites. Additionally, seasonal variations of SM were better detected by ATI2 than ATI1, and the effects of precipitation were detected on more occasions by the ATI2 function. We conclude that ATI2 function can be used to estimate the near-surface SM over a large area from the MODIS LST time series if a few representative reference stations are available. c The Authors. Published by SPIE under a Creative Commons Attribution 3.0 Unported License. Distribution or reproduction of this work in whole or in part requires full attribution of the original publication, including its DOI.</t>
  </si>
  <si>
    <t>[Sohrabinia, Mammatt; Zawar-Reza, Peyman] Univ Canterbury, Ctr Atmospher Res, Dept Geog, Christchurch 8140, New Zealand; [Rack, Wolfgang] Univ Canterbury, Ctr Antarctic Studies &amp; Res, Gateway Antarctica, Christchurch 8140, New Zealand; [Sohrabinia, Mammatt] Minist Primary Ind Spatial Forestry &amp; Land Manage, Wellington 6011, New Zealand</t>
  </si>
  <si>
    <t>Sohrabinia, M (corresponding author), Univ Canterbury, Ctr Atmospher Res, Dept Geog, Christchurch 8140, New Zealand.</t>
  </si>
  <si>
    <t>sohrabinia.m@gmail.com</t>
  </si>
  <si>
    <t>University of Canterbury in New Zealand</t>
  </si>
  <si>
    <t>This research was conducted under funding and support of the University of Canterbury in New Zealand. The authors would like to thank Justin Harrison for his help in the field experiment that was conducted for this research. We also acknowledge Graeme Plank from the Physics Department for providing us climate data, as well as permission for setting up our instrument in the Birdlings Flat site. Language editions and proof reading of the paper were done by Caroline Cameron-Blackgrove. We greatly appreciate very useful comments from two anonymous reviewers, which helped us in presentation and discussion of our findings. Free access to NASA's MODIS LST and MODIS BRDF/Albedo datasets is also appreciated; we used Reverb tool to download these datasets.</t>
  </si>
  <si>
    <t>MAY 22</t>
  </si>
  <si>
    <t>10.1117/1.JRS.8.083624</t>
  </si>
  <si>
    <t>AK5UW</t>
  </si>
  <si>
    <t>WOS:000338492900002</t>
  </si>
  <si>
    <t>Cnossen, I</t>
  </si>
  <si>
    <t>Cnossen, Ingrid</t>
  </si>
  <si>
    <t>The importance of geomagnetic field changes versus rising CO2 levels for long-term change in the upper atmosphere</t>
  </si>
  <si>
    <t>JOURNAL OF SPACE WEATHER AND SPACE CLIMATE</t>
  </si>
  <si>
    <t>space climate; ionosphere; thermosphere; modeling; global change</t>
  </si>
  <si>
    <t>EARTHS MAGNETIC-FIELD; CARBON-DIOXIDE; IONOSPHERIC E; TRENDS; THERMOSPHERE; MODEL</t>
  </si>
  <si>
    <t>The Earth's upper atmosphere has shown signs of cooling and contraction over the past decades. This is generally attributed to the increasing level of atmospheric CO2, a coolant in the upper atmosphere. However, especially the charged part of the upper atmosphere, the ionosphere, also responds to the Earth's magnetic field, which has been weakening considerably over the past century, as well as changing in structure. The relative importance of the changing geomagnetic field compared to enhanced CO2 levels for long-term change in the upper atmosphere is still a matter of debate. Here we present a quantitative comparison of the effects of the increase in CO2 concentration and changes in the magnetic field from 1908 to 2008, based on simulations with the Thermosphere-Ionosphere-Electrodynamics General Circulation Model (TIE-GCM). This demonstrates that magnetic field changes contribute at least as much as the increase in CO2 concentration to changes in the height of the maximum electron density in the ionosphere, and much more to changes in the maximum electron density itself and to low-/mid-latitude ionospheric currents. Changes in the magnetic field even contribute to cooling of the thermosphere at similar to 300 km altitude, although the increase in CO2 concentration is still the dominant factor here. Both processes are roughly equally important for long-term changes in ion temperature.</t>
  </si>
  <si>
    <t>Cnossen, I (corresponding author), British Antarctic Survey, Madingley Rd, Cambridge CB3 0ET, England.</t>
  </si>
  <si>
    <t>Cnossen, Ingrid/E-5809-2010</t>
  </si>
  <si>
    <t>Cnossen, Ingrid/0000-0001-6469-7861</t>
  </si>
  <si>
    <t>Natural Environment Research Council (NERC) [NE/J018058/1]; National Science Foundation; NERC [NE/J018058/1, bas0100023] Funding Source: UKRI; Natural Environment Research Council [NE/J018058/1, bas0100023] Funding Source: researchfish</t>
  </si>
  <si>
    <t>Natural Environment Research Council (NERC)(UK Research &amp; Innovation (UKRI)Natural Environment Research Council (NERC)); National Science Foundation(National Science Foundation (NSF));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</si>
  <si>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Natural Environment Research Council (NERC) fellowship NE/J018058/1. The TIE-GCM simulations used in this study were performed on the Yellowstone high-performance computing facility (ark:/85065/d7wd3xhc) provided by NCAR's Computational and Information Systems Laboratory, sponsored by the National Science Foundation.</t>
  </si>
  <si>
    <t>EDP SCIENCES S A</t>
  </si>
  <si>
    <t>LES ULIS CEDEX A</t>
  </si>
  <si>
    <t>17, AVE DU HOGGAR, PA COURTABOEUF, BP 112, F-91944 LES ULIS CEDEX A, FRANCE</t>
  </si>
  <si>
    <t>2115-7251</t>
  </si>
  <si>
    <t>J SPACE WEATHER SPAC</t>
  </si>
  <si>
    <t>J. Space Weather Space Clim.</t>
  </si>
  <si>
    <t>A18</t>
  </si>
  <si>
    <t>10.1051/swsc/2014016</t>
  </si>
  <si>
    <t>Astronomy &amp; Astrophysics; Geochemistry &amp; Geophysics; Meteorology &amp; Atmospheric Sciences</t>
  </si>
  <si>
    <t>AU8LM</t>
  </si>
  <si>
    <t>Green Accepted, Green Submitted, gold</t>
  </si>
  <si>
    <t>WOS:000345848000002</t>
  </si>
  <si>
    <t>Colbo, K; Ross, T; Brown, C; Weber, T</t>
  </si>
  <si>
    <t>Colbo, Keir; Ross, Tetjana; Brown, Craig; Weber, Tom</t>
  </si>
  <si>
    <t>A review of oceanographic applications of water column data from multibeam echosounders</t>
  </si>
  <si>
    <t>multibeam sonar; water column; fisheries; bubbles; marine mammals; resuspended sediments; zooplankton; kelps; turbulence; aquaculture; wrecks; gas seepages</t>
  </si>
  <si>
    <t>EUPHAUSIID EUPHAUSIA-PACIFICA; RESONANT ACOUSTIC SCATTERING; FISH SCHOOLS; SWIMMING BEHAVIOR; ANTARCTIC KRILL; TURBULENT MICROSTRUCTURE; 3-DIMENSIONAL STRUCTURE; ECHO INTEGRATION; HERRING SCHOOL; SINGLE-BEAM</t>
  </si>
  <si>
    <t>Multibeam echosounder systems (MBES) have long provided bathymetric data with high temporal and spatial resolution. In the last couple of decades, MBES observations of scattering in the water column have been finding increasing use in oceanographic studies. Here we review the wealth of studies using water column multibeam data to address questions in fisheries, marine mammal and zooplankton research as well as seeps and hydrothermal vents. We also summarize some of the tantalizing new oceanographic applications of water column MBES, such as kelp ecosystems, near surface bubbles, suspended sediment, mixing and internal waves, as well as the proper determination of the extent of shipwreck above the sea floor. We highlight the many advantages of using water column MBES and discuss the challenges. (C) 2014 Elsevier Ltd. All rights reserved.</t>
  </si>
  <si>
    <t>[Colbo, Keir; Ross, Tetjana] Dalhousie Univ, Dept Oceanog, Halifax, NS B3H 4R2, Canada; [Brown, Craig] NSCC Appl Res, Nova Scotia Community Coll, Dartmouth, NS B2Y 0A5, Canada; [Weber, Tom] Univ New Hampshire, Ctr Coastal &amp; Ocean Mapping, Durham, NH 03824 USA</t>
  </si>
  <si>
    <t>Dalhousie University; University System Of New Hampshire; University of New Hampshire</t>
  </si>
  <si>
    <t>Ross, T (corresponding author), Dalhousie Univ, Dept Oceanog, 1355 Oxford St, Halifax, NS B3H 4R2, Canada.</t>
  </si>
  <si>
    <t>tetjana@dal.ca</t>
  </si>
  <si>
    <t>Ross, Tetjana/E-4073-2010; Brown, Craig J/N-7364-2013; Weber, Thomas C./H-2428-2012</t>
  </si>
  <si>
    <t>Ross, Tetjana/0000-0002-3351-2622; Brown, Craig/0000-0002-5125-978X; Weber, Thomas C./0000-0001-8320-361X</t>
  </si>
  <si>
    <t>Natural Sciences and Engineering Research Council of Canada [EGP 419094-11]; McGregor GeoScience Ltd.</t>
  </si>
  <si>
    <t>Natural Sciences and Engineering Research Council of Canada(Natural Sciences and Engineering Research Council of Canada (NSERC)CGIAR); McGregor GeoScience Ltd.</t>
  </si>
  <si>
    <t>We would like to thank all the authors of Benoit-Bird and Au (2009), Cox et al. (2009), McGonigle et al. (2011), Simmons et al. (2010) and Hughes Clarke et al. (2006), who have generously allowed us to use their figures. We extend a special thanks to Mark Trevorrow for sharing an unpublished figure from the dataset presented in Trevorrow (2005) for this publication. We thank Vicki Gazzola (McGregor GeoScience Ltd.) for creation of Fig. 1, and assistance with editing of Fig. 9. This review was made possible by 1) Engage Grant EGP 419094-11 from the Natural Sciences and Engineering Research Council of Canada to Dr. Ross and 2) the support of McGregor GeoScience Ltd.</t>
  </si>
  <si>
    <t>MAY 20</t>
  </si>
  <si>
    <t>10.1016/j.ecss.2014.04.002</t>
  </si>
  <si>
    <t>AK4QL</t>
  </si>
  <si>
    <t>WOS:000338409100005</t>
  </si>
  <si>
    <t>Lu, QB</t>
  </si>
  <si>
    <t>Lu, Q. -B.</t>
  </si>
  <si>
    <t>Reply to Comment on 'Cosmic-ray-driven reaction and greenhouse effect of halogenated molecules: Culprits for atmospheric ozone depletion and global climate change' by Rolf Muller and Jens-Uwe Grooss</t>
  </si>
  <si>
    <t>INTERNATIONAL JOURNAL OF MODERN PHYSICS B</t>
  </si>
  <si>
    <t>Cosmic rays; chlorofluorocarbons (CFCs); ozone depletion; ozone hole; global warming; global cooling</t>
  </si>
  <si>
    <t>IMPACT</t>
  </si>
  <si>
    <t>In their Comment, Muller and Grooss continuously use problematic observed data and misleading arguments to make a case against our CRE mechanism of the ozone hole and CFC-warming mechanism of global climate change. They make the groundless assertion that the CRE theory cannot be considered as an independent process for ozone loss in the polar stratosphere. Their claim that the impact of the CRE mechanism on polar chlorine activation and ozone loss in the stratosphere would be limited does not agree with the observed data over the past decades. They also make many contradictory and fact-distorting arguments that There is no polar ozone loss in darkness, there is no apparent 11-year periodicity in polar total ozone measurements, the age of air in the polar lower stratosphere is much older than 1-2 years, and the reported detection of a pronounced recovery (by about 20-25%) in Antarctic total ozone measurements by the year 2010 is in error. These assertions ignore and contradict a great deal of robust observed data from both laboratory and field measurements reported in the literature including their own publications. Their new argument for the photodissociation of CFCs on PSCs also contradicts their previous extraordinary efforts including the use of fabricated ACE-FTS satellite data to argue for no physical/chemical loss of CFCs in the winter lower polar stratosphere. Finally, they do not provide any scientific evidence to support their criticism for the no physical basis of the CFC-warming theory and its conclusions. In summary, their misleading arguments and false data do not change the convincing conclusion reached by robust observations in my recent paper that both the CRE mechanism and the CFC-warming mechanism not only provide new fundamental understandings of the O-3 hole and global climate change but have superior predictive capabilities, compared with the conventional models.</t>
  </si>
  <si>
    <t>[Lu, Q. -B.] Univ Waterloo, Dept Phys &amp; Astron, Waterloo, ON N2L 3G1, Canada; [Lu, Q. -B.] Univ Waterloo, Dept Biol, Waterloo, ON N2L 3G1, Canada; [Lu, Q. -B.] Univ Waterloo, Dept Chem, Waterloo, ON N2L 3G1, Canada</t>
  </si>
  <si>
    <t>University of Waterloo; University of Waterloo; University of Waterloo</t>
  </si>
  <si>
    <t>Lu, QB (corresponding author), Univ Waterloo, Dept Phys &amp; Astron, Waterloo, ON N2L 3G1, Canada.</t>
  </si>
  <si>
    <t>qblu@uwaterloo.ca</t>
  </si>
  <si>
    <t>WORLD SCIENTIFIC PUBL CO PTE LTD</t>
  </si>
  <si>
    <t>SINGAPORE</t>
  </si>
  <si>
    <t>5 TOH TUCK LINK, SINGAPORE 596224, SINGAPORE</t>
  </si>
  <si>
    <t>0217-9792</t>
  </si>
  <si>
    <t>1793-6578</t>
  </si>
  <si>
    <t>INT J MOD PHYS B</t>
  </si>
  <si>
    <t>Int. J. Mod. Phys. B</t>
  </si>
  <si>
    <t>10.1142/S0217979214820025</t>
  </si>
  <si>
    <t>Physics, Applied; Physics, Condensed Matter; Physics, Mathematical</t>
  </si>
  <si>
    <t>AF4OG</t>
  </si>
  <si>
    <t>WOS:000334692200003</t>
  </si>
  <si>
    <t>Müller, R; Grooss, JU</t>
  </si>
  <si>
    <t>Mueller, Rolf; Grooss, Jens-Uwe</t>
  </si>
  <si>
    <t>Comment on Cosmic-ray-driven reaction and greenhouse effect of halogenated molecules: Culprits for atmospheric ozone depletion and global climate change</t>
  </si>
  <si>
    <t>Cosmic rays; chlorofluorocarbons; ozone depletion; ozone hole; global warming</t>
  </si>
  <si>
    <t>DISSOCIATIVE ELECTRON-ATTACHMENT; BALLOON-BORNE OBSERVATIONS; STRATOSPHERIC OZONE; CHLORINE ACTIVATION; ANTARCTIC OZONE; CARBON-DIOXIDE; ARCTIC VORTEX; SULFURIC-ACID; POLAR VORTEX; LARGE ENHANCEMENT</t>
  </si>
  <si>
    <t>Lu's cosmic-ray-driven electron-induced reaction (CRE) theory is based on the assumption that the CRE reaction of halogenated molecules (e.g., chlorofluorocarbons (CFCs), HCl, ClONO2) adsorbed or trapped in polar stratospheric clouds in the winter polar stratosphere is the key step in forming photoactive halogen species that are the cause of the springtime ozone hole. This theory has been extended to a warming theory of halogenated molecules for climate change. In this comment, we discuss the chemical and physical foundations of these theories and the conclusions derived from the theories. First, it is unclear whether the loss rates of halogenated molecules induced by dissociative electron attachment (DEA) observed in the laboratory can also be interpreted as atmospheric loss rates, but even if this were the case, the impact of DEA-induced reactions on polar chlorine activation and ozone loss in the stratosphere is limited. Second, we falsify several conclusions that are reported on the basis of the CRE theory: There is no polar ozone loss in darkness, there is no apparent 11-year periodicity in polar total ozone measurements, the age of air in the polar lower stratosphere is much older than 1-2 years, and the reported detection of a pronounced recovery (by about 20-25%) in Antarctic total ozone measurements by the year 2010 is in error. There are also conclusions about the future development of sea ice and global sea level which are fundamentally flawed because Archimedes' principle is neglected. Many elements of the CRE theory are based solely on correlations between certain datasets which are no substitute for providing physical and chemical mechanisms causing a particular behavior noticeable in observations. In summary, the CRE theory cannot be considered as an independent, alternative mechanism for polar stratospheric ozone loss and the conclusions on recent and future surface temperature and global sea level change do not have a physical basis.</t>
  </si>
  <si>
    <t>[Mueller, Rolf; Grooss, Jens-Uwe] Forschungszentrum Julich, IEK 7, D-52425 Julich, Germany</t>
  </si>
  <si>
    <t>Helmholtz Association; Research Center Julich</t>
  </si>
  <si>
    <t>Müller, R (corresponding author), Forschungszentrum Julich, IEK 7, D-52425 Julich, Germany.</t>
  </si>
  <si>
    <t>ro.mueller@fz-juelich.de; j.-u.grooss@fz-juelich.de</t>
  </si>
  <si>
    <t>Grooß, Jens-Uwe/A-7315-2013; Müller, Rolf/ABA-8213-2021; Müller, Rolf/A-6669-2013; Grooß, Jens-Uwe/N-3305-2019</t>
  </si>
  <si>
    <t>Grooß, Jens-Uwe/0000-0002-9485-866X; Müller, Rolf/0000-0002-5024-9977; Grooß, Jens-Uwe/0000-0002-9485-866X</t>
  </si>
  <si>
    <t>10.1142/S0217979214820013</t>
  </si>
  <si>
    <t>WOS:000334692200002</t>
  </si>
  <si>
    <t>Di Liberto, L; Cairo, F; Fierli, F; Di Donfrancesco, G; Viterbini, M; Deshler, T; Snels, M</t>
  </si>
  <si>
    <t>Di Liberto, Luca; Cairo, Francesco; Fierli, Federico; Di Donfrancesco, Guido; Viterbini, Maurizio; Deshler, Terry; Snels, Marcel</t>
  </si>
  <si>
    <t>Observation of polar stratospheric clouds over McMurdo (77.85°S, 166.67°E) (2006-2010)</t>
  </si>
  <si>
    <t>NITRIC-ACID TRIHYDRATE; LIDAR OBSERVATIONS; HETEROGENEOUS FORMATION; MOUNTAIN WAVES; AEROSOL; TEMPERATURE; WINTER; NUCLEATION; STATION; CALIPSO</t>
  </si>
  <si>
    <t>Polar stratospheric clouds (PSCs) have been observed in the Antarctic winter from 2006 to 2010 at the Antarctic base of McMurdo Station using a newly developed Rayleigh lidar. Total backscatter ratio and volume depolarization at 532 nm have been measured from 9 km up to 30 km with an average of 90 measurements per winter season. The data set was analyzed in order to evaluate the occurrence of PSCs based on their altitude, seasonal variability, geometrical thickness, and cloud typology derived from observed optical parameters. We have adopted the latest version of the scheme used to classify PSCs detected by the CALIPSO satellite-based lidar in order to facilitate comparison of ground-based and satellite-borne lidars. This allowed us to approximately identify how processes acting at different spatial scales might affect the formation of different PSC particles. The McMurdo lidar observations are dominated by PSC layers during the Antarctic winter. A clear difference between the different type of PSCs classified according to the observed optical parameters and their geometrical thickness was observed. Ice and supercooled ternary solution PSCs are observed predominantly as thin layers, while thicker layers are associated with nitric acid trihydrate particles. The same classification scheme has been adopted to reanalyze the 1995-2001 McMurdo lidar data in order to compare both data sets (1995-2001 versus 2006-2010).</t>
  </si>
  <si>
    <t>[Di Liberto, Luca; Cairo, Francesco; Fierli, Federico; Viterbini, Maurizio; Snels, Marcel] CNR, Ist Sci Atmosfera &amp; Clima, Rome, Italy; [Di Donfrancesco, Guido] ENEA Ctr Ric Casaccia, Rome, Italy; [Deshler, Terry] Univ Wyoming, Dept Atmospher Sci, Laramie, WY 82071 USA</t>
  </si>
  <si>
    <t>Consiglio Nazionale delle Ricerche (CNR); Istituto di Scienze dell'Atmosfera e del Clima (ISAC-CNR); Italian National Agency New Technical Energy &amp; Sustainable Economics Development; University of Wyoming</t>
  </si>
  <si>
    <t>Snels, M (corresponding author), CNR, Ist Sci Atmosfera &amp; Clima, Rome, Italy.</t>
  </si>
  <si>
    <t>m.snels@isac.cnr.it</t>
  </si>
  <si>
    <t>Di Liberto, Luca/AAY-4560-2020; Snels, Marcel/J-2324-2012; DI LIBERTO, LUCA/P-5876-2018; cairo, francesco/C-7460-2015</t>
  </si>
  <si>
    <t>Snels, Marcel/0000-0002-3025-5237; Fierli, Federico/0000-0001-9975-2883; DI LIBERTO, LUCA/0000-0001-7274-1279; cairo, francesco/0000-0002-2886-2601</t>
  </si>
  <si>
    <t>PNRA; National Science Foundation under OPP [0839124]; Office of Polar Programs (OPP); Directorate For Geosciences [0839124] Funding Source: National Science Foundation</t>
  </si>
  <si>
    <t>PNRA; National Science Foundation under OPP; Office of Polar Programs (OPP); Directorate For Geosciences(National Science Foundation (NSF)NSF - Directorate for Geosciences (GEO))</t>
  </si>
  <si>
    <t>The authors acknowledge PNRA for financial support and the NSF for logistics and technical support on the site. We have enjoyed the collaboration with Jennifer Mercer and the other members of Terry Deshler's group during the campaigns with the OPC and ozonesondes, which was supported by the National Science Foundation under, most recently, OPP grant 0839124. We are grateful for the work of all NSF research associates and science technicians Laura Tudor, Bec Batchelor, Jason Bryenton, and Brian Nelson. We thank Mike Pitts for helpful discussion about the CALIPSO data. The precious technical assistance of Roberto Morbidini during the development and assembling of the lidar system is much appreciated as well as the help of Francesco Colao and Federico Angelini for performing lidar measurements during the intense measurement campaigns in 2006 and 2005 and of Alessandro Conidi for his technical assistance at McMurdo in 2006. The data used in this publication were obtained as part of the Network for the Detection of Atmospheric Composition Change (NDACC). Part of the NDACC data is publicly available (see http://www.ndsc.ncep.noaa.gov/data/).</t>
  </si>
  <si>
    <t>MAY 19</t>
  </si>
  <si>
    <t>10.1002/2013JD019892</t>
  </si>
  <si>
    <t>AK3QS</t>
  </si>
  <si>
    <t>WOS:000338340400033</t>
  </si>
  <si>
    <t>Pasteris, D; McConnell, JR; Edwards, R; Isaksson, E; Albert, MR</t>
  </si>
  <si>
    <t>Pasteris, Daniel; McConnell, Joseph R.; Edwards, Ross; Isaksson, Elizabeth; Albert, Mary R.</t>
  </si>
  <si>
    <t>Acidity decline in Antarctic ice cores during the Little Ice Age linked to changes in atmospheric nitrate and sea salt concentrations</t>
  </si>
  <si>
    <t>EPICA DOME-C; DEEP-DRILLING SITE; DRONNING MAUD LAND; HIGH-RESOLUTION; VOLCANIC SYNCHRONIZATION; EUROPEAN PROJECT; SNOW; CLIMATE; VARIABILITY; CHEMISTRY</t>
  </si>
  <si>
    <t>Acidity is an important chemical variable that impacts atmospheric and snowpack chemistry. Here we describe composite time series and the spatial pattern of acidity concentration (Acy = H+ - HCO3-) during the last 2000 years across the Dronning Maud Land region of the East Antarctic Plateau using measurements in seven ice cores. Coregistered measurements of the major ion species show that sulfuric acid (H2SO4), nitric acid (HNO3), and hydrochloric acid (HCl) determine greater than 98% of the acidity value. The latter, also described as excess chloride (ExCl(-)), is shown mostly to be derived from postdepositional diffusion of chloride with little net gain or loss from the snowpack. A strong inverse linear relationship between nitrate concentration and inverse accumulation rate provides evidence of spatially homogenous fresh snow concentrations and reemission rates of nitrate from the snowpack across the study area. A decline in acidity during the Little Ice Age (LIA, 1500-1900 Common Era) is observed and is linked to declines in HNO3 and ExCl(-) during that time. The nitrate decline is found to correlate well with published methane isotope data from Antarctica (delta(CH4)-C-13), indicating that it is caused by a decline in biomass burning. The decrease in ExCl(-) concentration during the LIA is well correlated to published sea surface temperature reconstructions in the Atlantic Ocean, which suggests increased sea salt aerosol production associated with greater sea ice extent.</t>
  </si>
  <si>
    <t>[Pasteris, Daniel; McConnell, Joseph R.; Edwards, Ross] Univ Nevada, Desert Res Inst, Div Hydrol Sci, Reno, NV 89506 USA; [Edwards, Ross] Curtin Univ, Dept Imaging &amp; Appl Phys, Perth, WA 6845, Australia; [Isaksson, Elizabeth] Norwegian Polar Res Inst, Tromso, Norway; [Albert, Mary R.] Dartmouth Coll, Thayer Sch Engn, Hanover, NH 03755 USA</t>
  </si>
  <si>
    <t>Nevada System of Higher Education (NSHE); Desert Research Institute NSHE; University of Nevada Reno; Curtin University; Norwegian Polar Institute; Dartmouth College</t>
  </si>
  <si>
    <t>Pasteris, D (corresponding author), Univ Nevada, Desert Res Inst, Div Hydrol Sci, Reno, NV 89506 USA.</t>
  </si>
  <si>
    <t>; Edwards, Ross/B-1433-2013</t>
  </si>
  <si>
    <t>Albert, Mary/0000-0001-7842-2359; Edwards, Ross/0000-0002-9233-8775</t>
  </si>
  <si>
    <t>Norwegian Polar Institute; U.S. National Science Foundation (NSF); Research Council of Norway [152]; NSF Office of Polar Programs; Office of Polar Programs (OPP); Directorate For Geosciences [1142166] Funding Source: National Science Foundation; Office of Polar Programs (OPP); Directorate For Geosciences [0944348] Funding Source: National Science Foundation; Office Of The Director; Office Of Internatl Science &amp;Engineering [0968391] Funding Source: National Science Foundation</t>
  </si>
  <si>
    <t>Norwegian Polar Institute; U.S. National Science Foundation (NSF)(National Science Foundation (NSF)); Research Council of Norway(Research Council of Norway); NSF Office of Polar Programs(National Science Foundation (NSF)); Office of Polar Programs (OPP); Directorate For Geosciences(National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</si>
  <si>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Funding for this research was provided by the Norwegian Polar Institute, the U.S. National Science Foundation (NSF), and the Research Council of Norway within the framework of TASTE-IDEA project 152 of IPY 2007-2008. We thank the students and scientists that made this research possible through their efforts in project organization, sample collection, and sample analysis at the Desert Research Institute. We also recognize the WAIS Divide project, funded by the NSF Office of Polar Programs, which produced the records used for dating the NUS ice cores.</t>
  </si>
  <si>
    <t>10.1002/2013JD020377</t>
  </si>
  <si>
    <t>WOS:000338340400040</t>
  </si>
  <si>
    <t>Levine, JG; Yang, X; Jones, AE; Wolff, EW</t>
  </si>
  <si>
    <t>Levine, J. G.; Yang, X.; Jones, A. E.; Wolff, E. W.</t>
  </si>
  <si>
    <t>Sea salt as an ice core proxy for past sea ice extent: A process-based model study</t>
  </si>
  <si>
    <t>LAST GLACIAL MAXIMUM; POLAR TROPOSPHERIC OZONE; CHEMICAL-TRANSPORT MODEL; INDIAN-OCEAN SECTOR; BLOWING SNOW; SURFACE TEMPERATURE; DEPLETION EVENTS; WEST ANTARCTICA; ATLANTIC-OCEAN; SOUTHERN-OCEAN</t>
  </si>
  <si>
    <t>Sea ice is a reflection of, and a feedback on, the Earth's climate. We explore here, using a global atmospheric chemistry-transport model, the use of sea salt in Antarctic ice cores to obtain continuous long-term, regionally integrated records of past sea ice extent, synchronous with ice core records of climate. The model includes the production, transport, and deposition of sea salt aerosol from the open ocean and blowing snow on sea ice. Under current climate conditions, we find that meteorology, not sea ice extent, is the dominant control on the atmospheric concentration of sea salt reaching coastal and continental Antarctic sites on interannual timescales. However, through a series of idealized sensitivity experiments, we demonstrate that sea salt has potential as a proxy for larger changes in sea ice extent (e.g., glacial-interglacial). Treating much of the sea ice under glacial conditions as a source of salty blowing snow, we demonstrate that the increase in sea ice extent alone (without changing the meteorology) could drive, for instance, a 68% increase in atmospheric sea salt concentration at the site of the Dome C ice core, which exhibits an approximate twofold glacial increase in sea salt flux. We also show how the sensitivity of this potential proxy decreases toward glacial sea ice extent-the basis of an explanation previously proposed for the lag observed between changes in sea salt flux and delta D (an ice core proxy for air temperature) at glacial terminations. The data thereby permit simultaneous changes in sea ice extent and climate.</t>
  </si>
  <si>
    <t>[Levine, J. G.; Jones, A. E.; Wolff, E. W.] British Antarctic Survey, Cambridge CB3 0ET, England; [Yang, X.] Univ Cambridge, Dept Chem, Ctr Atmospher Sci, Cambridge CB2 1EW, England; [Yang, X.] Univ Cambridge, Natl Ctr Atmospher Sci Climate, Cambridge, England; [Wolff, E. W.] Univ Cambridge, Dept Earth Sci, Cambridge CB2 3EQ, England</t>
  </si>
  <si>
    <t>UK Research &amp; Innovation (UKRI); Natural Environment Research Council (NERC); NERC British Antarctic Survey; University of Cambridge; University of Cambridge; University of Cambridge</t>
  </si>
  <si>
    <t>Levine, JG (corresponding author), Univ Birmingham, Sch Geog Earth &amp; Environm Sci, Birmingham, W Midlands, England.</t>
  </si>
  <si>
    <t>j.g.levine@bham.ac.uk</t>
  </si>
  <si>
    <t>Wolff, Eric W/D-7925-2014; Yang, Xin/AGB-3514-2022; Levine, James/KCZ-2135-2024</t>
  </si>
  <si>
    <t>Wolff, Eric W/0000-0002-5914-8531; Yang, Xin/0000-0002-3838-9758; Levine, James/0000-0002-0932-9115</t>
  </si>
  <si>
    <t>British Antarctic Survey Polar Science for Planet Earth Programme; Past4Future project; BLOWSEA project; European Commission; UK Natural Environment Research Council; NERC; NCAS-Climate; NERC [NE/I012036/1, bas0100024] Funding Source: UKRI; Natural Environment Research Council [NE/I012036/1, bas0100024] Funding Source: researchfish</t>
  </si>
  <si>
    <t>British Antarctic Survey Polar Science for Planet Earth Programme; Past4Future project; BLOWSEA project; European Commission(European Union (EU)European Commission Joint Research Centre); UK Natural Environment Research Council(UK Research &amp; Innovation (UKRI)Natural Environment Research Council (NERC)); NERC(UK Research &amp; Innovation (UKRI)Natural Environment Research Council (NERC)); NCAS-Climate;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</si>
  <si>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and a contribution to the Past4Future and BLOWSEA projects funded, respectively, by the European Commission (7th Framework Programme) and the UK Natural Environment Research Council; we gratefully acknowledge their support. James Levine also acknowledges the support of the NERC-funded project, CLAIRE-UK, during preparation and revision of this manuscript, Xin Yang thanks NCAS-Climate for their support, and Eric Wolff acknowledges the Royal Society. We are grateful to the Centre for Atmospheric Science, University of Cambridge, for use of the Cambridge p-TOMCAT model, Cathy Reader of Environment Canada for her help in implementing simple treatments of SSA wet and dry deposition, and Louise Sime and Peter Frettwell of the British Antarctic Survey for their help, respectively, in utilizing GLAMAP SSTs and a high-resolution land/sea mask. We thank: Sunling Gong of Environment Canada for the sea salt concentration data underpinning Figure 7 of Gong et al. [2002]; Michel Legrand, Bruno Jourdain, and Susanne Preunkert of the Laboratoire de Glaciologie et Geophysique de l'Environnement for their sea salt measurements at the CESOA Observatory at Concordia Station; and Rolf Weller of the Alfred Wegner Institute and Dietmar Wagenbach of the Institut fur Umweltphysik, University of Heidelberg, for the measurements at Kohnen Station and Neumayer. We are grateful to Paul Holland, Liz Thomas, and Tom Bracegirdle of the British Antarctic Survey for helpful discussions in the preparation of this manuscript. Finally, we thank two anonymous reviewers for their constructive comments and criticisms.</t>
  </si>
  <si>
    <t>10.1002/2013JD020925</t>
  </si>
  <si>
    <t>WOS:000338340400045</t>
  </si>
  <si>
    <t>Coghlan, A</t>
  </si>
  <si>
    <t>Coghlan, Andy</t>
  </si>
  <si>
    <t>Antarctic ice collapse seems unstoppable</t>
  </si>
  <si>
    <t>NEW SCIENTIST</t>
  </si>
  <si>
    <t>andy, C/JWO-7336-2024</t>
  </si>
  <si>
    <t>REED BUSINESS INFORMATION LTD</t>
  </si>
  <si>
    <t>SUTTON</t>
  </si>
  <si>
    <t>QUADRANT HOUSE THE QUADRANT, SUTTON SM2 5AS, SURREY, ENGLAND</t>
  </si>
  <si>
    <t>0262-4079</t>
  </si>
  <si>
    <t>NEW SCI</t>
  </si>
  <si>
    <t>New Sci.</t>
  </si>
  <si>
    <t>MAY 17</t>
  </si>
  <si>
    <t>AH6KL</t>
  </si>
  <si>
    <t>WOS:000336239700008</t>
  </si>
  <si>
    <t>Sumner, T</t>
  </si>
  <si>
    <t>Sumner, Thomas</t>
  </si>
  <si>
    <t>CLIMATE CHANGE No Stopping the Collapse of West Antarctic Ice Sheet</t>
  </si>
  <si>
    <t>MAY 16</t>
  </si>
  <si>
    <t>10.1126/science.344.6185.683</t>
  </si>
  <si>
    <t>AH1WQ</t>
  </si>
  <si>
    <t>WOS:000335912900013</t>
  </si>
  <si>
    <t>von Salm, Jacqueline L.; Wilson, Nerida G.; Vesely, Brian A.; Kyle, Dennis E.; Cuce, Jason; Baker, Bill J.</t>
  </si>
  <si>
    <t>Shagenes A and B, New Tricyclic Sesquiterpenes Produced by an Undescribed Antarctic Octocoral</t>
  </si>
  <si>
    <t>ORGANIC LETTERS</t>
  </si>
  <si>
    <t>MARINE NATURAL-PRODUCTS; CORAL ALCYONIUM-PAESSLERI; VALERIANA-OFFICINALIS; CHEMICAL ECOLOGY; CHEMISTRY</t>
  </si>
  <si>
    <t>The isolation and characterization of two new tricyclic sesquiterpenoids, shagenes A (1) and B (2) are presented. These compounds were isolated from an undescribed soft coral collected from the Scotia Arc in the Southern Ocean. One- and two-dimensional NMR spectroscopy and mass spectrometry provided the data necessary to characterize the compounds and their relative stereochemical configurations. Exploration of the bioactivity of shagenes A and B found 1 active against the visceral leishmaniasis causing parasite, Leishmania donovani, with no cytotoxicity against the mammalian host.</t>
  </si>
  <si>
    <t>[von Salm, Jacqueline L.; Cuce, Jason; Baker, Bill J.] Univ S Florida, Dept Chem, Tampa, FL 33620 USA; [von Salm, Jacqueline L.; Cuce, Jason; Baker, Bill J.] Univ S Florida, Ctr Drug Discovery &amp; Innovat, Tampa, FL 33620 USA; [Vesely, Brian A.; Kyle, Dennis E.] Univ S Florida, Dept Global Hlth, Tampa, FL 33620 USA</t>
  </si>
  <si>
    <t>State University System of Florida; University of South Florida; State University System of Florida; University of South Florida; State University System of Florida; University of South Florida</t>
  </si>
  <si>
    <t>Baker, BJ (corresponding author), Univ S Florida, Dept Chem, Tampa, FL 33620 USA.</t>
  </si>
  <si>
    <t>bjbaker@usf.edu</t>
  </si>
  <si>
    <t>Baker, Bill/N-4312-2019; Wilson, Nerida G./AAC-1456-2019; Wilson, Nerida/G-8433-2011</t>
  </si>
  <si>
    <t>Wilson, Nerida/0000-0002-0784-0200; Kyle, Dennis/0000-0002-0238-965X; von Salm, Jacqueline/0000-0003-2277-5491</t>
  </si>
  <si>
    <t>National Science Foundation from the Antarctic Organisms and Ecosystems program [ANT-1043749, ANT-0838776]; National Institutes of Health from the National Institute of Allergy and Infectious Diseases [AI103673]; Office of Polar Programs (OPP); Directorate For Geosciences [1043749] Funding Source: National Science Foundation</t>
  </si>
  <si>
    <t>National Science Foundation from the Antarctic Organisms and Ecosystems program(National Science Foundation (NSF)NSF - Directorate for Geosciences (GEO)); National Institutes of Health from the National Institute of Allergy and Infectious Diseases; Office of Polar Programs (OPP); Directorate For Geosciences(National Science Foundation (NSF)NSF - Directorate for Geosciences (GEO))</t>
  </si>
  <si>
    <t>We thank the crew and research scientists on board the Nathaniel B. Palmer during the above-mentioned field season that kept us afloat and were always willing to lend a helping hand. The project was supported by National Science Foundation awards ANT-1043749 (N.G.W.) and ANT-0838776 (B.J.B.) from the Antarctic Organisms and Ecosystems program, and National Institutes of Health grant AI103673 (B.J.B. and D.E.K.) from the National Institute of Allergy and Infectious Diseases. Greg W. Rouse, Scripps Institution of Oceanography, was instrumental in the logistical and conceptual implementation of this research. We extend special thanks to family and friends of The Baker Lab for their support, hard work, and dedication.</t>
  </si>
  <si>
    <t>1523-7060</t>
  </si>
  <si>
    <t>1523-7052</t>
  </si>
  <si>
    <t>ORG LETT</t>
  </si>
  <si>
    <t>Org. Lett.</t>
  </si>
  <si>
    <t>10.1021/ol500792x</t>
  </si>
  <si>
    <t>Chemistry, Organic</t>
  </si>
  <si>
    <t>Science Citation Index Expanded (SCI-EXPANDED); Index Chemicus (IC)</t>
  </si>
  <si>
    <t>Chemistry</t>
  </si>
  <si>
    <t>AH5VM</t>
  </si>
  <si>
    <t>WOS:000336199200015</t>
  </si>
  <si>
    <t>Mengerink, KJ; Van Dover, CL; Ardron, J; Baker, M; Escobar-Briones, E; Gjerde, K; Koslow, JA; Ramirez-Llodra, E; Lara-Lopez, A; Squires, D; Sutton, T; Sweetman, AK; Levin, LA</t>
  </si>
  <si>
    <t>Mengerink, Kathryn J.; Van Dover, Cindy L.; Ardron, Jeff; Baker, Maria; Escobar-Briones, Elva; Gjerde, Kristina; Koslow, J. Anthony; Ramirez-Llodra, Eva; Lara-Lopez, Ana; Squires, Dale; Sutton, Tracey; Sweetman, Andrew K.; Levin, Lisa A.</t>
  </si>
  <si>
    <t>A Call for Deep-Ocean Stewardship</t>
  </si>
  <si>
    <t>SEA; IMPACT; DEPTH; OIL</t>
  </si>
  <si>
    <t>[Mengerink, Kathryn J.] Environm Law Inst, Washington, DC 20036 USA; [Mengerink, Kathryn J.; Koslow, J. Anthony; Levin, Lisa A.] Univ Calif San Diego, Scripps Inst Oceanog, Ctr Marine Biodivers &amp; Conservat, La Jolla, CA 92093 USA; [Van Dover, Cindy L.] Duke Univ, Marine Lab, Beaufort, NC 28516 USA; [Ardron, Jeff] Inst Adv Sustainabil Studies, Potsdam, Germany; [Baker, Maria] Univ Southampton, Natl Oceanog Ctr, Southampton, Hants, England; [Escobar-Briones, Elva] Univ Nacl Autonoma Mexico, ICML, Mexico City 04510, DF, Mexico; [Gjerde, Kristina] Wycliffe Management, PL-05510 Warsaw, Poland; [Ramirez-Llodra, Eva] Norwegian Inst Water Res NIVA, Oslo, Norway; [Lara-Lopez, Ana] Univ Tasmania, Inst Marine &amp; Antarctic Studies, Hobart, Tas, Australia; [Squires, Dale] Univ Calif San Diego, La Jolla, CA 92093 USA; [Sutton, Tracey] Nova SE Univ, Coll Oceanog, Oceanog Ctr, Dania, FL 33004 USA; [Sweetman, Andrew K.] Int Res Inst Stavanger, Stavanger, Norway</t>
  </si>
  <si>
    <t>University of California System; University of California San Diego; Scripps Institution of Oceanography; Duke University; University of Southampton; NERC National Oceanography Centre; Universidad Nacional Autonoma de Mexico; Norwegian Institute for Water Research (NIVA); University of Tasmania; University of California System; University of California San Diego; Nova Southeastern University</t>
  </si>
  <si>
    <t>Levin, LA (corresponding author), Univ Calif San Diego, Scripps Inst Oceanog, Ctr Marine Biodivers &amp; Conservat, La Jolla, CA 92093 USA.</t>
  </si>
  <si>
    <t>llevin@ucsd.edu</t>
  </si>
  <si>
    <t>Sutton, Tracey/AAW-7644-2021; Ardron, Jeff/ABI-7397-2020</t>
  </si>
  <si>
    <t>Sutton, Tracey/0000-0002-5280-7071; Levin, Lisa/0000-0002-2858-8622; Baker, Maria/0000-0001-6977-8935; Escobar Briones, Elva/0000-0002-8485-7495; Lara-Lopez, Ana/0000-0003-2896-1367; Ramirez-Llodra, Eva/0000-0003-0137-1906; Van Dover, Cindy/0000-0001-9845-8391</t>
  </si>
  <si>
    <t>10.1126/science.1251458</t>
  </si>
  <si>
    <t>WOS:000335912900022</t>
  </si>
  <si>
    <t>Joughin, I; Smith, BE; Medley, B</t>
  </si>
  <si>
    <t>Joughin, Ian; Smith, Benjamin E.; Medley, Brooke</t>
  </si>
  <si>
    <t>Marine Ice Sheet Collapse Potentially Under Way for the Thwaites Glacier Basin, West Antarctica</t>
  </si>
  <si>
    <t>PINE ISLAND; SHELF; SATELLITE</t>
  </si>
  <si>
    <t>Resting atop a deep marine basin, the West Antarctic Ice Sheet has long been considered prone to instability. Using a numerical model, we investigated the sensitivity of Thwaites Glacier to ocean melt and whether its unstable retreat is already under way. Our model reproduces observed losses when forced with ocean melt comparable to estimates. Simulated losses are moderate (&lt;0.25 mm per year at sea level) over the 21st century but generally increase thereafter. Except possibly for the lowest-melt scenario, the simulations indicate that early-stage collapse has begun. Less certain is the time scale, with the onset of rapid (&gt;1 mm per year of sea-level rise) collapse in the different simulations within the range of 200 to 900 years.</t>
  </si>
  <si>
    <t>[Joughin, Ian; Smith, Benjamin E.; Medley, Brooke] Univ Washington, Appl Phys Lab, Polar Sci Ctr, Seattle, WA 98105 USA</t>
  </si>
  <si>
    <t>Joughin, I (corresponding author), Univ Washington, Appl Phys Lab, Polar Sci Ctr, 1013 NE 40th St, Seattle, WA 98105 USA.</t>
  </si>
  <si>
    <t>Joughin, Ian R/A-2998-2008; Joughin, Ian/AAR-7778-2021</t>
  </si>
  <si>
    <t>Joughin, Ian R/0000-0001-6229-679X; Joughin, Ian/0000-0001-6229-679X</t>
  </si>
  <si>
    <t>NSF [ANT-0424589, ANT-0631973]; NASA [NNX09AE47G]; NASA [NNX09AE47G, 119983] Funding Source: Federal RePORTER</t>
  </si>
  <si>
    <t>NSF(National Science Foundation (NSF)); NASA(National Aeronautics &amp; Space Administration (NASA)); NASA(National Aeronautics &amp; Space Administration (NASA))</t>
  </si>
  <si>
    <t>Comments by M. Maki, D. Shapero, and four anonymous reviewers improved the manuscript. NSF supported I.J. and B.M.'s contribution (grants ANT-0424589 and ANT-0631973), and B.E.S. was supported by NASA (grant NNX09AE47G). We acknowledge NASA's Operation IceBridge, which provided much of the data used to constrain the model. The data used to constrain the model are archived at the University of Washington Library (http://dx.doi.org/10.6069/H5CC0XMK).</t>
  </si>
  <si>
    <t>10.1126/science.1249055</t>
  </si>
  <si>
    <t>WOS:000335912900038</t>
  </si>
  <si>
    <t>Kleman, J; Applegate, PJ</t>
  </si>
  <si>
    <t>Kleman, Johan; Applegate, Patrick J.</t>
  </si>
  <si>
    <t>Durations and propagation patterns of ice sheet instability events</t>
  </si>
  <si>
    <t>Ice-sheet; Collapse; Instability; Ice stream; West Antarctica</t>
  </si>
  <si>
    <t>SURGE-TYPE GLACIERS; REVERSE BED SLOPE; BASAL CONDITIONS; WEST ANTARCTICA; OUTLET GLACIERS; SEA-LEVEL; STREAMS; MODEL; FLOW; STABILITY</t>
  </si>
  <si>
    <t>Continued atmospheric and ocean warming places parts of the West Antarctic Ice Sheet at risk for collapse through accelerated ice flow and grounding line retreat over reversed bed slopes. However, understanding of the speed and duration of ice sheet instability events remains incomplete, limiting our ability to include these events in sea level rise projections. Here, we use a first-order, empirical approach, exploring past instability events in the Fennoscandian (FIS) and Laurentide (LIS) ice sheets to establish a relationship between catchment size and the duration of instability events. We also examine how instabilities propagate through ice sheet catchments, and how this propagation is controlled by topography and existing flow organisation at the onset of an event. We find that the fastest documented paleo-collapses involved streaming or surging in corridors that are wide compared to their length, and in which fast flow did not resume after the event. Distributed ice stream networks, in which narrow ice streams were intertwined with slow-flow interstream ridges, are not represented among the fastest documented events. For the FIS and LIS, there is geological evidence for instability events covering areas of similar to 100,000 km(2), with durations between 100 and 300 yr. Comparison of the spatial patterns and topographic contexts of Lateglacial collapse events in former Northern Hemisphere ice sheets and the current WAIS suggest that only a minor part of the WAIS area may be at risk for unimpeded collapse, and that negative feedbacks will likely slow or halt ice drawdown in remaining areas. The Pine Island Glacier (PIG) and Thwaites Glacier (TG) catchments in West Antarctica are likely to respond in very different ways to possible further grounding line retreat. The PIG may experience a minor collapse over its main trunk, but the bed topography favours a less dramatic retreat thereafter. The TG is probably not as close to a threshold as PIG, but once efficient drainage has progressed inwards to reach the Bentley Subglacial Basin (BSB) and Bentley Subglacial Trench (BST), a full collapse of the area may occur. The likely time perspective for a BSB BST collapse is the time required for 100-200 km of grounding line retreat in the TG system plus 100-300 years for an actual collapse event. (C) 2013 The Authors. Published by Elsevier Ltd. All rights reserved.</t>
  </si>
  <si>
    <t>[Kleman, Johan] Stockholm Univ, Dept Phys Geog &amp; Quaternary Geol, Bolin Ctr Climate Res, Stockholm, Sweden; [Applegate, Patrick J.] Penn State Univ, Earth &amp; Environm Sci Inst, University Pk, PA 16802 USA</t>
  </si>
  <si>
    <t>Stockholm University; Pennsylvania Commonwealth System of Higher Education (PCSHE); Pennsylvania State University; Pennsylvania State University - University Park</t>
  </si>
  <si>
    <t>Kleman, J (corresponding author), Stockholm Univ, Dept Phys Geog &amp; Quaternary Geol, Bolin Ctr Climate Res, Stockholm, Sweden.</t>
  </si>
  <si>
    <t>johan.kleman@natgeo.su.se</t>
  </si>
  <si>
    <t>Swedish Research Council; FORMAS</t>
  </si>
  <si>
    <t>Swedish Research Council(Swedish Research Council); FORMAS(Swedish Research Council Formas)</t>
  </si>
  <si>
    <t>The study was funded by grants to J. Kiernan from the Swedish Research Council, and a Linnaeus grant to the Bolin Centre for Climate Research from the Swedish Research Council and FORMAS.</t>
  </si>
  <si>
    <t>MAY 15</t>
  </si>
  <si>
    <t>10.1016/j.quascirev.2013.07.030</t>
  </si>
  <si>
    <t>AI8SX</t>
  </si>
  <si>
    <t>WOS:000337198400003</t>
  </si>
  <si>
    <t>Fuke, H; Ong, RA; Aramaki, T; Bando, N; Boggs, SE; Doetinchem, PV; Gahbauer, FH; Hailey, CJ; Koglin, JE; Madden, N; Mognet, SAI; Mori, K; Okazaki, S; Perez, KM; Yoshida, T; Zweerink, J</t>
  </si>
  <si>
    <t>Fuke, H.; Ong, R. A.; Aramaki, T.; Bando, N.; Boggs, S. E.; Doetinchem, P. V.; Gahbauer, F. H.; Hailey, C. J.; Koglin, J. E.; Madden, N.; Mognet, S. A. I.; Mori, K.; Okazaki, S.; Perez, K. M.; Yoshida, T.; Zweerink, J.</t>
  </si>
  <si>
    <t>The pGAPS experiment: An engineering balloon flight of prototype GAPS</t>
  </si>
  <si>
    <t>ADVANCES IN SPACE RESEARCH</t>
  </si>
  <si>
    <t>Dark matter; Cosmic-ray antideuteron; Prototype balloon experiment</t>
  </si>
  <si>
    <t>DARK-MATTER; ANTIPARTICLE SPECTROMETER; ANTIDEUTERONS; SIGNATURE</t>
  </si>
  <si>
    <t>The General Anti-Particle Spectrometer (GAPS) project is being carried out to search for primary cosmic-ray antiparticles especially for antideuterons produced by cold dark matter. GAPS plans to realize the science observation by Antarctic long duration balloon flights in the late 2010s. In preparation for the Antarctic science flights, an engineering balloon flight using a prototype of the GAPS instrument, pGAPS, was successfully carried out in June 2012 in Japan to verify the basic performance of each GAPS subsystem. The outline of the pGAPS flight campaign is briefly reported. (C) 2013 COSPAR. Published by Elsevier Ltd. All rights reserved.</t>
  </si>
  <si>
    <t>[Fuke, H.; Bando, N.; Okazaki, S.; Yoshida, T.] Japan Aerosp Explorat Agcy ISAS JAXA, Inst Space &amp; Astronaut Sci, Sagamihara, Kanagawa 2525210, Japan; [Ong, R. A.; Mognet, S. A. I.; Zweerink, J.] Univ Calif Los Angeles, Dept Phys &amp; Astron, Los Angeles, CA 90095 USA; [Aramaki, T.; Gahbauer, F. H.; Hailey, C. J.; Koglin, J. E.; Madden, N.; Mori, K.; Perez, K. M.] Columbia Univ, Columbia Astrophys Lab, New York, NY 10027 USA; [Boggs, S. E.; Doetinchem, P. V.] Univ Calif Berkeley, Space Sci Lab, Berkeley, CA 94720 USA</t>
  </si>
  <si>
    <t>Japan Aerospace Exploration Agency (JAXA); Institute of Space &amp; Astronautical Science (ISAS); University of California System; University of California Los Angeles; Columbia University; University of California System; University of California Berkeley</t>
  </si>
  <si>
    <t>Fuke, H (corresponding author), Japan Aerosp Explorat Agcy ISAS JAXA, Inst Space &amp; Astronaut Sci, Sagamihara, Kanagawa 2525210, Japan.</t>
  </si>
  <si>
    <t>fuke.hideyuki@jaxa.jp</t>
  </si>
  <si>
    <t>Gahbauer, Florian H/J-9542-2014; Boggs, Steven E/E-4170-2015; Gahbauer, Florian/M-8734-2019</t>
  </si>
  <si>
    <t>Gahbauer, Florian H/0000-0002-7126-2513; Gahbauer, Florian/0000-0002-7126-2513; Ong, Rene/0000-0002-4837-5253; Aramaki, Tsuguo/0000-0002-5104-4682; Yoshida, Tetsuya/0000-0003-0553-0150</t>
  </si>
  <si>
    <t>NASA APRA [NNX09AC13G, NNX09AC16G]; MEXT [KAKEN-HI (22340073)]; Division Of Astronomical Sciences; Direct For Mathematical &amp; Physical Scien [1202958] Funding Source: National Science Foundation; Grants-in-Aid for Scientific Research [22340073] Funding Source: KAKEN; NASA [120635, NNX09AC13G, NNX09AC16G, 119288] Funding Source: Federal RePORTER</t>
  </si>
  <si>
    <t>NASA APRA(National Aeronautics &amp; Space Administration (NASA)); MEXT(Ministry of Education, Culture, Sports, Science and Technology, Japan (MEXT)); Division Of Astronomical Sciences; Direct For Mathematical &amp; Physical Scien(National Science Foundation (NSF)NSF - Directorate for Mathematical &amp; Physical Sciences (MPS)); Grants-in-Aid for Scientific Research(Ministry of Education, Culture, Sports, Science and Technology, Japan (MEXT)Japan Society for the Promotion of ScienceGrants-in-Aid for Scientific Research (KAKENHI)); NASA(National Aeronautics &amp; Space Administration (NASA))</t>
  </si>
  <si>
    <t>We thank J. Hoberman for the development of the GAPS electronics, and we also thank G. Tajiri and D. Stefanik for the mechanical engineering support. We are grateful for the support of Prof. H. Ogawa and Prof. Y. Miyazaki for the OHP development. We thank the Scientific Balloon Office of ISAS/JAXA for the professional support of the pGAPS flight. This work is partly supported in the US by NASA APRA Grants (NNX09AC13G, NNX09AC16G) and in Japan by MEXT Grants KAKEN-HI (22340073).</t>
  </si>
  <si>
    <t>0273-1177</t>
  </si>
  <si>
    <t>1879-1948</t>
  </si>
  <si>
    <t>ADV SPACE RES</t>
  </si>
  <si>
    <t>Adv. Space Res.</t>
  </si>
  <si>
    <t>10.1016/j.asr.2013.06.026</t>
  </si>
  <si>
    <t>Engineering, Aerospace; Astronomy &amp; Astrophysics; Geosciences, Multidisciplinary; Meteorology &amp; Atmospheric Sciences</t>
  </si>
  <si>
    <t>Engineering; Astronomy &amp; Astrophysics; Geology; Meteorology &amp; Atmospheric Sciences</t>
  </si>
  <si>
    <t>AI6UY</t>
  </si>
  <si>
    <t>WOS:000337013700007</t>
  </si>
  <si>
    <t>Crespin, J; Yam, R; Crosta, X; Massé, G; Schmidt, S; Campagne, P; Shemesh, A</t>
  </si>
  <si>
    <t>Crespin, Julien; Yam, Ruth; Crosta, Xavier; Masse, Guillaume; Schmidt, Sabine; Campagne, Philippine; Shemesh, Aldo</t>
  </si>
  <si>
    <t>Holocene glacial discharge fluctuations and recent instability in East Antarctica</t>
  </si>
  <si>
    <t>East Antarctica; Holocene; glaciers; diatoms; oxygen isotopes; ENSO</t>
  </si>
  <si>
    <t>OXYGEN-ISOTOPE COMPOSITION; NEW-ZEALAND; BIOGENIC SILICA; ICE-SHELF; DIATOM DELTA-O-18; ATLANTIC SECTOR; MARINE DIATOMS; CLIMATE-CHANGE; EL-NINO; OCEAN</t>
  </si>
  <si>
    <t>Antarctica holds the largest ice sheet in the world, the East Antarctic Ice Sheet (EAIS), and plays a significant role in both local and global climate through the interactions between ice sheets, ocean, sea ice, and atmosphere. Our understanding of East Antarctica Holocene climate variability relies mainly on ice cores that however do not document glacial discharge history. Here, we present the first high resolution delta O-18(diatom) record derived from two marine sediment cores retrieved on the East Antarctic continental shelf to reconstruct glacial discharge off Adelie Land and George V Land (AL-GVL) over the last 11,000 years from decadal to centennial resolution. Our results suggest multi-centennial glacier advances and retreats until 2000 cal yr BP, followed by a period of relative instability marked by two major glacial retreats centered at similar to 1700 cal yr BP and similar to 1980 CE. We suggest that the multi-centennial oscillations during the Early/Mid-Holocene reflect glacier fluctuations in response to long-term local seasonal insolation and short-term solar variability. We also propose that delta O-18(diatom) variability over the last 2000 years was the result of a recent change in the AL-GVL region to increasing atmospheric influence, linked to ENSO intensification and teleconnections strengthening between low and high latitudes. (C) 2014 Elsevier B.V. All rights reserved.</t>
  </si>
  <si>
    <t>[Crespin, Julien; Yam, Ruth; Shemesh, Aldo] Weizmann Inst Sci, IL-76100 Rehovot, Israel; [Crosta, Xavier; Schmidt, Sabine; Campagne, Philippine] Univ Bordeaux 1, EPOC, UMR CNRS 5805, F-33405 Talence, France; [Masse, Guillaume] Univ Paris 06, LOCEAN, UMR 7159, F-75252 Paris 05, France; [Masse, Guillaume] Univ Laval, TAKUVIK, UMI 3367, Quebec City, PQ G1V OA6, Canada</t>
  </si>
  <si>
    <t>Weizmann Institute of Science; Centre National de la Recherche Scientifique (CNRS); CNRS - National Institute for Earth Sciences &amp; Astronomy (INSU); Universite de Bordeaux; Centre National de la Recherche Scientifique (CNRS); CNRS - National Institute for Earth Sciences &amp; Astronomy (INSU); Sorbonne Universite; Museum National d'Histoire Naturelle (MNHN); Laval University</t>
  </si>
  <si>
    <t>Crespin, J (corresponding author), Weizmann Inst Sci, IL-76100 Rehovot, Israel.</t>
  </si>
  <si>
    <t>julien.crespin@weizmann.ac.il</t>
  </si>
  <si>
    <t>Schmidt, Sabine/G-1193-2013; campagne, philippine/G-3444-2017</t>
  </si>
  <si>
    <t>Schmidt, Sabine/0000-0002-5985-9747; campagne, philippine/0000-0002-4784-2008</t>
  </si>
  <si>
    <t>Feinberg Graduate School post doctoral fellowship from the Weizmann Institute</t>
  </si>
  <si>
    <t>Thanks to I. Brailovsky for the dedicated laboratory and office assistance. We are grateful to the anonymous reviewers for their highly constructive comments which greatly improved the paper. This research was partially supported by a Feinberg Graduate School post doctoral fellowship from the Weizmann Institute to J.C. Logistic support was obtained from the French IPEV and the international IMAGES program, ALBION and HOLOCLIP projects. The HOLOCLIP Project, a joint research project of ESF PolarCLIMATE programme, is funded by national contributions from Italy, France, Germany, Spain, Netherlands, Belgium, and the United Kingdom. This is a HOLOCLIP publication number 21.</t>
  </si>
  <si>
    <t>10.1016/j.epsl.2014.03.009</t>
  </si>
  <si>
    <t>AG7QQ</t>
  </si>
  <si>
    <t>WOS:000335613300005</t>
  </si>
  <si>
    <t>Rickli, J; Gutjahr, M; Vance, D; Fischer-Goedde, M; Hillenbrand, CD; Kuhn, G</t>
  </si>
  <si>
    <t>Rickli, Joerg; Gutjahr, Marcus; Vance, Derek; Fischer-Goedde, Mario; Hillenbrand, Claus-Dieter; Kuhn, Gerhard</t>
  </si>
  <si>
    <t>Neodymium and hafnium boundary contributions to seawater along the West Antarctic continental margin</t>
  </si>
  <si>
    <t>neodymium; hafnium; seawater; Southern Ocean; radiogenic isotopes</t>
  </si>
  <si>
    <t>ND ISOTOPIC COMPOSITION; RARE-EARTH-ELEMENTS; NORTH-ATLANTIC DEEP; MARIE BYRD LAND; OCEAN CIRCULATION; BOTTOM WATER; DISSOLVED ZIRCONIUM; PACIFIC-OCEAN; SOUTHERN-OCEAN; PORE WATERS</t>
  </si>
  <si>
    <t>Neodymium and hafnium isotopes and elemental concentrations (Sm, Nd, Hf, Zr) have been measured in three water column profiles south of the Antarctic Circumpolar Current in, and to the east of the Ross Sea, in conjunction with five bottom water samples from the Amundsen Sea Embayment. Neodymium and hafnium both appear to be released from sediments in the Embayment In the case of Nd, this is reflected in radiogenic isotope compositions (epsilon(Nd) up to -5.4) and highly elevated concentrations (up to 41 pmol/kg). Hafnium isotopes, on the other hand, are only very slightly altered relative to the open ocean sites, and boundary release is most prominently indicated by elevated concentrations (&gt;1 pmol/kg versus similar to 0.7 pmol/kg). There is also a local input of both Hf and Nd at the Marie Byrd Seamounts, which leads to Nd isotope compositions as radiogenic as -3.1, and hafnium shifted to less radiogenic compositions in local bottom water. A compilation of the new data with literature data reveals a consistent view of the influence of Antarctica on the Nd isotope composition in Lower Circumpolar Deep Water (LCDW) and Antarctic Bottom Water (AABW). Sector specific Nd addition shifts AABW formed in the Atlantic sector to less radiogenic isotope compositions (average epsilon(Nd) = -9) relative to LCDW (average epsilon(Nd) = -8.4), whereas AABW in the Pacific sector is shifted to more radiogenic values (average epsilon(Nd) = -7). The evolution towards more radiogenic epsilon(Nd) with depth in LCDW in the Pacific sector is likely to reflect admixture of AABW but, in addition, is also controlled by boundary exchange with the slope as observed at the Marie Byrd Seamounts. Hafnium isotopes are relatively homogeneous in the data set, ranging between epsilon(Hf) = +2 and +3.8 for most samples, excluding less radiogenic compositions in deep waters close to the Marie Byrd Seamounts. The Hf isotope composition in the Pacific sector is, however, slightly less radiogenic than in the Atlantic, corresponding to an average of +3 relative to an average of +3.8. This probably reflects unradiogenic Hf inputs from Antarctica to the Pacific sector, which are vertically homogenized by reversible scavenging. The Hf isotope heterogeneity in LCDW between both sectors is likely to indicate a shorter seawater residence time for Hf than for Nd, which is consistent with the dissolved - particulate phase partitioning of both elements. (C) 2014 Elsevier B.V. All rights reserved.</t>
  </si>
  <si>
    <t>[Rickli, Joerg; Vance, Derek] ETH, Inst Geochem &amp; Petr, Clausiusstr 25, CH-8092 Zurich, Switzerland; [Rickli, Joerg] Univ Bristol, Sch Earth Sci, Bristol Isotope Grp, Bristol BS8 1RJ, Avon, England; [Gutjahr, Marcus] GEOMAR Helmholtz Ctr Ocean Res Kiel, D-24148 Kiel, Germany; [Fischer-Goedde, Mario] Univ Munster, Inst Planetol, D-48149 Munster, Germany; [Hillenbrand, Claus-Dieter] British Antarctic Survey, Cambridge CB3 0ET, England; [Kuhn, Gerhard] Alfred Wegener Inst, D-27568 Bremerhaven, Germany</t>
  </si>
  <si>
    <t>Swiss Federal Institutes of Technology Domain; ETH Zurich; University of Bristol; Helmholtz Association; GEOMAR Helmholtz Center for Ocean Research Kiel; University of Munster; UK Research &amp; Innovation (UKRI); Natural Environment Research Council (NERC); NERC British Antarctic Survey; Helmholtz Association; Alfred Wegener Institute, Helmholtz Centre for Polar &amp; Marine Research</t>
  </si>
  <si>
    <t>Rickli, J (corresponding author), ETH, Inst Geochem &amp; Petr, Clausiusstr 25, CH-8092 Zurich, Switzerland.</t>
  </si>
  <si>
    <t>joerg.rickli@erdw.ethz.ch; mgutjahr@geomar.de; derek.vance@erdw.ethz.ch; m.fischer-goedde@uni-muenster.de; hilc@bas.ac.uk; Gerhard.Kuhn@awi.de</t>
  </si>
  <si>
    <t>Gutjahr, Marcus/L-9158-2013; Gutjahr, Marcus/ABC-2674-2020</t>
  </si>
  <si>
    <t>Gutjahr, Marcus/0000-0003-2556-2619; Gutjahr, Marcus/0000-0003-2556-2619; Fischer-Godde, Mario/0000-0001-6839-9001; Kuhn, Gerhard/0000-0001-6069-7485; Rickli, Jorg/0000-0001-8186-2750</t>
  </si>
  <si>
    <t>Marie Curie Fellowship [253117, 220941]; NERC [bas0100027] Funding Source: UKRI</t>
  </si>
  <si>
    <t>Marie Curie Fellowship(European Union (EU)); NERC(UK Research &amp; Innovation (UKRI)Natural Environment Research Council (NERC))</t>
  </si>
  <si>
    <t>The crews and the shipboard scientific parties during RV Polarstem expedition ANT-XXVI/3 in 2010, especially chief scientist Karsten Gohl, are thanked for all their help during seawater sampling. Chris Coath and the Bristol Isotope Group are thanked for keeping the labs running smoothly. We thank the three anonymous reviewers and the editor Gideon Henderson for their comprehensive and valuable comments. This work was supported by Marie Curie Fellowships to J.R. (Project No. 253117) and M.G. (Project No. 220941).</t>
  </si>
  <si>
    <t>10.1016/j.epsl.2014.03.008</t>
  </si>
  <si>
    <t>WOS:000335613300011</t>
  </si>
  <si>
    <t>Alexander, P; Duncan, A; Bose, N; Wilkes, D; Lewis, R; de Souza, P</t>
  </si>
  <si>
    <t>Alexander, Polly; Duncan, Alec; Bose, Neil; Wilkes, Daniel; Lewis, Ron; de Souza, Paulo</t>
  </si>
  <si>
    <t>Noise characterisation of the Aurora Australis while stationary in Antarctic sea ice</t>
  </si>
  <si>
    <t>OCEAN ENGINEERING</t>
  </si>
  <si>
    <t>Ship noise; Underwater acoustics; Aurora Australis</t>
  </si>
  <si>
    <t>BOUNDARY-ELEMENT METHOD; UNDERWATER NOISE; SOUND; FISH</t>
  </si>
  <si>
    <t>This work investigates the underwater noise propagation of the primary vessel used by the Australian Antarctic Division Aurora Australis while stationary in a configuration and location suitable for under-ice Autonomous Underwater Vehicle (AUV) deployment. It outlines a novel method for recording and validating the noise of a vessel using available equipment and standard deployment options. Numerical modelling using the Fast Multipole Boundary Element Method (FMBEM) is combined with the response to a calibrated source to assess the limitations and residual uncertainty of the experiment. The results of this work indicate that there is a 10 dB re 1 mu Pa reduction in mean noise by removal of main engine noise and a low point in ship noise at 3.8 kHz. Two hundred metres depth was found to be a preferred depth for uniformity in the noise field. (C) 2014 Elsevier Ltd. All rights reserved.</t>
  </si>
  <si>
    <t>[Alexander, Polly; Bose, Neil] Univ Tasmania, Australian Maritime Coll, Launceston, Tas 7248, Australia; [Alexander, Polly; de Souza, Paulo] CSIRO Computat Informat, Intelligent Sensing &amp; Syst Lab, Hobart, Tas 7000, Australia; [Duncan, Alec; Wilkes, Daniel] CMST Curtin Univ, Perth, WA 6102, Australia; [Lewis, Ron] Mem Univ Newfoundland, Fac Engn, St John, NF, Canada</t>
  </si>
  <si>
    <t>University of Tasmania; Australian Maritime College; Commonwealth Scientific &amp; Industrial Research Organisation (CSIRO); Curtin University; Memorial University Newfoundland</t>
  </si>
  <si>
    <t>Alexander, P (corresponding author), Univ Tasmania, Australian Maritime Coll, Maritime Way, Launceston, Tas 7248, Australia.</t>
  </si>
  <si>
    <t>pollyalexander@gmail.com</t>
  </si>
  <si>
    <t>de Souza, Paulo A/B-8961-2008; Bose, Neil/AAG-6329-2019; de Souza, Paulo/P-7294-2019; de Souza, Paulo/W-2993-2019; Duncan, Alec/B-7514-2015</t>
  </si>
  <si>
    <t>Bose, Neil/0000-0002-6444-0756; de Souza, Paulo/0000-0002-0091-8925; Duncan, Alec/0000-0002-2179-727X</t>
  </si>
  <si>
    <t>Australian Maritime College; Intelligent Sensing and Systems Laboratory; Sensor Networks TCP at CSIRO; Australian Antarctic Division; Antarctic Climate and Ecosystems Cooperative Research Centre</t>
  </si>
  <si>
    <t>Australian Maritime College; Intelligent Sensing and Systems Laboratory; Sensor Networks TCP at CSIRO; Australian Antarctic Division; Antarctic Climate and Ecosystems Cooperative Research Centre(Australian GovernmentDepartment of Industry, Innovation and ScienceCooperative Research Centres (CRC) Programme)</t>
  </si>
  <si>
    <t>Thanks to the Australian Maritime College and the Intelligent Sensing and Systems Laboratory and Sensors and Sensor Networks TCP at CSIRO for their financial support of this work.; Thanks to the Australian Antarctic Division and the Antarctic Climate and Ecosystems Cooperative Research Centre for their support of the experimental work and thanks to the crew of the Aurora Australis for their help.</t>
  </si>
  <si>
    <t>0029-8018</t>
  </si>
  <si>
    <t>1873-5258</t>
  </si>
  <si>
    <t>OCEAN ENG</t>
  </si>
  <si>
    <t>Ocean Eng.</t>
  </si>
  <si>
    <t>10.1016/j.oceaneng.2014.02.030</t>
  </si>
  <si>
    <t>Engineering, Marine; Engineering, Civil; Engineering, Ocean; Oceanography</t>
  </si>
  <si>
    <t>AG2XI</t>
  </si>
  <si>
    <t>WOS:000335280000006</t>
  </si>
  <si>
    <t>Roberts, EM; Lamanna, MC; Clarke, JA; Meng, J; Gorscak, E; Sertich, JJW; O'Connor, PM; Claeson, KM; MacPhee, RDE</t>
  </si>
  <si>
    <t>Roberts, Eric M.; Lamanna, Matthew C.; Clarke, Julia A.; Meng, Jin; Gorscak, Eric; Sertich, Joseph J. W.; O'Connor, Patrick M.; Claeson, Kerin M.; MacPhee, Ross D. E.</t>
  </si>
  <si>
    <t>Stratigraphy and vertebrate paleoecology of Upper Cretaceous-?lowest Paleogene strata on Vega Island, Antarctica</t>
  </si>
  <si>
    <t>Vertebrates; Stratigraphy; Antarctica; Paleoecology; Cretaceous; Vega Island</t>
  </si>
  <si>
    <t>JAMES-ROSS-ISLAND; SEYMOUR-ISLAND; MARAMBIO GROUP; CAPE LAMB; EXTINCTION PATTERNS; BERTODANO FORMATION; 1ST RECORD; DINOSAUR; GASTROLITHS; PATAGONIA</t>
  </si>
  <si>
    <t>The Upper Cretaceous (Maastrichtian) Sandwich Bluff Member of the Lopez de Bertodano Formation is well exposed on Vega Island in the James Ross Basin off the northeastern coast of the Antarctic Peninsula. Although this unit is one of the richest sources of end-Cretaceous vertebrate fossils in Antarctica, it is also one of the least sedimentologically and stratigraphically characterized units in the basin. New fades and stratigraphic analyses of the Sandwich Bluff Member and the underlying Cape Lamb Member of the Snow Hill Island Formation were performed in tandem with intensive prospecting for fossil vertebrates and stratigraphic assessment of historic paleontological localities on Vega Island. This effort has led to a revised stratigraphy for the Sandwich Bluff Member and the precise stratigraphic placement of important terrestrial and marine vertebrate fossil localities. Facies analysis reveals a fining and shallowing upward trend through the section that culminates in a newly recognized sequence boundary near the top of the Sandwich Bluff Member, followed by the deposition of a previously unrecognized, 6 m-thick, matrix-supported pebble-cobble conglomerate of probable alluvial origin. Immediately overlying this unit, well-developed Thalassinoides burrow networks in fine-grained transgressive sandstones and siltstones indicate a rapid return to marine conditions. A similar stratigraphic pattern is well documented at the top of the Lopez de Bertodano Formation and the base of the overlying (Paleocene) Sobral Formation on Seymour Island in the southern part of the basin. Although no fossils were recovered to constrain the age of the upper 10-15 m of the succession on Vega Island that preserves the newly recognized upper sequence boundary, strata below this level can be confidently placed within the Manumiella bertodano interval zone, which extends to a short distance below the K-Pg boundary on Seymour Island. Hence, based on sequence stratigraphic and lithostratigraphic evidence, the uppermost 10-15 m of the succession on Vega Island may encompass the Cretaceous-Paleogene boundary together with a few meters of the Paleocene Sobral Formation. Crown Copyright (C) 2014 Published by Elsevier B.V. All rights reserved.</t>
  </si>
  <si>
    <t>[Roberts, Eric M.] James Cook Univ, Sch Earth &amp; Environm Sci, Townsville, Qld 4811, Australia; [Lamanna, Matthew C.] Carnegie Museum Nat Hist, Sect Vertebrate Paleontol, Pittsburgh, PA 15213 USA; [Clarke, Julia A.] Univ Texas Austin, Jackson Sch Geosci, Dept Geol Sci, Austin, TX 78712 USA; [Meng, Jin] Amer Museum Nat Hist, Dept Paleontol, New York, NY 10024 USA; [Gorscak, Eric; O'Connor, Patrick M.] Ohio Univ, Heritage Coll Osteopath Med, Dept Biomed Sci, Athens, OH 45701 USA; [Sertich, Joseph J. W.] Denver Museum Nat &amp; Sci, Dept Earth Sci, Denver, CO 80205 USA; [Claeson, Kerin M.] Philadelphia Coll Osteopath Med, Dept Biomed Sci, Philadelphia, PA 19131 USA; [MacPhee, Ross D. E.] Amer Museum Nat Hist, Dept Mammal, New York, NY 10024 USA</t>
  </si>
  <si>
    <t>James Cook University; University of Texas System; University of Texas Austin; American Museum of Natural History (AMNH); University System of Ohio; Ohio University; American Museum of Natural History (AMNH)</t>
  </si>
  <si>
    <t>Roberts, EM (corresponding author), James Cook Univ, Sch Earth &amp; Environm Sci, Townsville, Qld 4811, Australia.</t>
  </si>
  <si>
    <t>eric.roberts@jcu.edu.au</t>
  </si>
  <si>
    <t>Roberts, Eric M/J-1836-2014; meng, jin/JXO-0705-2024; OConnor, Patrick/I-9383-2012</t>
  </si>
  <si>
    <t>OConnor, Patrick/0000-0002-6762-3806</t>
  </si>
  <si>
    <t>National Science Foundation [ANT-0636639, ANT-1142052, ANT-1142104, ANT-1141820]; Office of Polar Programs (OPP); Directorate For Geosciences [1142129, 1142104] Funding Source: National Science Foundation</t>
  </si>
  <si>
    <t>We thank the crew of the United States Antarctic Program R/V Laurence M. Gould (Cruise LMG 11-02), S. Alesandrini, K. Barbery, J. Evans, A. Hickey, C. Miller, S. Moret-Ferguson, S. Owen, and especially K. Watson (Raytheon Polar Services Company, Centennial, CO, USA) for the field and other logistical assistance. This work benefitted from discussions with D. Barbeau (University of South Carolina, Columbia, SC, USA), J. Francis (British Antarctic Survey, Cambridge, UK), J. Kirschvink (California Institute of Technology, Pasadena, CA, USA), J. Case (Eastern Washington University) and T. Tobin and P. Ward (University of Washington, Seattle, WA, USA). This manuscript benefited from the comments and advice of the editor, F. Surlyk, and two anonymous reviewers. This research was supported by the National Science Foundation grants ANT-0636639 and ANT-1142052 to R.D.E.M., ANT-1142129 to M.C.L, ANT-1142104 to P.M.O., and ANT-1141820 to J.A.C.</t>
  </si>
  <si>
    <t>10.1016/j.palaeo.2014.03.005</t>
  </si>
  <si>
    <t>AG2YL</t>
  </si>
  <si>
    <t>WOS:000335282900005</t>
  </si>
  <si>
    <t>Labidi, J; Cartigny, P; Hamelin, C; Moreira, M; Dosso, L</t>
  </si>
  <si>
    <t>Labidi, J.; Cartigny, P.; Hamelin, C.; Moreira, M.; Dosso, L.</t>
  </si>
  <si>
    <t>Sulfur isotope budget (32S, 33S, 34S and 36S) in Pacific-Antarctic ridge basalts: A record of mantle source heterogeneity and hydrothermal sulfide assimilation</t>
  </si>
  <si>
    <t>MID-ATLANTIC RIDGE; SIDEROPHILE ELEMENT GEOCHEMISTRY; MICROBIAL SULFATE REDUCTION; ALTERED OCEANIC BASALTS; OXYGEN FUGACITY; OXIDATION-STATE; SILICATE MELTS; TERRESTRIAL PLANETS; ABYSSAL PERIDOTITES; STABLE-ISOTOPE</t>
  </si>
  <si>
    <t>To better address how Mid-Ocean Ridge Basalt (MORB) sulfur isotope composition can be modified by assimilation and/or by immiscible sulfide fractionation, we report sulfur (S), chlorine (Cl) and copper (Cu) abundances together with multiple sulfur isotope composition for 38 fresh basaltic glasses collected on the Pacific-Antarctic ridge. All the studied glasses - with the exception of 8 off-axis samples - exhibit relatively high Cl/K, as the result of pervasive Cl-rich fluid assimilation. This sample set hence offers an opportunity to document both the upper mantle S isotope composition and the effect of hydrothermal fluids assimilation on the S isotope composition of erupted basalts along segments that are devoid of plume influence. Delta S-33 and Delta S-36 yield homogenous values within error of Canyon Diablo Troilite (CDT), whereas delta S-34 are variable, ranging between -1.57 +/- 0.11 parts per thousand and +0.60 +/- 0.10 parts per thousand with a mean value of -0.64 +/- 0.40 parts per thousand (1 sigma, versus V-CDT). The geographic distribution of delta S-34 follows a spike-like pattern, with local S-34-enrichments by up to +1.30 parts per thousand compared to a low-delta S-34 baseline. As hydrothermal massive sulfides are characterized by relative S-34-enrichments, such first-order variability can be accounted for by hydrothermal sulfide assimilation, a process that would occur for a subset of samples (n = 10). Excluding these particular samples, the mean delta S-34 is significantly less variable, averaging at -0.89 +/- 0.11 parts per thousand (1 sigma, n = 28), a value that we suggest to be representative of the average MORB source value for Pacific-Antarctic basalts. Weak trends between delta S-34 and Pb-206/Pb-204 are displayed by such uncontaminated samples suggesting the recycled oceanic crust to have a modest impact on the S budget of the mantle. Their positive signs, however, suggest the depleted mantle to have a delta S-34 of -1.40 +/- 0.50 parts per thousand. The sub-chondritic S-34/S-32 value that was previously observed for the South-Atlantic mantle is here extended to the Pacific-Antarctic domain. Such a feature cannot originate from oceanic crust recycling and substantiates the concept of a core-mantle fractionation relict. (C) 2014 Elsevier Ltd. All rights reserved.</t>
  </si>
  <si>
    <t>[Labidi, J.; Cartigny, P.] Univ Paris Diderot, Sorbonne Paris Cite, Inst Phys Globe Paris, Lab Geochim Isotopes Stables,UMR CNRS 7154, F-75238 Paris, France; [Hamelin, C.] Univ Bergen, Ctr Geobiol, N-5020 Bergen, Norway; [Moreira, M.] Univ Paris Diderot, Sorbonne Paris Cite, Inst Phys Globe Paris, Lab Geochim &amp; Cosmochim,UMR CNRS 7154, F-75238 Paris, France; [Dosso, L.] IFREMER, Ctr Natl Rech Sci, UMR 6538, F-29280 Plouzane, France</t>
  </si>
  <si>
    <t>Universite Paris Cite; Centre National de la Recherche Scientifique (CNRS); CNRS - National Institute for Earth Sciences &amp; Astronomy (INSU); University of Bergen; Universite Paris Cite; Centre National de la Recherche Scientifique (CNRS); CNRS - National Institute for Earth Sciences &amp; Astronomy (INSU); Universite de Bretagne Occidentale; Centre National de la Recherche Scientifique (CNRS); CNRS - National Institute for Earth Sciences &amp; Astronomy (INSU); Ifremer</t>
  </si>
  <si>
    <t>Labidi, J (corresponding author), Carnegie Inst Washington, Geophys Lab, 5251 Broad Branch Rd NW, Washington, DC 20015 USA.</t>
  </si>
  <si>
    <t>jlabidi@gl.ciw.edu</t>
  </si>
  <si>
    <t>Hamelin, Cédric/C-6656-2009; Cartigny, Pierre/A-6251-2011; Labidi, Jabrane/AAJ-5062-2021; moreira, manuel A/H-5329-2017; Labidi, Jabrane/GXW-2179-2022</t>
  </si>
  <si>
    <t>Labidi, Jabrane/0000-0002-5656-226X; Labidi, Jabrane/0000-0002-5656-226X</t>
  </si>
  <si>
    <t>region Ile de France (Sesame); CNRS (INSU-Mi-lourd); CNRS (CEDIT-CNRS); IPGP (BQR)</t>
  </si>
  <si>
    <t>region Ile de France (Sesame)(Region Ile-de-France); CNRS (INSU-Mi-lourd); CNRS (CEDIT-CNRS); IPGP (BQR)</t>
  </si>
  <si>
    <t>Guillaume Thoraval and the glass-blowing workshop at Universite Paris-Diderot are acknowledged. Shuhei Ono, Yuichiro Ueno and an anonymous reviewer are warmly thanked for their constructive reviews. Jeff Alt is thanked for editorial handling of the paper. The present equipment was funded by the region Ile de France (Sesame), CNRS (INSU-Mi-lourd and CEDIT-CNRS) and IPGP (BQR). This is IPGP contribution 3474.</t>
  </si>
  <si>
    <t>10.1016/j.gca.2014.02.023</t>
  </si>
  <si>
    <t>AF6OE</t>
  </si>
  <si>
    <t>WOS:000334833600004</t>
  </si>
  <si>
    <t>Suzuki, I; Sato, K; Fahlman, A; Naito, Y; Miyazaki, N; Trites, AW</t>
  </si>
  <si>
    <t>Suzuki, Ippei; Sato, Katsufumi; Fahlman, Andreas; Naito, Yasuhiko; Miyazaki, Nobuyuki; Trites, Andrew W.</t>
  </si>
  <si>
    <t>Drag, but not buoyancy, affects swim speed in captive Steller sea lions</t>
  </si>
  <si>
    <t>Cost of transport; Optimal swim speed; Diving; Eumetopias jubatus</t>
  </si>
  <si>
    <t>NORTHERN ELEPHANT SEALS; ANTARCTIC FUR SEALS; EUMETOPIAS-JUBATUS; WEDDELL SEALS; STROKING PATTERNS; DIVING METABOLISM; FORAGING BEHAVIOR; BODY CONDITION; ADULT FEMALE; COST</t>
  </si>
  <si>
    <t>Swimming at an optimal speed is critical for breath-hold divers seeking to maximize the time they can spend foraging underwater. Theoretical studies have predicted that the optimal swim speed for an animal while transiting to and from depth is independent of buoyancy, but is dependent on drag and metabolic rate. However, this prediction has never been experimentally tested. Our study assessed the effects of buoyancy and drag on the swim speed of three captive Steller sea lions (Eumetopias jubatus) that made 186 dives. Our study animals were trained to dive to feed at fixed depths (10-50 m) under artificially controlled buoyancy and drag conditions. Buoyancy and drag were manipulated using a pair of polyvinyl chloride (PVC) tubes attached to harnesses worn by the sea lions, and buoyancy conditions were designed to fall within the natural range of wild animals (similar to 12-26% subcutaneous fat). Drag conditions were changed with and without the PVC tubes, and swim speeds were recorded and compared during descent and ascent phases using an accelerometer attached to the harnesses. Generalized linear mixed-effect models with the animal as the random variable and five explanatory variables (body mass, buoyancy, dive depth, dive phase, and drag) showed that swim speed was best predicted by two variables, drag and dive phase (AIC = -139). Consistent with a previous theoretical prediction, the results of our study suggest that the optimal swim speed of Steller sea lions is a function of drag, and is independent of dive depth and buoyancy.</t>
  </si>
  <si>
    <t>[Suzuki, Ippei; Sato, Katsufumi; Miyazaki, Nobuyuki] Univ Tokyo, Atmosphere &amp; Ocean Res Inst, Kashiwa, Chiba 2778564, Japan; [Suzuki, Ippei] Univ Tokyo, Grad Sch Frontier Sci, Dept Nat Environm Study, Kashiwa, Chiba 2778564, Japan; [Fahlman, Andreas] Texas A&amp;M Univ, Dept Life Sci, Corpus Christi, TX 78412 USA; [Fahlman, Andreas; Trites, Andrew W.] Univ British Columbia, Fisheries Ctr, Dept Zool, Vancouver, BC V6T 1Z4, Canada; [Fahlman, Andreas; Trites, Andrew W.] Univ British Columbia, Fisheries Ctr, Marine Mammal Res Unit, Vancouver, BC V6T 1Z4, Canada; [Naito, Yasuhiko] Natl Inst Polar Res, Tachikawa, Tokyo 1908518, Japan</t>
  </si>
  <si>
    <t>University of Tokyo; University of Tokyo; Texas A&amp;M University System; University of British Columbia; University of British Columbia; Research Organization of Information &amp; Systems (ROIS); National Institute of Polar Research (NIPR) - Japan</t>
  </si>
  <si>
    <t>Suzuki, I (corresponding author), Univ Tokyo, Atmosphere &amp; Ocean Res Inst, Kashiwa, Chiba 2778564, Japan.</t>
  </si>
  <si>
    <t>isuzuki@aori.u-tokyo.ac.jp</t>
  </si>
  <si>
    <t>Trites, Andrew/K-5648-2012; Fahlman, Andreas/A-2901-2011</t>
  </si>
  <si>
    <t>Fahlman, Andreas/0000-0002-8675-6479; Trites, Andrew/0000-0003-0342-5322</t>
  </si>
  <si>
    <t>North Pacific Universities Marine Mammal Research Consortium through North Pacific Marine Science Foundation from the US National Marine Fisheries Service [NOAA] [NA05NMF4391068]; Japan Society for the Promotion of Science (JSPS) [24241001]; Research Fellowships of the JSPS for Young Scientists [22-5577]; program 'Bio-logging Science, The University of Tokyo'</t>
  </si>
  <si>
    <t>North Pacific Universities Marine Mammal Research Consortium through North Pacific Marine Science Foundation from the US National Marine Fisheries Service [NOAA]; Japan Society for the Promotion of Science (JSPS)(Ministry of Education, Culture, Sports, Science and Technology, Japan (MEXT)Japan Society for the Promotion of Science); Research Fellowships of the JSPS for Young Scientists; program 'Bio-logging Science, The University of Tokyo'</t>
  </si>
  <si>
    <t>This study was supported by the North Pacific Universities Marine Mammal Research Consortium through a grant received by the North Pacific Marine Science Foundation from the US National Marine Fisheries Service [NOAA grant No. NA05NMF4391068 to A.W.T.] and funded by grants from the Japan Society for the Promotion of Science (JSPS) [grant No. 24241001 to K.S.] and the Research Fellowships of the JSPS for Young Scientists [grant No. 22-5577 to I. S.], and the program 'Bio-logging Science, The University of Tokyo' led by N.M.</t>
  </si>
  <si>
    <t>10.1242/bio.20146130</t>
  </si>
  <si>
    <t>AZ2MQ</t>
  </si>
  <si>
    <t>WOS:000348068100009</t>
  </si>
  <si>
    <t>Heinonen, JS; Carlson, RW; Riley, TR; Luttinen, AV; Horan, MF</t>
  </si>
  <si>
    <t>Heinonen, Jussi S.; Carlson, Richard W.; Riley, Teal R.; Luttinen, Arto V.; Horan, Mary F.</t>
  </si>
  <si>
    <t>Subduction-modified oceanic crust mixed with a depleted mantle reservoir in the sources of the Karoo continental flood basalt province</t>
  </si>
  <si>
    <t>large igneous province; continental flood basalt; Karoo; picrite; mantle source; crustal recycling</t>
  </si>
  <si>
    <t>DRONNING-MAUD-LAND; SOUTHWEST INDIAN RIDGE; ENERGY-CONSTRAINED ASSIMILATION; TRACE-ELEMENT COMPOSITION; LARGE IGNEOUS PROVINCES; RE-OS ISOTOPE; MAJOR-ELEMENT; SR-ISOTOPE; ANTARCTICA EVIDENCE; GARNET PYROXENITE</t>
  </si>
  <si>
    <t>The great majority of continental flood basalts (CFBs) have a marked lithospheric geochemical signature, suggesting derivation from the continental lithosphere, or contamination by it. Here we present new Pb and Os isotopic data and review previously published major element, trace element, mineral chemical, and Sr and Nd isotopic data for geochemically unusual mafic and ultramafic dikes located in the Antarctic segment (Ahlmannryggen, western Dronning Maud Land) of the Karoo CFB province. Some of the dikes show evidence of minor contamination with continental crust, but the least contaminated dikes exhibit depleted mantle - like initial epsilon(Nd) (+9) and Os-187/Os-188 (0.1244-0.1251) at 180 Ma. In contrast, their initial Sr and Pb isotopic compositions (Sr-87/Sr-86 = 0.7035-0.7062, Pb-206/Pb-204 = 18.2-18.4, Pb-207/Pb-204 = 15.49-15.52, Pb-208/Pb-204 = 37.7-37.9 at 180 Ma) are more enriched than expected for depleted mantle, and the major element and mineral chemical evidence indicate contribution from (recycled) pyroxenite sources. Our Sr, Nd, Pb, and Os isotopic and trace element modeling indicate mixed peridotite-pyroxenite sources that contain similar to 10-30% of seawater-altered and subduction-modified MORB with a recycling age of less than 1.0 Ga entrained in a depleted Os-rich peridotite matrix. Such a source would explain the unusual combination of elevated initial Sr-87/Sr-86 and Pb isotopic ratios and relative depletion in LILE, U, Th, Pb and LREE, high initial epsilon(Nd), and low initial Os-187/Os-188. Although the sources of the dikes probably did not play a major part in the generation of the Karoo CFBs in general, different kind of recycled source components (e.g., sediment-influenced) would be more difficult to distinguish from lithospheric CFB geochemical signatures. In addition to underlying continental lithosphere, the involvement of recycled sources in causing the apparent lithospheric geochemical affinity of CFBs should thus be carefully assessed in every case. (C) 2014 Elsevier B.V. All rights reserved.</t>
  </si>
  <si>
    <t>[Heinonen, Jussi S.; Luttinen, Arto V.] Univ Helsinki, Finnish Museum Nat Hist, FIN-00014 Helsinki, Finland; [Heinonen, Jussi S.; Carlson, Richard W.; Horan, Mary F.] Carnegie Inst Sci, Dept Terr Magnetism, Washington, DC 20015 USA; [Riley, Teal R.] British Antarctic Survey, Cambridge CB3 0ET, England</t>
  </si>
  <si>
    <t>University of Helsinki; Carnegie Institution for Science; UK Research &amp; Innovation (UKRI); Natural Environment Research Council (NERC); NERC British Antarctic Survey</t>
  </si>
  <si>
    <t>Heinonen, JS (corresponding author), Univ Helsinki, Finnish Museum Nat Hist, POB 44, FIN-00014 Helsinki, Finland.</t>
  </si>
  <si>
    <t>jussi.s.heinonen@helsinki.fi; carlson@dtm.ciw.edu; trr@bas.ac.uk; arto.luttinen@helsinki.fi; horan@dtm.ciw.edu</t>
  </si>
  <si>
    <t>; Heinonen, Jussi/L-6152-2013</t>
  </si>
  <si>
    <t>Luttinen, Arto Vesa/0000-0002-3129-0392; Riley, Teal/0000-0002-3333-5021; Heinonen, Jussi/0000-0001-8998-4357</t>
  </si>
  <si>
    <t>Academy of Finland [252652]; Academy of Finland (AKA) [252652] Funding Source: Academy of Finland (AKA); Natural Environment Research Council [bas0100026] Funding Source: researchfish; NERC [bas0100026] Funding Source: UKRI</t>
  </si>
  <si>
    <t>Academy of Finland(Research Council of Finland); Academy of Finland (AKA); Natural Environment Research Council(UK Research &amp; Innovation (UKRI)Natural Environment Research Council (NERC)); NERC(UK Research &amp; Innovation (UKRI)Natural Environment Research Council (NERC))</t>
  </si>
  <si>
    <t>Dr. James Day and an anonymous reviewer provided constructive reviews and comments that improved the manuscript and strengthened the discussion. Dr. T. Mark Harrison is acknowledged for competent editorial handling. Dr. Timothy Mock from DTM helped in preparing the TIMS instrument for the analysis. The field and air operations staff at Halley Base during 2000-2001 are thanked for their support. Some of the diagrams have been produced with the help of the GCDkit software (Janousek et al., 2006). Our research is funded by the Academy of Finland (Grant No. 252652).</t>
  </si>
  <si>
    <t>10.1016/j.epsl.2014.03.012</t>
  </si>
  <si>
    <t>WOS:000335613300023</t>
  </si>
  <si>
    <t>Frank, TD; James, NP; Bone, Y; Malcolm, I; Bobak, LE</t>
  </si>
  <si>
    <t>Frank, Tracy D.; James, Noel P.; Bone, Yvonne; Malcolm, Isabelle; Bobak, Lindsey E.</t>
  </si>
  <si>
    <t>Late Quaternary carbonate deposition at the bottom of the world</t>
  </si>
  <si>
    <t>SEDIMENTARY GEOLOGY</t>
  </si>
  <si>
    <t>Antarctica; Quaternary; Biogenic sediment; Cold-water carbonate; Heterozoan assemblage</t>
  </si>
  <si>
    <t>SEA CONTINENTAL-SHELF; ROSS-SEA; YAKATAGA FORMATION; MIDDLETON-ISLAND; ANTARCTIC SHELF; HIGH-LATITUDE; WATER; SEDIMENTATION; RECORD; QUEENSLAND</t>
  </si>
  <si>
    <t>Carbonate sediments on polar shelves hold great potential for improving understanding of climate and oceanography in regions of the globe that are particularly sensitive to global change. Such deposits have, however, not received much attention from sedimentologists and thus remain poorly understood. This study investigates the distribution, composition, diagenesis, and stratigraphic context of Late Quaternary calcareous sediments recovered in 15 piston cores from the Ross Sea shelf, Antarctica. Results are used to develop a depositional model for carbonate deposition on glaciated, polar shelves. The utility of the deposits as analogs for the ancient record is explored. In the Ross Sea, carbonate-rich lithofacies, consisting of poorly sorted skeletal sand and gravel, are concentrated in the west and along the outer reaches of the continental shelf and upper slope. Analysis of fossil assemblages shows that deposits were produced by numerous low-diversity benthic communities dominated locally by stylasterine hydrocorals, barnacles, or bryozoans. Radiocarbon dating indicates that carbonate sedimentation was episodic, corresponding to times of reduced siliciclastic deposition. Most accumulation occurred during a time of glacial expansion in the lead-up to the Last Glacial Maximum. A more recent interval of carbonate accumulation postdates the early Holocene sea level rise and the establishment of the modem grounding line for the Ross Ice Shelf. When carbonate factories were inactive, fossil debris was subjected to infestation by bioeroders, dissolution, fragmentation, and physical reworking. This study reveals the episodic nature of carbonate deposition in polar settings and a reciprocal relationship with processes that deliver and redistribute siliciclastic debris. Carbonate production is most active during colder periods of the glacial-interglacial cycle, a potential new sedimentological paradigm for polar carbonate systems. Low accumulation rates and long residence times on the seafloor leave sediments vulnerable to significant post-depositional modification, processes that profoundly affect the appearance of deposits as they enter the rock record. Comparison with other examples of polar carbonates highlights the utility of these Late Quaternary deposits as a well-constrained analog that can aid in the recognition and interpretation of similar deposits from the ancient record. (C) 2014 Elsevier B.V. All rights reserved.</t>
  </si>
  <si>
    <t>[Frank, Tracy D.] Univ Nebraska, Dept Earth &amp; Atmospher Sci, Lincoln, NE 68588 USA; [James, Noel P.; Malcolm, Isabelle] Queens Univ, Dept Geol Sci &amp; Engn, Kingston, ON K7L 3N6, Canada; [Bone, Yvonne] Univ Adelaide, Sch Earth &amp; Environm Sci, Adelaide, SA 5005, Australia</t>
  </si>
  <si>
    <t>University of Nebraska System; University of Nebraska Lincoln; Queens University - Canada; University of Adelaide</t>
  </si>
  <si>
    <t>Frank, TD (corresponding author), Univ Nebraska, Dept Earth &amp; Atmospher Sci, 214 Bessey Hall, Lincoln, NE 68588 USA.</t>
  </si>
  <si>
    <t>tfrank2@unl.edu</t>
  </si>
  <si>
    <t>Frank, Tracy/0000-0002-8422-7389</t>
  </si>
  <si>
    <t>NSF [EAR-0645504]; Natural Sciences and Engineering Research Council of Canada; SEPM Student Assistance Grant</t>
  </si>
  <si>
    <t>NSF(National Science Foundation (NSF)); Natural Sciences and Engineering Research Council of Canada(Natural Sciences and Engineering Research Council of Canada (NSERC)CGIAR); SEPM Student Assistance Grant</t>
  </si>
  <si>
    <t>This research was supported by NSF Grant EAR-0645504 to TDF, a Natural Sciences and Engineering Research Council of Canada Discovery Grant to NPJ, and a SEPM Student Assistance Grant to LEB. We thank S. Wise and others at the Antarctic Marine Geological Research Facility at Florida State University for access to cores and assistance with sampling. We are also grateful to two anonymous reviewers, whose comments led to significant improvement of this manuscript.</t>
  </si>
  <si>
    <t>0037-0738</t>
  </si>
  <si>
    <t>1879-0968</t>
  </si>
  <si>
    <t>SEDIMENT GEOL</t>
  </si>
  <si>
    <t>Sediment. Geol.</t>
  </si>
  <si>
    <t>10.1016/j.sedgeo.2014.02.008</t>
  </si>
  <si>
    <t>AI5FU</t>
  </si>
  <si>
    <t>WOS:000336891600001</t>
  </si>
  <si>
    <t>Peel, D; Miller, BS; Kelly, N; Dawson, S; Slooten, E; Double, MC</t>
  </si>
  <si>
    <t>Peel, David; Miller, Brian S.; Kelly, Natalie; Dawson, Steve; Slooten, Elisabeth; Double, Michael C.</t>
  </si>
  <si>
    <t>A Simulation Study of Acoustic-Assisted Tracking of Whales for Mark-Recapture Surveys</t>
  </si>
  <si>
    <t>MALE SPERM-WHALES; PACIFIC; BLUE; KAIKOURA; ABUNDANCE; BEHAVIOR; DESIGN; CALLS</t>
  </si>
  <si>
    <t>Collecting enough data to obtain reasonable abundance estimates of whales is often difficult, particularly when studying rare species. Passive acoustics can be used to detect whale sounds and are increasingly used to estimate whale abundance. Much of the existing effort centres on the use of acoustics to estimate abundance directly, e. g. analysing detections in a distance sampling framework. Here, we focus on acoustics as a tool incorporated within mark-recapture surveys. In this context, acoustic tools are used to detect and track whales, which are then photographed or biopsied to provide data for mark-recapture analyses. The purpose of incorporating acoustics is to increase the encounter rate beyond using visual searching only. While this general approach is not new, its utility is rarely quantified. This paper predicts the acoustically-assisted'' encounter rate using a discrete-time individual-based simulation of whales and survey vessel. We validate the simulation framework using existing data from studies of sperm whales. We then use the framework to predict potential encounter rates in a study of Antarctic blue whales. We also investigate the effects of a number of the key parameters on encounter rate. Mean encounter rates from the simulation of sperm whales matched well with empirical data. Variance of encounter rate, however, was underestimated. The simulation of Antarctic blue whales found that passive acoustics should provide a 1.7-3.0 fold increase in encounter rate over visual-only methods. Encounter rate was most sensitive to acoustic detection range, followed by vocalisation rate. During survey planning and design, some indication of the relationship between expected sample size and effort is paramount; this simulation framework can be used to predict encounter rates and establish this relationship. For a case in point, the simulation framework indicates unequivocally that real-time acoustic tracking should be considered for quantifying the abundance of Antarctic blue whales via mark-recapture methods.</t>
  </si>
  <si>
    <t>[Peel, David; Kelly, Natalie] CSIRO Computat Informat, Wealth Oceans Natl Res Flagship, Hobart, Tas, Australia; [Peel, David; Miller, Brian S.; Kelly, Natalie; Double, Michael C.] Australian Marine Mammal Ctr, Australian Antarctic Div, Dept Environm, Kingston, Tas, Australia; [Dawson, Steve; Slooten, Elisabeth] Univ Otago, Dunedin, New Zealand</t>
  </si>
  <si>
    <t>Commonwealth Scientific &amp; Industrial Research Organisation (CSIRO); Australian Antarctic Division; University of Otago</t>
  </si>
  <si>
    <t>Peel, D (corresponding author), CSIRO Computat Informat, Wealth Oceans Natl Res Flagship, Hobart, Tas, Australia.</t>
  </si>
  <si>
    <t>David.peel@csiro.au</t>
  </si>
  <si>
    <t>Peel, David/E-8888-2010; Kelly, Natalie/B-3481-2010</t>
  </si>
  <si>
    <t>Kelly, Nat/0000-0002-9664-354X; Dawson, Stephen/0000-0003-3182-0186; Miller, Brian/0000-0001-7615-3044</t>
  </si>
  <si>
    <t>Australian Government; Australian Antarctic Science Project [4102]</t>
  </si>
  <si>
    <t>Australian Government(Australian Government); Australian Antarctic Science Project</t>
  </si>
  <si>
    <t>This work was supported by the Australian Government, and contributes to Australian Antarctic Science Project 4102. The funders had no role in study design, data collection and analysis, decision to publish, or preparation of the manuscript.</t>
  </si>
  <si>
    <t>MAY 14</t>
  </si>
  <si>
    <t>e95602</t>
  </si>
  <si>
    <t>10.1371/journal.pone.0095602</t>
  </si>
  <si>
    <t>AI4TJ</t>
  </si>
  <si>
    <t>WOS:000336857400013</t>
  </si>
  <si>
    <t>van de Vijver, B; Morales, EA; Kopalová, K</t>
  </si>
  <si>
    <t>van de Vijver, Bart; Morales, Eduardo A.; Kopalova, Katerina</t>
  </si>
  <si>
    <t>Three new araphid diatoms (Bacillariophyta) from the Maritime Antarctic Region</t>
  </si>
  <si>
    <t>Antarctica; Bacillariophyta; morphology; new species; Staurosira; Staurosirella; taxonomy</t>
  </si>
  <si>
    <t>LIVINGSTON ISLAND; GENUS; RIVERS; COMMUNITIES; MORPHOLOGY; ENDEMISM; REVISION; ECOLOGY; WATERS; TAXA</t>
  </si>
  <si>
    <t>A revision of taxa from the genus Staurosira and Staurosirella from the Maritime Antarctic Region, formerly identified as Staurosirella (Fragilaria) pinnata and Fragilaria alpestris, resulted in the description of three new taxa: Staurosira pottiezii Van de Vijver sp. nov., Staurosirella antarctica Van de Vijver &amp; E. Morales sp. nov. and S. frigida Van de Vijver &amp; E. Morales sp. nov. Detailed light (LM) and scanning electron microscope (SEM) observations are used to better characterize the morphology and ultrastructure of these three new taxa. Comparisons with similar taxa and the ecological preferences of each species are added. The revision of these species confirmed the endemic nature of the Antarctic diatom flora.</t>
  </si>
  <si>
    <t>[van de Vijver, Bart] Bot Garden Meise, Dept Bryophyta &amp; Thallophyta, B-1860 Meise, Belgium; [van de Vijver, Bart] Univ Antwerp, ECOBE, Dept Biol, B-2020 Antwerp, Belgium; [Morales, Eduardo A.] Univ Catolica Boliviana San Pablo, Herbario Criptogam, Cochabamba, Bolivia; [Kopalova, Katerina] Charles Univ Prague, Fac Sci, Dept Ecol, CZ-12844 Prague 2, Czech Republic; [Kopalova, Katerina] Acad Sci Czech Republ, Inst Bot, Sect Plant Ecol, CZ-37982 Trebon, Czech Republic</t>
  </si>
  <si>
    <t>University of Antwerp; Charles University Prague; Czech Academy of Sciences; Institute of Botany of the Czech Academy of Sciences</t>
  </si>
  <si>
    <t>van de Vijver, B (corresponding author), Bot Garden Meise, Dept Bryophyta &amp; Thallophyta, Nieuwelaan 38, B-1860 Meise, Belgium.</t>
  </si>
  <si>
    <t>Morales, Eduardo A./AAE-9304-2021; Kopalová, Kateřina/H-1598-2014; Kopalova, Katerina/M-6207-2017</t>
  </si>
  <si>
    <t>Morales, Eduardo A./0000-0001-5998-4831; Kopalova, Katerina/0000-0002-7905-4268</t>
  </si>
  <si>
    <t>IPY-Limnopolar Project (Ministerio de Ciencia y Tecnologia, Spain) [POL2006-06635]; BELSPO project CCAMBIO - EU Synthesys; Erasmus grant</t>
  </si>
  <si>
    <t>IPY-Limnopolar Project (Ministerio de Ciencia y Tecnologia, Spain); BELSPO project CCAMBIO - EU Synthesys; Erasmus grant(Erasmus+)</t>
  </si>
  <si>
    <t>Samples were taken in the framework of the IPY-Limnopolar Project POL2006-06635 (Ministerio de Ciencia y Tecnologia, Spain). Part of this research was funded within the BELSPO project CCAMBIO and supported by an EU Synthesys grant to BVDV to visit the Natural History Museum (BM). Alex Ball, the staff of the EMMA laboratory and Eileen J. Cox at the Natural History Museum are thanked for their help with the scanning electron microscopy. Katerina Kopalova benefited from an Erasmus grant during her stay in Belgium.</t>
  </si>
  <si>
    <t>10.11646/phytotaxa.167.3.4</t>
  </si>
  <si>
    <t>AH1OF</t>
  </si>
  <si>
    <t>WOS:000335889800004</t>
  </si>
  <si>
    <t>Pütz, K; Trathan, PN; Pedrana, J; Collins, MA; Poncet, S; Lüthi, B</t>
  </si>
  <si>
    <t>Puetz, Klemens; Trathan, Phil N.; Pedrana, Julieta; Collins, Martin A.; Poncet, Sally; Luethi, Benno</t>
  </si>
  <si>
    <t>Post-Fledging Dispersal of King Penguins (Aptenodytes patagonicus) from Two Breeding Sites in the South Atlantic</t>
  </si>
  <si>
    <t>DIEL VERTICAL MIGRATION; WINTER MIGRATION; FALKLAND ISLANDS; FORAGING AREAS; SPHENISCUS-MAGELLANICUS; EUDYPTES-CHRYSOCOME; SATELLITE TRACKING; MACQUARIE ISLAND; DIVING BEHAVIOR; HABITAT</t>
  </si>
  <si>
    <t>Most studies concerning the foraging ecology of marine vertebrates are limited to breeding adults, although other life history stages might comprise half the total population. For penguins, little is known about juvenile dispersal, a period when individuals may be susceptible to increased mortality given their naive foraging behaviour. Therefore, we used satellite telemetry to study king penguin fledglings (n = 18) from two sites in the Southwest Atlantic in December 2007. The two sites differed with respect to climate and proximity to the Antarctic Polar Front (APF), a key oceanographic feature generally thought to be important for king penguin foraging success. Accordingly, birds from both sites foraged predominantly in the vicinity of the APF. Eight king penguins were tracked for periods greater than 120 days; seven of these (three from the Falkland Islands and four from South Georgia) migrated into the Pacific. Only one bird from the Falkland Islands moved into the Indian Ocean, visiting the northern limit of the winter pack-ice. Three others from the Falkland Islands migrated to the eastern coast of Tierra del Fuego before travelling south. Derived tracking parameters describing their migratory behaviour showed no significant differences between sites. Nevertheless, generalized linear habitat modelling revealed that juveniles from the Falkland Islands spent more time in comparatively shallow waters with low sea surface temperature, sea surface height and chlorophyll variability. Birds from South Georgia spent more time in deeper waters with low sea surface temperature and sea surface height, but high concentrations of chlorophyll. Our results indicate that inexperienced king penguins, irrespective of the location of their natal site in relation to the position of the APF, develop their foraging skills progressively over time, including specific adaptations to the environment around their prospective breeding site.</t>
  </si>
  <si>
    <t>[Puetz, Klemens] Antarctic Res Trust, Bremervorde, Germany; [Trathan, Phil N.; Collins, Martin A.] British Antarctic Survey, NERC, Cambridge CB3 0ET, England; [Pedrana, Julieta] CONICET INTA, Balcarce, Argentina; [Luethi, Benno] Antarctic Res Trust Switzerland, Forch, Switzerland</t>
  </si>
  <si>
    <t>UK Research &amp; Innovation (UKRI); Natural Environment Research Council (NERC); NERC British Antarctic Survey; Instituto Nacional de Tecnologia Agropecuaria (INTA)</t>
  </si>
  <si>
    <t>Pütz, K (corresponding author), Antarctic Res Trust, Bremervorde, Germany.</t>
  </si>
  <si>
    <t>puetz@antarctic-research.de</t>
  </si>
  <si>
    <t>, Martin/0000-0001-7132-8650; pedrana, julieta/0000-0002-0908-7865; Puetz, Klemens/0000-0003-1375-2669</t>
  </si>
  <si>
    <t>Britta Labhard Co.; Charlotte Fritz Lehmann; Zoo Zurich; Vontobel-Stiftung; NERC [bas0100025] Funding Source: UKRI; Natural Environment Research Council [bas0100025] Funding Source: researchfish</t>
  </si>
  <si>
    <t>Britta Labhard Co.; Charlotte Fritz Lehmann; Zoo Zurich; Vontobel-Stiftung; NERC(UK Research &amp; Innovation (UKRI)Natural Environment Research Council (NERC)); Natural Environment Research Council(UK Research &amp; Innovation (UKRI)Natural Environment Research Council (NERC))</t>
  </si>
  <si>
    <t>The Antarctic Research Trust is grateful to all who have contributed to this project, in particular the following sponsors of individual penguins: Roland Amstutz, Lesley Baxter, Ruth &amp; Walter Egli, Katharina Heckers, Rita &amp; Guido Heule, Ursula &amp; Urs Hurlimann, Britta Labhard &amp; Co., Charlotte &amp; Fritz Lehmann, Hans-Ulrich Schneebeli, Marcel Schonenberger, Dagmar Schultz, Ulrike Stimmel, Barbel Strehmel, Vontobel-Stiftung, Sylke Wicker, Elisabeth Zellweger and Zoo Zurich. The authors wish to acknowledge use of the Maptool program, a product of SEATURTLE.ORG, for analysis and graphics in this article (information is available at www.seaturtle.org). The editor and the reviewers provided highly valuable comments that have been essential for improving the text, tables and figures.</t>
  </si>
  <si>
    <t>e97164</t>
  </si>
  <si>
    <t>10.1371/journal.pone.0097164</t>
  </si>
  <si>
    <t>WOS:000336857400062</t>
  </si>
  <si>
    <t>Diffusion Boundary Layers Ameliorate the Negative Effects of Ocean Acidification on the Temperate Coralline Macroalga Arthrocardia corymbosa</t>
  </si>
  <si>
    <t>GIANT-KELP; MACROCYSTIS-PYRIFERA; WATER MOTION; SCLERACTINIAN CORAL; NITROGEN UPTAKE; NUTRIENT SOURCE; CARBONIC-ACID; ULVA-PERTUSA; LOWERED PH; PHOTOSYNTHESIS</t>
  </si>
  <si>
    <t>Anthropogenically-modulated reductions in pH, termed ocean acidification, could pose a major threat to the physiological performance, stocks, and biodiversity of calcifiers and may devalue their ecosystem services. Recent debate has focussed on the need to develop approaches to arrest the potential negative impacts of ocean acidification on ecosystems dominated by calcareous organisms. In this study, we demonstrate the role of a discrete (i.e. diffusion) boundary layer (DBL), formed at the surface of some calcifying species under slow flows, in buffering them from the corrosive effects of low pH seawater. The coralline macroalga Arthrocardia corymbosa was grown in a multifactorial experiment with two mean pH levels (8.05 'ambient' and 7.65 a worst case 'ocean acidification' scenario projected for 2100), each with two levels of seawater flow (fast and slow, i.e. DBL thin or thick). Coralline algae grown under slow flows with thick DBLs (i.e., unstirred with regular replenishment of seawater to their surface) maintained net growth and calcification at pH 7.65 whereas those in higher flows with thin DBLs had net dissolution. Growth under ambient seawater pH (8.05) was not significantly different in thin and thick DBL treatments. No other measured diagnostic (recruit sizes and numbers, photosynthetic metrics, % C, % N, % MgCO3) responded to the effects of reduced seawater pH. Thus, flow conditions that promote the formation of thick DBLs, may enhance the subsistence of calcifiers by creating localised hydrodynamic conditions where metabolic activity ameliorates the negative impacts of ocean acidification.</t>
  </si>
  <si>
    <t>[Cornwall, Christopher E.; Morris, Jaz N.; Hurd, Catriona L.] Univ Otago, Dept Bot, Dunedin, New Zealand; [Boyd, Philip W.] Natl Inst Water &amp; Atmospher Res NIWA, Ctr Phys &amp; Chem Oceanog, Dunedin, New Zealand; [McGraw, Christina M.] Clark Univ, Sch Chem &amp; Biochem, Worcester, MA 01610 USA; [Hepburn, Christopher D.; Smith, Abigail M.] Univ New England, Sch Sci &amp; Technol, Armidale, NSW, Australia; [Pilditch, Conrad A.] Univ Waikato, Dept Biol Sci, Hamilton, New Zealand; [Hurd, Catriona L.] Univ Tasmania, Inst Marine &amp; Antarctic Studies, Hobart, Tas, Australia</t>
  </si>
  <si>
    <t>University of Otago; Clark University; University of New England; University of Waikato; University of Tasmania</t>
  </si>
  <si>
    <t>Cornwall, CE (corresponding author), Univ Tasmania, Inst Marine &amp; Antarctic Studies, Hobart, Tas, Australia.</t>
  </si>
  <si>
    <t>chris.cornwall@utas.edu.au</t>
  </si>
  <si>
    <t>Cornwall, Christopher Edward/J-3982-2012; Smith, Abigail M/F-7714-2011; Hurd, Catriona/J-2411-2013; Boyd, Philip/J-7624-2014</t>
  </si>
  <si>
    <t>Cornwall, Christopher Edward/0000-0002-6154-4082; Hurd, Catriona/0000-0001-9965-4917; McGraw, Christina/0000-0001-5841-0748; Boyd, Philip/0000-0001-7850-1911</t>
  </si>
  <si>
    <t>University of Otago Doctoral Scholarship; University of Otago Postgraduate Publishing Bursary; Performance Based Research Fund from the Department of Botany, University of Otago; University of Otago Research Grant; New Zealand MPI grant; New Zealand Foundation for Research Science Technology [UOOX0802]; Royal Society of New Zealand Marsden grant [UOO0914]</t>
  </si>
  <si>
    <t>University of Otago Doctoral Scholarship; University of Otago Postgraduate Publishing Bursary; Performance Based Research Fund from the Department of Botany, University of Otago; University of Otago Research Grant; New Zealand MPI grant; New Zealand Foundation for Research Science Technology(New Zealand Foundation for Research, Science and Technology); Royal Society of New Zealand Marsden grant(Royal Society of New ZealandMarsden Fund (NZ))</t>
  </si>
  <si>
    <t>C.E.C was supported by a University of Otago Doctoral Scholarship and a University of Otago Postgraduate Publishing Bursary, C.L.H. was funded by a Performance Based Research Fund from the Department of Botany, University of Otago, and a University of Otago Research Grant. P.W.B. was funded by a New Zealand MPI grant to Coasts and oceans. C.M.M was funded by a New Zealand Foundation for Research Science &amp; Technology (Grant UOOX0802). C.L.H. and P.W.B. were funded by a Royal Society of New Zealand Marsden grant (UOO0914). The funders had no role in study design, data collection and analysis, decision to publish, or preparation of the manuscript.</t>
  </si>
  <si>
    <t>MAY 13</t>
  </si>
  <si>
    <t>e97235</t>
  </si>
  <si>
    <t>10.1371/journal.pone.0097235</t>
  </si>
  <si>
    <t>AH8EY</t>
  </si>
  <si>
    <t>Green Accepted, Green Published, Green Submitted, gold</t>
  </si>
  <si>
    <t>WOS:000336369200078</t>
  </si>
  <si>
    <t>Arróniz-Crespo, M; Pérez-Ortega, S; De los Ríos, A; Green, TGA; Ochoa-Hueso, R; Casermeiro, MA; de la Cruz, MT; Pintado, A; Palacios, D; Rozzi, R; Tysklind, N; Sancho, LG</t>
  </si>
  <si>
    <t>Arroniz-Crespo, Maria; Perez-Ortega, Sergio; De los Rios, Asuncion; Green, T. G. Allan; Ochoa-Hueso, Raul; Angel Casermeiro, Miguel; Teresa de la Cruz, Maria; Pintado, Ana; Palacios, David; Rozzi, Ricardo; Tysklind, Niklas; Sancho, Leopoldo G.</t>
  </si>
  <si>
    <t>Bryophyte-Cyanobacteria Associations during Primary Succession in Recently Deglaciated Areas of Tierra del Fuego (Chile)</t>
  </si>
  <si>
    <t>NITROGEN-FIXATION; ACETYLENE-REDUCTION; FEATHER-MOSS; BOREAL FOREST; CARBON; CHRONOSEQUENCE; VEGETATION; DIVERSITY; BACTERIAL; ENVIRONMENT</t>
  </si>
  <si>
    <t>Bryophyte establishment represents a positive feedback process that enhances soil development in newly exposed terrain. Further, biological nitrogen (N) fixation by cyanobacteria in association with mosses can be an important supply of N to terrestrial ecosystems, however the role of these associations during post-glacial primary succession is not yet fully understood. Here, we analyzed chronosequences in front of two receding glaciers with contrasting climatic conditions (wetter vs drier) at Cordillera Darwin (Tierra del Fuego) and found that most mosses had the capacity to support an epiphytic flora of cyanobacteria and exhibited high rates of N2 fixation. Pioneer moss-cyanobacteria associations showed the highest N-2 fixation rates (4.60 and 4.96 mu g N g(-1) bryo. d(-1)) very early after glacier retreat (4 and 7 years) which may help accelerate soil development under wetter conditions. In drier climate, N-2 fixation on bryophyte-cyanobacteria associations was also high (0.94 and 1.42 mu g N g(-1) bryo. d(-1)) but peaked at intermediate-aged sites (26 and 66 years). N-2 fixation capacity on bryophytes was primarily driven by epiphytic cyanobacteria abundance rather than community composition. Most liverworts showed low colonization and N-2 fixation rates, and mosses did not exhibit consistent differences across life forms and habitat (saxicolous vs terricolous). We also found a clear relationship between cyanobacteria genera and the stages of ecological succession, but no relationship was found with host species identity. Glacier forelands in Tierra del Fuego show fast rates of soil transformation which imply large quantities of N inputs. Our results highlight the potential contribution of bryophyte-cyanobacteria associations to N accumulation during post-glacial primary succession and further describe the factors that drive N-2-fixation rates in post-glacial areas with very low N deposition.</t>
  </si>
  <si>
    <t>[Arroniz-Crespo, Maria; Green, T. G. Allan; Pintado, Ana; Sancho, Leopoldo G.] Univ Complutense Madrid, Dept Biol Vegetal 2, Madrid, Spain; [Arroniz-Crespo, Maria] Bangor Univ, Sch Environm Nat Resources &amp; Geog, Bangor, Gwynedd, Wales; [Perez-Ortega, Sergio; De los Rios, Asuncion] CSIC, MNCN, Dept Biol Ambiental, Madrid, Spain; [Green, T. G. Allan] Univ Waikato, Hamilton, New Zealand; [Ochoa-Hueso, Raul] Museo Nacl Ciencias Nat, Dept Biogeog &amp; Cambio Global, Madrid, Spain; [Angel Casermeiro, Miguel; Teresa de la Cruz, Maria] Univ Complutense Madrid, Dept Edafol, Madrid, Spain; [Palacios, David] Univ Complutense Madrid, Dept Geog Fis, Madrid, Spain; [Rozzi, Ricardo] Univ N Texas, Sub Antarctic Biocultural Conservat Program, Denton, TX 76203 USA; [Rozzi, Ricardo] Univ Magallanes, Inst Ecol &amp; Biodivers, Puerto Williams, Chile; [Tysklind, Niklas] Bangor Univ, Sch Biol Sci, Bangor, Gwynedd, Wales</t>
  </si>
  <si>
    <t>Complutense University of Madrid; Bangor University; Consejo Superior de Investigaciones Cientificas (CSIC); University of Waikato; Consejo Superior de Investigaciones Cientificas (CSIC); CSIC - Museo Nacional de Ciencias Naturales (MNCN); Complutense University of Madrid; Complutense University of Madrid; University of North Texas System; University of North Texas Denton; Universidad de Magallanes; Bangor University</t>
  </si>
  <si>
    <t>Arróniz-Crespo, M (corresponding author), Univ Complutense Madrid, Dept Biol Vegetal 2, Madrid, Spain.</t>
  </si>
  <si>
    <t>maria.arroniz@gmail.com</t>
  </si>
  <si>
    <t>Arróniz-Crespo, María/O-1198-2018; Casermeiro, Miguel Angel/W-6105-2019; Pintado, Ana/G-9881-2015; Hueso, Raúl Ochoa/K-1113-2016; de los Rios, Asuncion/L-3694-2014; Tysklind, Niklas/A-5275-2017; Rozzi, Ricardo/G-1047-2012; Perez-Ortega, Sergio/G-1257-2016; SANCHO, LEOPOLDO/G-9120-2015; PALACIOS, DAVID/H-3737-2015</t>
  </si>
  <si>
    <t>Arróniz-Crespo, María/0000-0003-0246-7432; Casermeiro, Miguel Angel/0000-0002-1415-9528; Hueso, Raúl Ochoa/0000-0002-1839-6926; de los Rios, Asuncion/0000-0002-0266-3516; Tysklind, Niklas/0000-0002-6617-7875; Rozzi, Ricardo/0000-0001-5265-8726; Perez-Ortega, Sergio/0000-0002-5411-3698; PINTADO, ANA/0000-0003-3007-1486; SANCHO, LEOPOLDO/0000-0002-4751-7475; PALACIOS, DAVID/0000-0002-8289-0398; Cruz, Maria Teresa/0000-0002-8270-8760</t>
  </si>
  <si>
    <t>Ministerio de Ciencia e Innovacion of Spain [CTM2009-12838-C04-01, CTM2009-12838-C04-03]; Spanish Ministry of Economy and Competitiveness [CTM2012-38222-C02-02]; Institute of Ecology and Biodiversity (IEB-Chile) [P05-002 ICM, CONICYT PFB-23]</t>
  </si>
  <si>
    <t>Ministerio de Ciencia e Innovacion of Spain(Spanish Government); Spanish Ministry of Economy and Competitiveness(Spanish Government); Institute of Ecology and Biodiversity (IEB-Chile)</t>
  </si>
  <si>
    <t>This work was funded by the Ministerio de Ciencia e Innovacion of Spain (Projects CTM2009-12838-C04-01 and CTM2009-12838-C04-03). SPO is supported by the grant CTM2012-38222-C02-02 from the Spanish Ministry of Economy and Competitiveness. The authors are grateful to the Universidad de Magallanes (UMAG) and the Institute of Ecology and Biodiversity (IEB-Chile, grants P05-002 ICM and CONICYT PFB-23) for logistic and scientific support. The funders had no role in study design, data collection and analysis, decision to publish, or preparation of the manuscript.</t>
  </si>
  <si>
    <t>MAY 12</t>
  </si>
  <si>
    <t>e96081</t>
  </si>
  <si>
    <t>10.1371/journal.pone.0096081</t>
  </si>
  <si>
    <t>AI1ZC</t>
  </si>
  <si>
    <t>WOS:000336653300011</t>
  </si>
  <si>
    <t>Ventura, T; Cummins, SF; Fitzgibbon, Q; Battaglene, S; Elizur, A</t>
  </si>
  <si>
    <t>Ventura, Tomer; Cummins, Scott F.; Fitzgibbon, Quinn; Battaglene, Stephen; Elizur, Abigail</t>
  </si>
  <si>
    <t>Analysis of the Central Nervous System Transcriptome of the Eastern Rock Lobster Sagmariasus verreauxi Reveals Its Putative Neuropeptidome</t>
  </si>
  <si>
    <t>PROTEIN HORMONES; IDENTIFICATION; PEPTIDE; GENOMICS; PRECURSORS; EVOLUTION; TOOL</t>
  </si>
  <si>
    <t>Neuropeptides have been discovered in many arthropod species including crustaceans. The nature of their biological function is well studied and varies from behavior modulation to physiological regulation of complex biochemical processes such as metabolism, molt and reproduction. Due to their key role in these fundamental processes, neuropeptides are often targeted for modulating these processes to align with market demands in commercially important species. We generated a comprehensive transcriptome of the eyestalk and brain of one of the few commercially important spiny lobster species in the southern Hemisphere, the Eastern rock lobster Sagmariasus verreauxi and mined it for novel neuropeptide and protein hormone-encoding transcripts. We then characterized the predicted mature hormones to verify their validity based on conserved motifs and features known from previously reported hormones. Overall, 37 transcripts which are predicted to encode mature full-length/partial peptides/proteins were identified, representing 21 peptide/protein families/subfamilies. All transcripts had high similarity to hormones that were previously characterized in other decapod crustacean species or, where absent in crustaceans, in other arthropod species. These included, in addition to other proteins previously described in crustaceans, prohormone-3 and prohormone-4 which were previously identified only in insects. A homolog of the crustacean female sex hormone (CFSH), recently found to be female-specific in brachyuran crabs was found to have the same levels of expression in both male and female eyestalks, suggesting that the CFSH female specificity is not conserved throughout decapod crustaceans. Digital gene expression showed that 24 out of the 37 transcripts presented in this study have significant changes in expression between eyestalk and brain. In some cases a trend of difference between males and females could be seen. Taken together, this study provides a comprehensive neuropeptidome of a commercially important crustacean species with novel peptides and protein hormones identified for the first time in decapods.</t>
  </si>
  <si>
    <t>[Ventura, Tomer; Cummins, Scott F.; Elizur, Abigail] Univ Sunshine Coast, Fac Sci Hlth Educ &amp; Engn, GeneCol Res Ctr, Sunshine Coast, Qld, Australia; [Fitzgibbon, Quinn; Battaglene, Stephen] Univ Tasmania, Inst Marine &amp; Antarctic Studies, Hobart, Tas, Australia</t>
  </si>
  <si>
    <t>University of the Sunshine Coast; University of Tasmania</t>
  </si>
  <si>
    <t>Ventura, T (corresponding author), Univ Sunshine Coast, Fac Sci Hlth Educ &amp; Engn, GeneCol Res Ctr, Sunshine Coast, Qld, Australia.</t>
  </si>
  <si>
    <t>tventura@usc.edu.au</t>
  </si>
  <si>
    <t>Battaglene, Stephen C/H-9683-2014; Elizur, Abigail/B-7708-2012; Ventura, T./H-9832-2019; Cummins, Scott/I-6420-2016</t>
  </si>
  <si>
    <t>Ventura, T./0000-0002-0777-2367; Elizur, Abigail/0000-0002-2960-302X; Cummins, Scott/0000-0002-1454-2076; Fitzgibbon, Quinn/0000-0002-1104-3052</t>
  </si>
  <si>
    <t>Australian Research Council [DE130101089]; Collaborative Research Network seed; Australian Research Council [DE130101089] Funding Source: Australian Research Council</t>
  </si>
  <si>
    <t>Australian Research Council(Australian Research Council); Collaborative Research Network seed; Australian Research Council(Australian Research Council)</t>
  </si>
  <si>
    <t>This study was supported in part by the Australian Research Council (http://www.arc.gov.au/) through a Discovery Early Career Research Award granted to Dr. Tomer Ventura (DECRA, Grant No. DE130101089), as well as a Collaborative Research Network seed grant awarded to Dr. Tomer Ventura. All the funding or sources of support had no role in study design, data collection and analysis, decision to publish, or preparation of the manuscript.</t>
  </si>
  <si>
    <t>e97323</t>
  </si>
  <si>
    <t>10.1371/journal.pone.0097323</t>
  </si>
  <si>
    <t>WOS:000336653300107</t>
  </si>
  <si>
    <t>van den Hoff, J; McMahon, CR; Simpkins, GR; Hindell, MA; Alderman, R; Burton, HR</t>
  </si>
  <si>
    <t>van den Hoff, John; McMahon, Clive R.; Simpkins, Graham R.; Hindell, Mark A.; Alderman, Rachael; Burton, Harry R.</t>
  </si>
  <si>
    <t>Bottom-up regulation of a pole-ward migratory predator population</t>
  </si>
  <si>
    <t>climate change; Mirounga leonina; rate of population change; sea-ice duration; southern annular mode; winners and losers</t>
  </si>
  <si>
    <t>SOUTHERN ELEPHANT SEAL; RAPID CLIMATE-CHANGE; ANNULAR MODE; MIROUNGA-LEONINA; ANTARCTIC PENINSULA; MARINE ECOSYSTEMS; MACQUARIE ISLAND; OZONE DEPLETION; ICE; OCEAN</t>
  </si>
  <si>
    <t>Asthe effects of regional climate change aremost pronounced at polar latitudes, we might expect polar-ward migratory populations to respond as habitat suitability changes. The southern elephant seal (Mirounga leonina L.) is a pole-ward migratory species whose populations have mostly stabilized or increased in the past decade, the one exception being the Macquarie Island population which has decreased continuously over the past 50 years. To explore probable causes of this anomalous trend, we counted breeding female seals annually between 1988 and 2011 in order to relate annual rates of population change (r) to foraging habitat changes that have known connections with atmospheric variability. We found r (i) varied annually from -0.016 to 0.021 over the study period, (ii) was most effected by anomalous atmospheric variability after a 3 year time lag was introduced (R = 0.51) and (iii) was associated with sea-ice duration (SID) within the seals' foraging range at the same temporal lag. Negative r years may be extrapolated to explain, at least partially, the overall trend in seal abundance at Macquarie Island; specifically, increasing SID within the seals foraging range has a negative influence on their abundance at the island. Evidence is accruing that suggests southern elephant seal populations may respond positively to a reduced sea-ice field.</t>
  </si>
  <si>
    <t>[van den Hoff, John; McMahon, Clive R.; Burton, Harry R.] Australian Antarctic Div, Kingston, Tas 7050, Australia; [McMahon, Clive R.; Hindell, Mark A.] Univ Tasmania, Inst Marine &amp; Antarctic Studies, Hobart, Tas 7001, Australia; [Simpkins, Graham R.] Univ New S Wales, Climate Change Res Ctr, Sydney, NSW 2052, Australia; [Alderman, Rachael] Dept Primary Ind Pk Water &amp; Environm, Hobart, Tas 7000, Australia</t>
  </si>
  <si>
    <t>Australian Antarctic Division; University of Tasmania; University of New South Wales Sydney</t>
  </si>
  <si>
    <t>van den Hoff, J (corresponding author), Australian Antarctic Div, 203 Channel Highway, Kingston, Tas 7050, Australia.</t>
  </si>
  <si>
    <t>john_van@aad.gov.au</t>
  </si>
  <si>
    <t>McMahon, Clive R/D-5713-2013; Hindell, Mark A/K-1131-2013</t>
  </si>
  <si>
    <t>McMahon, Clive R/0000-0001-5241-8917; Hindell, Mark/0000-0002-7823-7185</t>
  </si>
  <si>
    <t>Macquarie Island elephant seal research project [AAS 2265]</t>
  </si>
  <si>
    <t>Macquarie Island elephant seal research project</t>
  </si>
  <si>
    <t>Several discussions over a 'few' wines with Scott Carpentier (Bureau of Meteorology, Hobart, Tasmania) helped J.v.d.H. clarify a number of climate concepts. J.v.d.H. and C.R.Mc.M. conceived the paper, J.v.d.H., C.R.Mc.M., M.A.H., H.B. and R.A. collected and managed the Macquarie Island population data. J.v.d.H., C.R.Mc.M., G.S. and M.A.H. analysed the data. H.B. instigated the Macquarie Island elephant seal research project (AAS 2265). All authors contributed to writing the paper.</t>
  </si>
  <si>
    <t>MAY 7</t>
  </si>
  <si>
    <t>10.1098/rspb.2013.2842</t>
  </si>
  <si>
    <t>AF0NA</t>
  </si>
  <si>
    <t>WOS:000334410100006</t>
  </si>
  <si>
    <t>Douglas, PMJ; Affek, HP; Ivany, LC; Houben, AJP; Sijp, WP; Sluijs, A; Schouten, S; Pagani, M</t>
  </si>
  <si>
    <t>Douglas, Peter M. J.; Affek, Hagit P.; Ivany, Linda C.; Houben, Alexander J. P.; Sijp, Willem P.; Sluijs, Appy; Schouten, Stefan; Pagani, Mark</t>
  </si>
  <si>
    <t>Pronounced zonal heterogeneity in Eocene southern high-latitude sea surface temperatures</t>
  </si>
  <si>
    <t>paleooceanography; clumped isotopes; organic geochemistry; climate modeling; high-latitude climate</t>
  </si>
  <si>
    <t>CLUMPED ISOTOPE; TETRAETHER LIPIDS; THERMAL MAXIMUM; ATMOSPHERIC CO2; PACIFIC-OCEAN; DEEP-WATER; CLIMATE; EVOLUTION; GROWTH; MODEL</t>
  </si>
  <si>
    <t>Paleoclimate studies suggest that increased global warmth during the Eocene epoch was greatly amplified at high latitudes, a state that climate models cannot fully reproduce. However, proxy estimates of Eocene near-Antarctic sea surface temperatures (SSTs) have produced widely divergent results at similar latitudes, with SSTs above 20 degrees C in the southwest Pacific contrasting with SSTs between 5 and 15 degrees C in the South Atlantic. Validation of this zonal temperature difference has been impeded by uncertainties inherent to the individual paleotemperature proxies applied at these sites. Here, we present multiproxy data from Seymour Island, near the Antarctic Peninsula, that provides well-constrained evidence for annual SSTs of 10-17 degrees C (1 sigma SD) during the middle and late Eocene. Comparison of the same paleotemperature proxy at Seymour Island and at the East Tasman Plateau indicate the presence of a large and consistent middle-to-late Eocene SST gradient of similar to 7 degrees C between these two sites located at similar paleolatitudes. Intermediate-complexity climate model simulations suggest that enhanced oceanic heat transport in the South Pacific, driven by deep-water formation in the Ross Sea, was largely responsible for the observed SST gradient. These results indicate that very warm SSTs, in excess of 18 degrees C, did not extend uniformly across the Eocene southern high latitudes, and suggest that thermohaline circulation may partially control the distribution of high-latitude ocean temperatures in greenhouse climates. The pronounced zonal SST heterogeneity evident in the Eocene cautions against inferring past meridional temperature gradients using spatially limited data within given latitudinal bands.</t>
  </si>
  <si>
    <t>[Douglas, Peter M. J.; Affek, Hagit P.; Pagani, Mark] Yale Univ, Dept Geol &amp; Geophys, New Haven, CT 06520 USA; [Ivany, Linda C.] Syracuse Univ, Dept Earth Sci, Syracuse, NY 13244 USA; [Houben, Alexander J. P.; Sluijs, Appy; Schouten, Stefan] Univ Utrecht, Fac Geosci, Dept Earth Sci, NL-3584 CD Utrecht, Netherlands; [Sijp, Willem P.] Univ New S Wales, Climate Change Res Ctr, Sydney, NSW 2052, Australia; [Schouten, Stefan] Royal Netherlands Inst Sea Res, Dept Marine Organ Biogeochem, NL-1790 AB Den Burg, Texel, Netherlands</t>
  </si>
  <si>
    <t>Yale University; Syracuse University; Utrecht University; University of New South Wales Sydney; Utrecht University; Royal Netherlands Institute for Sea Research (NIOZ)</t>
  </si>
  <si>
    <t>Douglas, PMJ (corresponding author), CALTECH, Div Geol &amp; Planetary Sci, Pasadena, CA 91125 USA.</t>
  </si>
  <si>
    <t>pdouglas@caltech.edu</t>
  </si>
  <si>
    <t>Sijp, Willem P/E-5988-2012; Affek, Hagit P/B-6950-2008; Douglas, Peter/AAO-6290-2021; Sluijs, Appy/B-3726-2009</t>
  </si>
  <si>
    <t>Douglas, Peter/0000-0002-4282-6615; Sluijs, Appy/0000-0003-2382-0215; Houben, Alexander/0000-0002-9497-1048; Sijp, Willem/0000-0002-5971-3860</t>
  </si>
  <si>
    <t>US National Science Foundation [EAR-0842482, PLR-0125409]; Statoil; European Research Council [259627]</t>
  </si>
  <si>
    <t>US National Science Foundation(National Science Foundation (NSF)); Statoil; European Research Council(European Research Council (ERC))</t>
  </si>
  <si>
    <t>Gerard Olack, Dominic Colosi, and Glendon Hunsinger provided assistance with clumped isotope measurements; Shikma Zaarur provided advice on clumped isotope data analysis; Christy Visaggi, Michelle Casey, and Steven Roof provided modern bivalve samples; and Natasja Welters and Jan van Tongeren (Utrecht University) assisted with palynological preparations. We thank two anonymous reviewers for constructive commentary. This work was supported by US National Science Foundation Grants EAR-0842482 (to H. P. A.) and PLR-0125409 (to L. C. I.), and Statoil and European Research Council Starting Grant 259627 (to A.S.).</t>
  </si>
  <si>
    <t>MAY 6</t>
  </si>
  <si>
    <t>10.1073/pnas.1321441111</t>
  </si>
  <si>
    <t>AG5RX</t>
  </si>
  <si>
    <t>WOS:000335477300031</t>
  </si>
  <si>
    <t>Jetz, W; Thomas, GH; Joy, JB; Redding, DW; Hartmann, K; Mooers, AO</t>
  </si>
  <si>
    <t>Jetz, Walter; Thomas, Gavin H.; Joy, Jeffrey B.; Redding, David W.; Hartmann, Klaas; Mooers, Arne O.</t>
  </si>
  <si>
    <t>Global Distribution and Conservation of Evolutionary Distinctness in Birds</t>
  </si>
  <si>
    <t>PHYLOGENETIC DIVERSITY; SPECIES RICHNESS; EXTINCTION RISK; CLIMATE-CHANGE; BIODIVERSITY; DIVERSIFICATION; THREAT; AGE; DISTINCTIVENESS; PROBABILITIES</t>
  </si>
  <si>
    <t>Background: Integrated, efficient, and global prioritization approaches are necessary to manage the ongoing loss of species and their associated function. Evolutionary distinctness measures a species' contribution to the total evolutionary history of its clade and is expected to capture uniquely divergent genomes and functions. Here we demonstrate how such a metric identifies species and regions of particular value for safeguarding evolutionary diversity. Results: Among the world's 9,993 recognized bird species, evolutionary distinctness is very heterogeneously distributed on the phylogenetic tree and varies little with range size or threat level. Species representing the most evolutionary history over the smallest area (those with greatest evolutionary distinctness rarity) as well as some of the most imperiled distinct species are often concentrated outside the species-rich regions and countries, suggesting they may not be well captured by current conservation planning. We perform global cross-species and spatial analyses and generate minimum conservation sets to assess the benefits of the presented species-level metrics. We find that prioritizing imperiled species by their evolutionary distinctness and geographic rarity is a surprisingly effective and spatially economical way to maintain the total evolutionary information encompassing the world's birds. We identify potential conservation gaps in relation to the existing reserve network that in particular highlight islands as effective priority areas. Conclusions: The presented distinctness metrics are effective yet easily communicable and versatile tools to assist objective global conservation decision making. Given that most species will remain ecologically understudied, combining growing phylogenetic and spatial data may be an efficient way to retain vital aspects of biodiversity.</t>
  </si>
  <si>
    <t>[Jetz, Walter; Joy, Jeffrey B.] Yale Univ, Dept Ecol &amp; Evolutionary Biol, New Haven, CT 06520 USA; [Jetz, Walter] Univ London Imperial Coll Sci Technol &amp; Med, Dept Life Sci, Ascot SL5 7PY, Berks, England; [Thomas, Gavin H.] Univ Sheffield, Dept Anim &amp; Plant Sci, Sheffield S10 2TN, S Yorkshire, England; [Joy, Jeffrey B.; Mooers, Arne O.] Simon Fraser Univ, Dept Biol Sci, Burnaby, BC V5A 1S6, Canada; [Joy, Jeffrey B.] BC Ctr Excellence HIV AIDS, Vancouver, BC V6Z 1Y6, Canada; [Redding, David W.] UCL, Dept Genet Evolut &amp; Environm, Ctr Biodivers &amp; Environm Res, London WC1E 6BT, England; [Hartmann, Klaas] Univ Tasmania, Inst Marine &amp; Antarctic Studies, Hobart, Tas 7001, Australia</t>
  </si>
  <si>
    <t>Yale University; Imperial College London; University of Sheffield; Simon Fraser University; B.C. Centre for Excellence in HIV/AIDS; University of London; University College London; University of Tasmania</t>
  </si>
  <si>
    <t>Jetz, W (corresponding author), Yale Univ, Dept Ecol &amp; Evolutionary Biol, 165 Prospect St, New Haven, CT 06520 USA.</t>
  </si>
  <si>
    <t>walter.jetz@yale.edu; amooers@sfu.ca</t>
  </si>
  <si>
    <t>Thomas, Gavin/AAE-8959-2019; Redding, David/M-1766-2019; Hartmann, Klaas/B-3991-2008; Jetz, Walter/ABF-1517-2020</t>
  </si>
  <si>
    <t>Redding, David/0000-0001-8615-1798; Joy, Jeffrey/0000-0002-7013-1482; Thomas, Gavin/0000-0002-1982-6051; Jetz, Walter/0000-0002-1971-7277</t>
  </si>
  <si>
    <t>Natural Sciences and Engineering Research Council; Natural Environment Research Council [NE/G012938/1]; National Science Foundation [DBI 0960550, DEB 1026764]; National Aeronautics and Space Administration [NNX11AP72G]; NERC [NE/G012938/2, NE/G012938/1] Funding Source: UKRI; Natural Environment Research Council [NE/G012938/1, NE/G012938/2] Funding Source: researchfish; Division Of Environmental Biology; Direct For Biological Sciences [1026764] Funding Source: National Science Foundation; Div Of Biological Infrastructure; Direct For Biological Sciences [0960550] Funding Source: National Science Foundation</t>
  </si>
  <si>
    <t>Natural Sciences and Engineering Research Council(Natural Sciences and Engineering Research Council of Canada (NSERC)); Natural Environment Research Council(UK Research &amp; Innovation (UKRI)Natural Environment Research Council (NERC)); National Science Foundation(National Science Foundation (NSF)); National Aeronautics and Space Administration(National Aeronautics &amp; Space Administration (NASA)); NERC(UK Research &amp; Innovation (UKRI)Natural Environment Research Council (NERC)); Natural Environment Research Council(UK Research &amp; Innovation (UKRI)Natural Environment Research Council (NERC)); Division Of Environmental Biology; Direct For Biological Sciences(National Science Foundation (NSF)NSF - Directorate for Biological Sciences (BIO)); Div Of Biological Infrastructure; Direct For Biological Sciences(National Science Foundation (NSF)NSF - Directorate for Biological Sciences (BIO))</t>
  </si>
  <si>
    <t>We thank Cody Schank, Giuseppe Amatulli, Aki Mimoto, Gordon Smith, and lain Martyn for important technical assistance; Robert Ricklefs, Dan Rosauer, Mike Steel, and members of the W.J. and FAB labs for discussions; and the Zoological Society of London, IRMACS, the Natural Sciences and Engineering Research Council Discovery Program (grant to A.O.M.), the Natural Environment Research Council (postdoctoral fellowship grant number NE/G012938/1 to G.H.T.), the National Science Foundation (grants DBI 0960550 and DEB 1026764 to W.J.), the National Aeronautics and Space Administration (grant NNX11AP72G to W.J.), and the Yale Institute of Biospherical Studies (YIBS; support to A.O.M. and W.J.) for support of various kinds.</t>
  </si>
  <si>
    <t>MAY 5</t>
  </si>
  <si>
    <t>10.1016/j.cub.2014.03.011</t>
  </si>
  <si>
    <t>AG6QA</t>
  </si>
  <si>
    <t>WOS:000335542300015</t>
  </si>
  <si>
    <t>Marsh, AG; Pasqualone, AA</t>
  </si>
  <si>
    <t>Marsh, Adam G.; Pasqualone, Annamarie A.</t>
  </si>
  <si>
    <t>DNA methylation and temperature stress in an Antarctic polychaete, Spiophanes tcherniai</t>
  </si>
  <si>
    <t>FRONTIERS IN PHYSIOLOGY</t>
  </si>
  <si>
    <t>epigenetics; DNA methylation; cold acclimation; polychaete; energy metabolism; Antarctica</t>
  </si>
  <si>
    <t>EPIGENETIC REGULATION; MCMURDO-SOUND; ORGANIC ENRICHMENT; CITRATE SYNTHASE; GENE-EXPRESSION; GROWTH; COMMUNITIES; DYNAMICS; PATTERNS; ICE</t>
  </si>
  <si>
    <t>Epigenetic modifications of DNA and histones are a primary mechanism by which gene expression activities may be modified in response to environmental stimuli. Here we characterize patterns of methyl-cytosine composition in the marine polychaete Spiophanes tcherniai from McMurdo Sound, Antarctica. We cultured adult worms at two temperatures, -1.5 degrees C (ambient control) and +4 degrees C (warm treatment), for 4 weeks. We observed a rapid capacity for S. tcherniai organismal respiration rates and underlying catalytic rates of citrate synthase at +4 degrees C to return to control levels in less than 4 weeks. We profiled changes in the methylation states of CpG sites in these treatments using an NGS strategy to computationally reconstruct and quantify methylation status across the genome. In our analysis we recovered 120,000 CpG sites in assembled contigs from both treatments. Of those, we were able to align 28,000 CpG sites in common between the two sample groups. In comparing these aligned sites between treatments, only 3000 (11%) evidenced a change in methylation state, but over 85% of changes involved a gain of a 5-methyl group on a CpG site (net increase in methyation). The ability to score CpG sites as partially methylated among gDNA copies in a sample opens up a new avenue for assessing DNA methylation responses to changing environments. By quantitatively distinguishing a mixed population of copies of one CpG site, we can begin to identify dynamic, non-binary, continuous-response reactions in DNA methylation intensity or density that previously may have been overlooked as noise.</t>
  </si>
  <si>
    <t>[Marsh, Adam G.] Univ Delaware, Sch Marine Sci &amp; Policy, Ctr Bioinformat &amp; Computat Biol, Lewes, DE 19958 USA; [Pasqualone, Annamarie A.] Univ Delaware, Sch Marine Sci &amp; Policy, Lewes, DE 19958 USA</t>
  </si>
  <si>
    <t>University of Delaware; University of Delaware</t>
  </si>
  <si>
    <t>Marsh, AG (corresponding author), Univ Delaware, Sch Marine Sci &amp; Policy, Ctr Bioinformat &amp; Computat Biol, 700 Pilottown Rd,Smith Lab 114, Lewes, DE 19958 USA.</t>
  </si>
  <si>
    <t>amarsh@udel.edu</t>
  </si>
  <si>
    <t>National Science Foundation [0944557, 1355306]; Div Of Industrial Innovation &amp; Partnersh; Directorate For Engineering [1355306] Funding Source: National Science Foundation; Office of Polar Programs (OPP); Directorate For Geosciences [0944557] Funding Source: National Science Foundation</t>
  </si>
  <si>
    <t>National Science Foundation(National Science Foundation (NSF)); Div Of Industrial Innovation &amp; Partnersh; Directorate For Engineering(National Science Foundation (NSF)NSF - Directorate for Engineering (ENG)); Office of Polar Programs (OPP); Directorate For Geosciences(National Science Foundation (NSF)NSF - Directorate for Geosciences (GEO))</t>
  </si>
  <si>
    <t>This work was made possible through a grant from the National Science Foundation to Adam G. Marsh (Office of Polar Programs, #0944557), and with National Science Foundation support to Adam G. Marsh for the commercial development of the software (Innovation Corps program, #1355306).</t>
  </si>
  <si>
    <t>1664-042X</t>
  </si>
  <si>
    <t>FRONT PHYSIOL</t>
  </si>
  <si>
    <t>Front. Physiol.</t>
  </si>
  <si>
    <t>10.3389/fphys.2014.00173</t>
  </si>
  <si>
    <t>Physiology</t>
  </si>
  <si>
    <t>AX6QD</t>
  </si>
  <si>
    <t>WOS:000347045500001</t>
  </si>
  <si>
    <t>Kipf, A; Hauff, F; Werner, R; Gohl, K; van den Bogaard, P; Hoernle, K; Maicher, D; Klügel, A</t>
  </si>
  <si>
    <t>Kipf, A.; Hauff, F.; Werner, R.; Gohl, K.; van den Bogaard, P.; Hoernle, K.; Maicher, D.; Kluegel, A.</t>
  </si>
  <si>
    <t>Seamounts off the West Antarctic margin: A case for non-hotspot driven intraplate volcanism</t>
  </si>
  <si>
    <t>Antarctica; Marie Byrd Seamounts; Intraplate volcanism; 40Ar/39Ar age dates; Major and trace element and Sr-Nd-Pb-Hf; Isotope geochemistry</t>
  </si>
  <si>
    <t>MARIE-BYRD-LAND; SMALL-SCALE CONVECTION; EAST PACIFIC RISE; PETER-I OY; NEW-ZEALAND; MANTLE PLUMES; GEOCHEMICAL CONSTRAINTS; BELLINGSHAUSEN PLATE; CENOZOIC VOLCANISM; EVOLUTION</t>
  </si>
  <si>
    <t>New radiometric age and geochemical data of volcanic rocks from the guyot-type Marie Byrd Seamounts (MBS) and the De Gerlache Seamounts and Peter I Island (Amundsen Sea) are presented. 40Ar/39Ar ages of the shield phase of three MBS are Early Cenozoic (65 to 56 Ma) and indicate formation well after creation of the Pacific-Antarctic Ridge. A Pliocene age (3.0 Ma) documents a younger phase of volcanism at one MBS and a Pleistocene age (1.8 Ma) for the submarine base of Peter I Island. Together with published data, the new age data imply that Cenozoic intraplate magmatism occurred at distinct time intervals in spatially confined areas of the Amundsen Sea, excluding an origin through a fixed mantle plume. Peter I Island appears strongly influenced by an EMII type mantle component that may reflect shallow mantle recycling of a continental raft during the final breakup of Gondwana. By contrast the Sr-Nd-Pb-Hf isotopic compositions of the MBS display a strong affinity to a HIMU-type mantle source. On a regional scale the isotopic signatures overlap with those from volcanics related to the West Antarctic Rift System, and Cretaceous intraplate volcanics in and off New Zealand. We propose reactivation of the HIMU material, initially accreted to the base of continental lithosphere during the pre-rifting stage of Marie Byrd Land/Zealandia to explain intraplate volcanism in the Amundsen Sea in the absence of a long-lived hotspot. We propose continental insulation flow as the most plausible mechanism to transfer the sub-continental accreted plume material into the shallow oceanic mantle. Crustal extension at the southern boundary of the Bellingshausen Plate from about 74 to 62 Ma may have triggered adiabatic rise of the HIMU material from the base of Marie Byrd Land to form the MBS. The De Gerlache Seamounts are most likely related to a preserved zone of lithospheric weakness underneath the De Gerlache Gravity Anomaly. (C) 2013 International Association for Gondwana Research. Published by Elsevier B.V. All rights reserved.</t>
  </si>
  <si>
    <t>[Kipf, A.; Hauff, F.; Werner, R.; van den Bogaard, P.; Hoernle, K.; Maicher, D.] GEOMAR Helmholtz Ctr Ocean Res Kiel, D-24148 Kiel, Germany; [Gohl, K.] Alfred Wegener Inst Polar &amp; Marine Res, D-27515 Bremerhaven, Germany; [Kluegel, A.] Univ Bremen, D-28334 Bremen, Germany</t>
  </si>
  <si>
    <t>Helmholtz Association; GEOMAR Helmholtz Center for Ocean Research Kiel; Helmholtz Association; Alfred Wegener Institute, Helmholtz Centre for Polar &amp; Marine Research; University of Bremen</t>
  </si>
  <si>
    <t>Kipf, A (corresponding author), GEOMAR Helmholtz Ctr Ocean Res Kiel, Wischhofstr 1-3, D-24148 Kiel, Germany.</t>
  </si>
  <si>
    <t>akipf@geomar.de</t>
  </si>
  <si>
    <t>Hoernle, Kaj/AAF-9500-2021; Hauff, Folkmar/AAG-3630-2021; Werner, Reinhard/AAF-5445-2021</t>
  </si>
  <si>
    <t>Hauff, Folkmar/0000-0001-9503-9714; Gohl, Karsten/0000-0002-9558-2116</t>
  </si>
  <si>
    <t>German Research Foundation (DFG) [HO1833/15-1, HO1833/15-2, HO1833/15-3]</t>
  </si>
  <si>
    <t>We are grateful to Captain Pahl, the crew, and shipboard scientific party for their excellent support during RV Polarstern cruise ANT-XXIII/4. R. Gersonde (AWI) kindly provided the dredge samples from Belgica Seamount. D. Rau, S. Hauff, J. Sticklus (GEOMAR) and H. Anders (Uni-Bremen) are thanked for technical assistance during lab work and S. Gauger for help with processing of the bathymetric data. Discussions with Maxim Portnyagin, Jan Grobys, Graeme Eagles, and Christian Timm significantly helped to develop this paper. Furthermore, we are grateful for the constructive reviews of John Gamble and Tsuyoshi Komiya that helped to improve an earlier version of the manuscript. We thank Inna Yu Safonova for editorial handling and useful comments that helped to emphasize the importance of seamount formation. The German Research Foundation (DFG: Grants HO1833/15-1 to -3 to KH and FH) funded this research.</t>
  </si>
  <si>
    <t>MAY</t>
  </si>
  <si>
    <t>10.1016/j.gr.2013.06.013</t>
  </si>
  <si>
    <t>AY0IB</t>
  </si>
  <si>
    <t>WOS:000347279400024</t>
  </si>
  <si>
    <t>Hawes, I; Giles, H; Doran, PT</t>
  </si>
  <si>
    <t>Hawes, Ian; Giles, Hilke; Doran, Peter T.</t>
  </si>
  <si>
    <t>Estimating photosynthetic activity in microbial mats in an ice-covered Antarctic lake using automated oxygen microelectrode profiling and variable chlorophyll fluorescence</t>
  </si>
  <si>
    <t>MCMURDO DRY VALLEYS; ENVIRONMENTAL-CHANGE; CYANOBACTERIAL MATS; ALGAL MATS; PHYTOPLANKTON; COMMUNITIES; IRRADIANCE; DYNAMICS; HOARE; LIMITATIONS</t>
  </si>
  <si>
    <t>An automated oxygen microprofiler measured a positive flux of oxygen from microbial mats in ice-covered Lake Hoare, Antarctica, from noon, at a photon flux of 20 mu mol m(-2) s(-1), through to midnight (&lt; 2 mu mol photons m(-2) s(-1)). Daily average oxygen flux was 200 mu mol m(-2) h(-1); and, whereas it was maximal at noon, when a 10 mm broad concentration peak was observed 5 mm below the mat surface, flux correlated only weakly with irradiance. In contrast, relative electron transfer rate, estimated from variable chlorophyll fluorescence, suggested a linear relationship between photosystem activity and irradiance. This contradiction arose because of the conjunction of photosynthetic production of oxygen deep into these transparent, gelatinous mats (diel oxygen change was observed to 17 mm depth) and oxygen diffusion rates too slow to allow equilibration of oxygen concentration profiles with instantaneous production and consumption of oxygen. To confirm this, we developed a mathematical simulation of oxygen dynamics that included diffusion, photosynthesis, and respiration. The simulation further indicated that (1) net oxygen evolution is light limited is and confined to the upper few millimeters of the mat, (2) below 5-7 mm, respiration balanced photosynthesis, (3) below 17 mm, respiration and photosynthesis approached zero, even though organic carbon and dissolved oxygen were present, and (4) photosynthesis deep into the mat was dependent on high light transmission through the gelatinous matrix. These conclusions are consistent with current understanding of mat growth dynamics and point to approaches for long-term analysis of microbial mat productivity.</t>
  </si>
  <si>
    <t>[Hawes, Ian] Univ Canterbury, Gateway Antarctica, Christchurch 1, New Zealand; [Giles, Hilke] Natl Inst Water &amp; Atmospher Res, Hamilton, New Zealand; [Doran, Peter T.] Univ Illinois, Chicago, IL USA</t>
  </si>
  <si>
    <t>University of Canterbury; National Institute of Water &amp; Atmospheric Research (NIWA) - New Zealand; University of Illinois System; University of Illinois Chicago; University of Illinois Chicago Hospital</t>
  </si>
  <si>
    <t>Hawes, I (corresponding author), Univ Canterbury, Gateway Antarctica, Christchurch 1, New Zealand.</t>
  </si>
  <si>
    <t>ian.hawes@canterbury.ac.nz</t>
  </si>
  <si>
    <t>Hawes, Ian/0000-0003-2471-6903</t>
  </si>
  <si>
    <t>National Science Foundation [115245]; NZ Foundation for Research, Science and Technology [CO1605]; Directorate For Geosciences; Office of Polar Programs (OPP) [1115245] Funding Source: National Science Foundation</t>
  </si>
  <si>
    <t>National Science Foundation(National Science Foundation (NSF)); NZ Foundation for Research, Science and Technology(New Zealand Foundation for Research, Science and Technology); Directorate For Geosciences; Office of Polar Programs (OPP)(National Science Foundation (NSF)NSF - Directorate for Geosciences (GEO))</t>
  </si>
  <si>
    <t>Bob Spigel guided development of the diffusion-based simulation, Anne Jungblut assisted with identification of cyanobacteria, and Aslan Wright- Stowe, Robin Ellwood, and staff of the McMurdo Station dive locker were essential to the field work. Logistic support was supplied by Antarctica New Zealand and the U.S. Antarctic Program, and research funding came from the National Science Foundation grant 115245 to the McMurdo Long Term Ecological Research program and grant CO1605 from the NZ Foundation for Research, Science and Technology to the National Institute of Water and Atmospheric Research, New Zealand. We are grateful for the efforts of the editors and two anonymous reviewers, who greatly improved the manuscript.</t>
  </si>
  <si>
    <t>10.4319/lo.2014.59.3.0674</t>
  </si>
  <si>
    <t>AM5MQ</t>
  </si>
  <si>
    <t>WOS:000339904300004</t>
  </si>
  <si>
    <t>Bundy, RM; Biller, DV; Buck, KN; Bruland, KW; Barbeau, KA</t>
  </si>
  <si>
    <t>Bundy, Randelle M.; Biller, Dondra V.; Buck, Kristen N.; Bruland, Kenneth W.; Barbeau, Katherine A.</t>
  </si>
  <si>
    <t>Distinct pools of dissolved iron-binding ligands in the surface and benthic boundary layer of the California Current</t>
  </si>
  <si>
    <t>CATHODIC STRIPPING VOLTAMMETRY; NATURAL ORGANIC-LIGANDS; HUMIC SUBSTANCES; COMPLEXING LIGANDS; COPPER SPECIATION; ANTARCTIC PENINSULA; CU SPECIATION; SEA-WATER; COMPLEXATION; FLUX</t>
  </si>
  <si>
    <t>Organic dissolved iron (dFe)-binding ligands were measured by competitive ligand exchange-adsorptive cathodic stripping voltammetry (CLE-ACSV) at multiple analytical windows (side reaction coefficient of salicylaldoxime, alpha(Fe(SA)2) = 30, 60, and 100) in surface and benthic boundary layer (BBL) samples along the central California coast during spring and summer. The weakest ligands were detected in the BBL at the lowest analytical window with average log K-FeL,Fe'(cond) = 10.2 +/- 0.4 in the summer and 10.8 +/- 0.2 in the spring. Between 3% and 18% of the dFe complexation in the BBL was accounted for by HS, which were measured separately in samples by ACSV and may indicate a source of dFe-binding ligands from San Francisco Bay. The strongest ligands were found in nearshore spring surface waters at the highest analytical window with average log K-FeL,Fe'(cond) = 11.9 +/- 0.3, and the concentrations of these ligands declined rapidly offshore. The ligand pools in the surface and BBL waters were distinct from each other based on principal components analysis, with variances in the BBL ligand pool explained by sample location, and variance in surface waters explained by water mass. The use of multiple analytical window analysis elucidated several distinct iron-binding ligand pools, each with unique distributions in the central California Current system.</t>
  </si>
  <si>
    <t>[Bundy, Randelle M.; Barbeau, Katherine A.] Univ Calif San Diego, Scripps Inst Oceanog, La Jolla, CA 92093 USA; [Biller, Dondra V.; Bruland, Kenneth W.] Univ Calif Santa Cruz, Ocean Sci Dept, Santa Cruz, CA 95064 USA; [Buck, Kristen N.] Bermuda Inst Ocean Sci, St Georges, Bermuda</t>
  </si>
  <si>
    <t>University of California System; University of California San Diego; Scripps Institution of Oceanography; University of California System; University of California Santa Cruz; Bermuda Institute of Ocean Sciences</t>
  </si>
  <si>
    <t>Bundy, RM (corresponding author), Univ Calif San Diego, Scripps Inst Oceanog, La Jolla, CA 92093 USA.</t>
  </si>
  <si>
    <t>rmbundy@ucsd.edu</t>
  </si>
  <si>
    <t>Buck, Kristen/O-3988-2014; Bundy, Randelle M./J-8453-2016</t>
  </si>
  <si>
    <t>Buck, Kristen/0000-0002-3871-870X; Bundy, Randelle M./0000-0002-0600-3953; Barbeau, Katherine/0000-0002-2132-7219</t>
  </si>
  <si>
    <t>National Science Foundation (NSF) grant Division of Ocean Sciences (OCE) [10-26607]; NSF [OCE 0849943]; Walwyn Hughes Fund for Innovation; Moore Endowment Fund at the Bermuda Institute of Ocean Sciences (BIOS); Directorate For Geosciences; Division Of Ocean Sciences [1026607, 1259776] Funding Source: National Science Foundation</t>
  </si>
  <si>
    <t>National Science Foundation (NSF) grant Division of Ocean Sciences (OCE)(National Science Foundation (NSF)); NSF(National Science Foundation (NSF)); Walwyn Hughes Fund for Innovation; Moore Endowment Fund at the Bermuda Institute of Ocean Sciences (BIOS); Directorate For Geosciences; Division Of Ocean Sciences(National Science Foundation (NSF)NSF - Directorate for Geosciences (GEO))</t>
  </si>
  <si>
    <t>R.M.B. was supported by National Science Foundation (NSF) grant Division of Ocean Sciences (OCE) 10-26607 for the California Current Ecosystem Long Term Ecological Research program. This project was funded by NSF grant OCE 0849943 to K.W.B. and D.V.B. K.N.B. was supported by institutional funding from the Walwyn Hughes Fund for Innovation and the Ray Moore Endowment Fund at the Bermuda Institute of Ocean Sciences (BIOS).</t>
  </si>
  <si>
    <t>10.4319/lo.2014.59.3.0769</t>
  </si>
  <si>
    <t>WOS:000339904300011</t>
  </si>
  <si>
    <t>Doran, PT; Kenig, F; Knoepfle, JL; Mikucki, JA; Lyons, WB</t>
  </si>
  <si>
    <t>Doran, Peter T.; Kenig, Fabien; Knoepfle, Jennifer Lawson; Mikucki, Jill A.; Lyons, W. Berry</t>
  </si>
  <si>
    <t>Radiocarbon distribution and the effect of legacy in lakes of the McMurdo Dry Valleys, Antarctica</t>
  </si>
  <si>
    <t>DISSOLVED INORGANIC CARBON; GROUNDED ICE-SHEET; TAYLOR VALLEY; ROSS SEA; ISOTOPIC COMPOSITION; CLIMATE; FRYXELL; BONNEY; GEOCHEMISTRY; SEDIMENTS</t>
  </si>
  <si>
    <t>The water of the ice-covered lakes of the McMurdo Dry Valleys is derived primarily from glacial melt streams and to a lesser extent permafrost seeps and subglacial outflow. The result is a mixture of radiocarbon ages that reflect both the end-member water source and the biogeochemical processing of waters as they migrate to the lake-water column. Samples were collected from various locations within perennially ice-covered Antarctic lakes and the streams that feed them, and they were analyzed for radiocarbon abundance of organic and inorganic carbon. Stream gradient and length were shown to affect the degree of equilibration of water with the modern atmosphere prior to entering the lakes. Stream microbial mats assimilate inorganic carbon flowing over them. Seasonal ice-free 'moat' water dissolved inorganic carbon (DIC) is largely dependent on the amount of meltwater input from streams (modern) vs. that from direct glaciers input (old). Under the ice cover, C-14 ages of lake-water DIC and organic matter are dependent on lake history, composition, and quantity of particulate matter fallout. Bottom waters of the west lobe of Lake Bonney have a DIC age of similar to 27,000 C-14 yr before present, which we believe are the most radiocarbon-deficient lake waters on Earth. Comparison of the radiocarbon profiles in the two lobes of Lake Bonney, along with previously published geochemical data, provides a new chronology of the evolution of these two waterbodies and shows that currently deep saline water is being displaced over the sill separating them.</t>
  </si>
  <si>
    <t>[Doran, Peter T.; Kenig, Fabien; Knoepfle, Jennifer Lawson] Univ Illinois, Dept Earth &amp; Environm Sci, Chicago, IL 60601 USA; [Mikucki, Jill A.] Univ Tennessee, Dept Microbiol, Knoxville, TN 37996 USA; [Lyons, W. Berry] Ohio State Univ, Byrd Polar Res Ctr, Columbus, OH 43210 USA</t>
  </si>
  <si>
    <t>University of Illinois System; University of Illinois Chicago; University of Illinois Chicago Hospital; University of Tennessee System; University of Tennessee Knoxville; University System of Ohio; Ohio State University</t>
  </si>
  <si>
    <t>Doran, PT (corresponding author), Univ Illinois, Dept Earth &amp; Environm Sci, Chicago, IL 60601 USA.</t>
  </si>
  <si>
    <t>pdoran@uic.edu</t>
  </si>
  <si>
    <t>Kenig, Fabien/A-4961-2008</t>
  </si>
  <si>
    <t>Kenig, Fabien/0000-0003-4868-5232</t>
  </si>
  <si>
    <t>National Science Foundation-Long Term Ecological Research Program, Office of Polar Programs [OPP 9810219, OPP 0096259]; National Aeronautics and Space Administration Exobiology Program [NAG5-9427]; Office of Polar Programs (OPP); Directorate For Geosciences [1115245] Funding Source: National Science Foundation</t>
  </si>
  <si>
    <t>National Science Foundation-Long Term Ecological Research Program, Office of Polar Programs; National Aeronautics and Space Administration Exobiology Program(National Aeronautics &amp; Space Administration (NASA)); Office of Polar Programs (OPP); Directorate For Geosciences(National Science Foundation (NSF)NSF - Directorate for Geosciences (GEO))</t>
  </si>
  <si>
    <t>This work was supported by the National Science Foundation-Long Term Ecological Research Program, Office of Polar Programs (OPP 9810219, OPP 0096259), and the National Aeronautics and Space Administration Exobiology Program (NAG5-9427).</t>
  </si>
  <si>
    <t>10.4319/lo.2014.59.3.0811</t>
  </si>
  <si>
    <t>WOS:000339904300014</t>
  </si>
  <si>
    <t>Hospitaleche, CA; Reguero, M</t>
  </si>
  <si>
    <t>Acosta Hospitaleche, Carolina; Reguero, Marcelo</t>
  </si>
  <si>
    <t>Palaeeudyptes klekowskii, the best-preserved penguin skeleton from the Eocene-Oligocene of Antarctica: Taxonomic and evolutionary remarks</t>
  </si>
  <si>
    <t>GEOBIOS</t>
  </si>
  <si>
    <t>Sphenisciformes; Palaeeudyptes; Eocene; La Meseta Formation; Seymour Island; Antarctica</t>
  </si>
  <si>
    <t>LA MESETA FORMATION; SEYMOUR ISLAND; EARLY MIOCENE; AVES; SPHENISCIFORMES; DIVERSITY; REVISION</t>
  </si>
  <si>
    <t>A new fossil penguin skeleton from the La Meseta Formation collected at the locality DPV 13/84 (Seymour Island, Antarctic Peninsula) from the crinoid horizon located 40 m above the base of the 145 m-thick Submeseta Allomember (Late Eocene-Early Oligocene?) is described. The specimen is assigned to the species Palaeeudyptes klekowskii Myrcha, Tatur and del Valle, 1990; it is the most complete penguin skeleton ever recovered from Antarctica. Discoveries like this one are significant for the study of the anatomy and evolution of penguins, in particular regarding the Antarctic species included in the genus Palaeeudyptes Huxley, 1859. P. klekowskii closely resembles its smaller congeneric species P. gunnari (Wiman, 1905), with only the relative concavity of the margo medialis distinguishing the tarsometatarsi of both taxa. However, the results of a geometric morphometric analysis show some intra- and inter-specific variations, making possible the systematic assignment of the majority of the specimens. Size variation is congruent with the presence of two different species. (C) 2014 Elsevier Masson SAS. All rights reserved.</t>
  </si>
  <si>
    <t>[Acosta Hospitaleche, Carolina; Reguero, Marcelo] Consejo Nacl Invest Cient &amp; Tecn, Div Paleontol Vertebrados, Museo La Plata, La Plata, Argentina</t>
  </si>
  <si>
    <t>Consejo Nacional de Investigaciones Cientificas y Tecnicas (CONICET)</t>
  </si>
  <si>
    <t>Hospitaleche, CA (corresponding author), Consejo Nacl Invest Cient &amp; Tecn, Div Paleontol Vertebrados, Museo La Plata, Paseo Bosque S-N,1900FWA, La Plata, Argentina.</t>
  </si>
  <si>
    <t>acostacaro@fcnym.unlp.edu.ar</t>
  </si>
  <si>
    <t>Acosta Hospitaleche, Carolina/E-5740-2017; Reguero, Marcelo A./JHS-4893-2023</t>
  </si>
  <si>
    <t>Acosta Hospitaleche, Carolina/0000-0002-2614-1448;</t>
  </si>
  <si>
    <t>ELSEVIER FRANCE-EDITIONS SCIENTIFIQUES MEDICALES ELSEVIER</t>
  </si>
  <si>
    <t>ISSY-LES-MOULINEAUX</t>
  </si>
  <si>
    <t>65 RUE CAMILLE DESMOULINS, CS50083, 92442 ISSY-LES-MOULINEAUX, FRANCE</t>
  </si>
  <si>
    <t>0016-6995</t>
  </si>
  <si>
    <t>1777-5728</t>
  </si>
  <si>
    <t>GEOBIOS-LYON</t>
  </si>
  <si>
    <t>Geobios</t>
  </si>
  <si>
    <t>MAY-JUN</t>
  </si>
  <si>
    <t>10.1016/j.geobios.2014.03.003</t>
  </si>
  <si>
    <t>AM2UP</t>
  </si>
  <si>
    <t>WOS:000339706600001</t>
  </si>
  <si>
    <t>Qian, SB; Wang, JJ; Zhu, LY; Snoonthornthum, B; Wang, LZ; Zhao, EG; Zhou, X; Liao, WP; Liu, NP</t>
  </si>
  <si>
    <t>Qian, S. -B.; Wang, J. -J.; Zhu, L. -Y.; Snoonthornthum, B.; Wang, L. -Z.; Zhao, E. G.; Zhou, X.; Liao, W. -P.; Liu, N. -P.</t>
  </si>
  <si>
    <t>OPTICAL FLARES AND A LONG-LIVED DARK SPOT ON A COOL SHALLOW CONTACT BINARY</t>
  </si>
  <si>
    <t>ASTROPHYSICAL JOURNAL SUPPLEMENT SERIES</t>
  </si>
  <si>
    <t>binaries: close; binaries: eclipsing; stars: activity; stars: evolution; stars: individual (CSTAR 038663)</t>
  </si>
  <si>
    <t>4-COLOR LIGHT CURVES; CLOSE-BINARY; OBSERVATIONAL DATA; ECLIPSING BINARY; VARIABLE-STARS; PERIOD CHANGES; MASS-RATIO; DOME; ANTARCTICA; SYSTEM</t>
  </si>
  <si>
    <t>W UMa-type stars are contact systems where both cool components fill the critical Roche lobes and share a common convective envelope. Long and unbroken time-series photometry is expected to play an important role in their origin and activity. The newly discovered short-period W UMa-type star, CSTAR 038663, was monitored continuously by Chinese Small Telescope ARray (CSTAR) in Antarctica during the winters of 2008 and 2010. There were 15 optical flares recorded in the i band during the winter of 2010. This was the first time such flares were detected from a W UMa-type star. By analyzing the nearly unbroken photometric data from 2008, it is discovered that CSTAR 038663 is a W-type shallow contact binary system (f = 10.6(+/- 2.9)%) with a high mass ratio of q = 1.12(+/- 0.01), where the less massive component is slightly hotter than the more massive one. The asymmetric light curves are explained by the presence of a dark spot on the more massive component. Its temperature is about 800 K lower than the stellar photosphere and it covers 2.1% of the total photospheric surface. The lifetime of the dark spot is longer than 116 days. Using 725 eclipse times, we found that the observed-calculated (O-C) curve may show a cyclic variation that is explained by the presence of a close-in third body. Both the shallow contact configuration and the extremely high mass ratio suggest that CSTAR 038663 is presently evolving into a contact system with little mass transfer. The formation and evolution is driven by the loss of angular momentum via magnetic braking, and the close-in companion star is expected to play an important role, removing angular momentum from the central eclipsing binary.</t>
  </si>
  <si>
    <t>[Qian, S. -B.; Wang, J. -J.; Zhu, L. -Y.; Zhao, E. G.; Zhou, X.; Liao, W. -P.; Liu, N. -P.] Chinese Acad Sci, Yunnan Observ, Kunming 650011, Yunnan, Peoples R China; [Qian, S. -B.; Wang, J. -J.; Zhu, L. -Y.; Zhao, E. G.; Zhou, X.; Liao, W. -P.; Liu, N. -P.] Chinese Acad Sci, Key Lab Struct &amp; Evolut Celestial Objects, Kunming 650011, Peoples R China; [Qian, S. -B.; Wang, J. -J.; Zhu, L. -Y.; Zhou, X.; Liu, N. -P.] Univ Chinese Acad Sci, Beijing 100049, Peoples R China; [Snoonthornthum, B.] Natl Astron Res Inst Thailand, Chiang Mai 50200, Thailand; [Wang, L. -Z.] Chinese Acad Sci, Natl Astron Observ, Beijing 100012, Peoples R China</t>
  </si>
  <si>
    <t>Chinese Academy of Sciences; Yunnan Astronomical Observatory, NAOC, CAS; Chinese Academy of Sciences; Chinese Academy of Sciences; University of Chinese Academy of Sciences, CAS; Chinese Academy of Sciences; National Astronomical Observatory, CAS</t>
  </si>
  <si>
    <t>Qian, SB (corresponding author), Chinese Acad Sci, Yunnan Observ, POB 110, Kunming 650011, Yunnan, Peoples R China.</t>
  </si>
  <si>
    <t>qsb@ynao.ac.cn</t>
  </si>
  <si>
    <t>zhu, yujie/KBC-4009-2024; zhu, liying/AAU-7357-2020; he, he/JPL-3505-2023</t>
  </si>
  <si>
    <t>Chinese Natural Science Foundation [11133007, 11325315]</t>
  </si>
  <si>
    <t>Chinese Natural Science Foundation(National Natural Science Foundation of China (NSFC))</t>
  </si>
  <si>
    <t>This work is partly supported by the Chinese Natural Science Foundation (No. 11133007 and No. 11325315). We are very grateful to the staff of the Chinese Antarctic Astronomical Center for their contributions to the construction of PLATO and CSTAR at Dome A. Photometric observations used in the paper were obtained with CSTAR during the Antarctic winters of 2008 and 2010.</t>
  </si>
  <si>
    <t>0067-0049</t>
  </si>
  <si>
    <t>1538-4365</t>
  </si>
  <si>
    <t>ASTROPHYS J SUPPL S</t>
  </si>
  <si>
    <t>Astrophys. J. Suppl. Ser.</t>
  </si>
  <si>
    <t>10.1088/0067-0049/212/1/4</t>
  </si>
  <si>
    <t>AL6HG</t>
  </si>
  <si>
    <t>WOS:000339232600004</t>
  </si>
  <si>
    <t>Hurt, AC; Vijaykrishna, D; Butler, J; Baas, C; Maurer-Stroh, S; Silva-de-la-Fuente, MC; Medina-Vogel, G; Olsen, B; Kelso, A; Barr, IG; González-Acuña, D</t>
  </si>
  <si>
    <t>Hurt, Aeron C.; Vijaykrishna, Dhanasekaran; Butler, Jeffrey; Baas, Chantal; Maurer-Stroh, Sebastian; Carolina Silva-de-la-Fuente, M.; Medina-Vogel, Gonzalo; Olsen, Bjorn; Kelso, Anne; Barr, Ian G.; Gonzalez-Acuna, Daniel</t>
  </si>
  <si>
    <t>Detection of Evolutionarily Distinct Avian Influenza A Viruses in Antarctica</t>
  </si>
  <si>
    <t>MBIO</t>
  </si>
  <si>
    <t>SOUTH POLAR SKUAS; PHYLOGENETIC ANALYSIS; WILD WATERFOWL; CONTAINS GENES; NORTH; PENGUINS; LINEAGE; PROTEIN; EQUINE; SURVEILLANCE</t>
  </si>
  <si>
    <t>Distinct lineages of avian influenza viruses (AIVs) are harbored by spatially segregated birds, yet significant surveillance gaps exist around the globe. Virtually nothing is known from the Antarctic. Using virus culture, molecular analysis, full genome sequencing, and serology of samples from Adelie penguins in Antarctica, we confirmed infection by H11N2 subtype AIVs. Their genetic segments were distinct from all known contemporary influenza viruses, including South American AIVs, suggesting spatial separation from other lineages. Only in the matrix and polymerase acidic gene phylogenies did the Antarctic sequences form a sister relationship to South American AIVs, whereas distant phylogenetic relationships were evident in all other gene segments. Interestingly, their neuraminidase genes formed a distant relationship to all avian and human influenza lineages, and the polymerase basic 1 and polymerase acidic formed a sister relationship to the equine H3N8 influenza virus lineage that emerged during 1963 and whose avian origins were previously unknown. We also estimated that each gene segment had diverged for 49 to 80 years from its most closely related sequences, highlighting a significant gap in our AIV knowledge in the region. We also show that the receptor binding properties of the H11N2 viruses are predominantly avian and that they were unable to replicate efficiently in experimentally inoculated ferrets, suggesting their continuous evolution in avian hosts. These findings add substantially to our understanding of both the ecology and the intra-and intercontinental movement of Antarctic AIVs and highlight the potential risk of an incursion of highly pathogenic AIVs into this fragile environment. IMPORTANCE Avian influenza viruses (AIVs) are typically maintained and spread by migratory birds, resulting in the existence of distinctly different viruses around the world. However, AIVs have not previously been detected in Antarctica. In this study, we characterized H11N2 viruses sampled from Adelie penguins from two geographically different sites in Antarctica and show that the segmented AIV genome diverged between 49 and 80 years ago from other AIVs, with several genes showing similarity and shared ancestry with H3N8 equine influenza viruses. This study provides the first insight into the ecology of AIVs in Antarctica and highlights the potential risk of an introduction of highly pathogenic AIVs into the continent.</t>
  </si>
  <si>
    <t>[Hurt, Aeron C.; Butler, Jeffrey; Baas, Chantal; Kelso, Anne; Barr, Ian G.] WHO Collaborating Ctr Reference &amp; Res Influenza, North Melbourne, Vic, Australia; [Hurt, Aeron C.; Baas, Chantal; Barr, Ian G.] Monash Univ, Sch Appl Sci, Churchill, Vic, Australia; [Vijaykrishna, Dhanasekaran] Duke NUS Grad Med Sch, Lab Virus Evolut, Singapore, Singapore; [Maurer-Stroh, Sebastian] ASTAR, Bioinformat Inst BII, Singapore, Singapore; [Maurer-Stroh, Sebastian] Minist Hlth, Natl Publ Hlth Lab, Communicable Dis Div, Singapore, Singapore; [Maurer-Stroh, Sebastian] Nanyang Technol Univ, SPS, Singapore 639798, Singapore; [Carolina Silva-de-la-Fuente, M.; Gonzalez-Acuna, Daniel] Univ Concepcion, Fac Ciencias Vet, Chillan, Chile; [Medina-Vogel, Gonzalo] Univ Andres Bello, Fac Ecol &amp; Recursos Nat, Santiago, Chile; [Olsen, Bjorn] Uppsala Univ, Uppsala, Sweden</t>
  </si>
  <si>
    <t>World Health Organization; Monash University; National University of Singapore; Agency for Science Technology &amp; Research (A*STAR); A*STAR - Bioinformatics Institute (BII); Ministry of Health-Singapore; Nanyang Technological University; Universidad de Concepcion; Universidad Andres Bello; Uppsala University</t>
  </si>
  <si>
    <t>Hurt, AC (corresponding author), WHO Collaborating Ctr Reference &amp; Res Influenza, North Melbourne, Vic, Australia.</t>
  </si>
  <si>
    <t>aeron.hurt@influenzacentre.org</t>
  </si>
  <si>
    <t>Dhanasekaran, Vijaykrishna/HKO-1036-2023; Maurer-Stroh, Sebastian/Q-9476-2019; Vijaykrishna, Dhanasekaran/AAG-2077-2020</t>
  </si>
  <si>
    <t>Dhanasekaran, Vijaykrishna/0000-0003-3293-6279; Maurer-Stroh, Sebastian/0000-0003-0813-9640; Vijaykrishna, Dhanasekaran/0000-0003-3293-6279; Barr, Ian/0000-0002-7351-418X; Kelso, Anne/0000-0002-3166-3267; Medina-Vogel, Gonzalo/0000-0002-1579-9463; Hurt, Aeron/0000-0003-1826-4314; Olsen, Bjorn/0000-0002-4646-691X</t>
  </si>
  <si>
    <t>Instituto Antartico Chileno [INACH T-27-10, 1852]; Australian Government Department of Health; Agency of Science, Technology and Research, Singapore; Ministry of Health, Singapore; Singapore Ministry of Education Academic Research Fund [MOE2011-T2-2-049]</t>
  </si>
  <si>
    <t>Instituto Antartico Chileno; Australian Government Department of Health(Australian GovernmentDepartment of Health &amp; Ageing); Agency of Science, Technology and Research, Singapore(Agency for Science Technology &amp; Research (A*STAR)); Ministry of Health, Singapore(Ministry of Health-Singapore); Singapore Ministry of Education Academic Research Fund(Ministry of Education, Singapore)</t>
  </si>
  <si>
    <t>The fieldwork was funded by the Instituto Antartico Chileno as part of the project INACH T-27-10: The common seabird tick Ixodes uriae (White, 1852) as vector of pathogenic virus, bacteria and protozoa to penguins of the Antarctic environment. The Melbourne WHO Collaborating Centre for Reference and Research on Influenza is supported by the Australian Government Department of Health. D. V. is funded by the Agency of Science, Technology and Research, Singapore, and the Ministry of Health, Singapore, and Singapore Ministry of Education Academic Research Fund grant MOE2011-T2-2-049.</t>
  </si>
  <si>
    <t>2150-7511</t>
  </si>
  <si>
    <t>mBio</t>
  </si>
  <si>
    <t>e01098-14</t>
  </si>
  <si>
    <t>10.1128/mBio.01098-14</t>
  </si>
  <si>
    <t>AL1HH</t>
  </si>
  <si>
    <t>WOS:000338875900032</t>
  </si>
  <si>
    <t>Schreider, AA; Schreider, AA; Evsenko, EI</t>
  </si>
  <si>
    <t>Schreider, Al. A.; Schreider, A. A.; Evsenko, E. I.</t>
  </si>
  <si>
    <t>The stages of the development of the basin of the Bransfield Strait</t>
  </si>
  <si>
    <t>HYDROTHERMAL ACTIVITY; ANTARCTIC PENINSULA; SOUTH-ATLANTIC; PHOENIX RIDGE; EVOLUTION; TECTONICS; AREA</t>
  </si>
  <si>
    <t>The study of the sedimentary body of the Bransfield Strait has made it possible to identify several sedimentary complexes, to construct the first electronic charts for the acoustic basement, and to establish four stages of the evolution of its floor, which updates the previous knowledge about the formation of the strait. At the first stage, there was an increase in tension stresses that were accompanied by the local splits of the continental crust at the periphery of the Antarctic Peninsula. At the second stage, a graben-like structure filled with the Lower stratigraphic complex was formed northward of the Antarctic Peninsula. At the third stage, the continuing processes of extension led to intensive explosive activity of the growing volcanic structures and filling of the graben with sediments of the Middle seismostratigraphic complex. The fourth stage, which has continued until recently, is characterized by quasi-linear localization of the major centers of volcanic activity in the band closer to the South-Shetland Islands and the formation of the Upper seismostratigraphic sedimentary complex. The evolution of the floor of the Bransfield Strait reflects the process of penetration of the American-Antarctic ridge to the continental lithosphere of the Antarctic Peninsula for the last million years.</t>
  </si>
  <si>
    <t>[Schreider, Al. A.] OOO NIIGazekon, Moscow, Russia; [Schreider, A. A.; Evsenko, E. I.] Russian Acad Sci, Shirshov Inst Oceanol, Moscow, Russia</t>
  </si>
  <si>
    <t>Schreider, AA (corresponding author), OOO NIIGazekon, Moscow, Russia.</t>
  </si>
  <si>
    <t>aschr@ocean.ru</t>
  </si>
  <si>
    <t>Sazhneva, Alexandra/HPG-9897-2023</t>
  </si>
  <si>
    <t>Russian Foundation for Basic Research [11-05-00066-a, 11-05-93981-INIS_a]</t>
  </si>
  <si>
    <t>This work was supported by the Russian Foundation for Basic Research (project nos. 11-05-00066-a and 11-05-93981-INIS_a).</t>
  </si>
  <si>
    <t>10.1134/S0001437014020234</t>
  </si>
  <si>
    <t>AL3AW</t>
  </si>
  <si>
    <t>WOS:000338998300010</t>
  </si>
  <si>
    <t>Dell'Ariccia, G; Célérier, A; Gabirot, M; Palmas, P; Massa, B; Bonadonna, F</t>
  </si>
  <si>
    <t>Dell'Ariccia, Gaia; Celerier, Aurelie; Gabirot, Marianne; Palmas, Pauline; Massa, Bruno; Bonadonna, Francesco</t>
  </si>
  <si>
    <t>Olfactory foraging in temperate waters: sensitivity to dimethylsulphide of shearwaters in the Atlantic Ocean and Mediterranean Sea</t>
  </si>
  <si>
    <t>DMS; Foraging; Odour cues; Olfaction; Petrels; Procellariiform seabirds</t>
  </si>
  <si>
    <t>CORYS SHEARWATER; CALONECTRIS-DIOMEDEA; ANTARCTIC SEABIRDS; HALOBAENA-CAERULEA; DMS CONCENTRATIONS; SENSORY ECOLOGY; BLUE PETREL; SULFIDE; DIMETHYLSULFONIOPROPIONATE; CUES</t>
  </si>
  <si>
    <t>Many procellariiforms use olfactory cues to locate food patches over the seemingly featureless ocean surface. In particular, some of them are able to detect and are attracted by dimethylsulphide (DMS), a volatile compound naturally occurring over worldwide oceans in correspondence with productive feeding areas. However, current knowledge is restricted to sub-Antarctic species and to only one study realized under natural conditions at sea. Here, for the first time, we investigated the response to DMS in parallel in two different environments in temperate waters, the Atlantic Ocean and the Mediterranean Sea, employing Cory's (Calonectris borealis) and Scopoli's (Calonectris diomedea) shearwaters as models. To test whether these birds can detect and respond to DMS, we presented them with this substance in a Y-maze. Then, to determine whether they use this molecule in natural conditions, we tested the response to DMS at sea. The number of birds that chose DMS in the Y-maze and that were recruited at DMS-scented slicks at sea suggests that these shearwaters are attracted to DMS in both non-foraging and natural contexts. Our findings show that the use of DMS as a foraging cue may be a strategy adopted by procellariiforms across oceans but that regional differences may exist, giving a worldwide perspective to previous hypotheses concerning the use of DMS as a chemical cue.</t>
  </si>
  <si>
    <t>[Dell'Ariccia, Gaia; Celerier, Aurelie; Gabirot, Marianne; Palmas, Pauline; Bonadonna, Francesco] CNRS, CEFE, Behav Ecol Grp, F-34293 Montpellier, France; [Massa, Bruno] Univ Palermo, Dept Agr &amp; Forest Sci, I-90128 Palermo, Italy</t>
  </si>
  <si>
    <t>Universite PSL; Ecole Pratique des Hautes Etudes (EPHE); Institut Agro; Montpellier SupAgro; CIRAD; Centre National de la Recherche Scientifique (CNRS); Institut de Recherche pour le Developpement (IRD); Universite Paul-Valery; Universite de Montpellier; University of Palermo</t>
  </si>
  <si>
    <t>Dell'Ariccia, G (corresponding author), CNRS, CEFE, Behav Ecol Grp, 1919 Route Mende, F-34293 Montpellier, France.</t>
  </si>
  <si>
    <t>gaiadellariccia@gmail.com</t>
  </si>
  <si>
    <t>Bonadonna, Francesco/A-7456-2008</t>
  </si>
  <si>
    <t>Bonadonna, Francesco/0000-0002-2702-5801; Gabirot, Marianne/0000-0002-5059-9766; Dell'Ariccia, Gaia/0000-0001-9768-0118</t>
  </si>
  <si>
    <t>Fyssen Foundation; Marie Curie Intra- European Fellowship [PIEF-GA-2010-272282-SOMA]; Journal of Experimental Biology Travelling Fellowship awarded; Agence Nationale de la Recherche Franaise [AMBO ANR-08-BLAN-0117-01]</t>
  </si>
  <si>
    <t>Fyssen Foundation; Marie Curie Intra- European Fellowship(European Union (EU)); Journal of Experimental Biology Travelling Fellowship awarded; Agence Nationale de la Recherche Franaise(Agence Nationale de la Recherche (ANR))</t>
  </si>
  <si>
    <t>/ G. D. A. was funded by the Fyssen Foundation (Fellowship 2010) and by a Marie Curie Intra- European Fellowship [PIEF-GA-2010-272282-SOMA]. The Mediterranean fieldwork of this research was possible thanks to a collaborative project between the CEFE- CNRS and the University of Palermo financed by a Journal of Experimental Biology Travelling Fellowship awarded to G. D. A. (Award 2010). M. G. was supported by the Agence Nationale de la Recherche Franaise [AMBO ANR-08-BLAN-0117-01].</t>
  </si>
  <si>
    <t>10.1242/jeb.097931</t>
  </si>
  <si>
    <t>AK6DG</t>
  </si>
  <si>
    <t>WOS:000338517700013</t>
  </si>
  <si>
    <t>De Los Ríos-Escalante, P; Mansilla, A</t>
  </si>
  <si>
    <t>De Los Rios-Escalante, Patricio; Mansilla, Andres</t>
  </si>
  <si>
    <t>ON THE GEOGRAPHIC DISTRIBUTION OF BOECKELLA BREVICAUDATA (BRADY, 1875) (COPEPODA; CALANOIDA) AND ITS SPECIES ASSOCIATIONS IN SEASONAL EPHEMERAL POOLS IN THE MAGALLANES REGION (53°S, CHILE)</t>
  </si>
  <si>
    <t>CRUSTACEANA</t>
  </si>
  <si>
    <t>PAINE NATIONAL-PARK; NULL MODEL ANALYSIS; UV-RADIATION; COMMUNITY STRUCTURE; LAKES; CRUSTACEA; COOCCURRENCE</t>
  </si>
  <si>
    <t>The distribution of crustaceans of inland waters in southern Patagonia is characterized by the presence of sub-Antarctic and southern South American species. The aims of the present study were to study the geographical distribution of the calanoid copepod Boeckella brevicaudata (Brady, 1875) and the community structure of the zooplankton assemblages in which this species occurs. This last purpose was approached by applying null-models analyses based on species co-occurrence and niche-sharing. The species itself inhabits sub-Antarctic islands as well as southern South America. The results of the co-occurrence null model analysis revealed that the communities with this species have no regulating factors, whereas the niche overlap null model analysis revealed that these species share the same ecological niche. We thus found low abundances for all species, with specifically low B. brevicaudata abundance, at low mineral contents of the water. The results obtained were similar among sites in southern Argentinean and southern Chilean Patagonia, and on sub-Antarctic islands of which data were available.</t>
  </si>
  <si>
    <t>[De Los Rios-Escalante, Patricio] Univ Catolica Temuco, Fac Recursos Nat, Lab Limnol, Escuela Ciencias Ambientales, Temuco, Chile; [De Los Rios-Escalante, Patricio] UC Temuco, Nucleo Estudios Ambientales, Temuco, Chile; [Mansilla, Andres] Univ Magallanes, Dept Ciencias &amp; Recursos Nat, Punta Arenas, Chile; [Mansilla, Andres] Inst Ecol &amp; Biodivers, Santiago, Chile; [Mansilla, Andres] Univ Magallanes, Subantarctic Biocultural Conservat Program, Puerto Williams, Chile; [Mansilla, Andres] Univ N Texas, Denton, TX 76203 USA</t>
  </si>
  <si>
    <t>Universidad Catolica de Temuco; Universidad de Magallanes; Universidad de Magallanes; University of North Texas System; University of North Texas Denton</t>
  </si>
  <si>
    <t>De Los Ríos-Escalante, P (corresponding author), Univ Catolica Temuco, Fac Recursos Nat, Lab Limnol, Escuela Ciencias Ambientales, Casilla 15-D, Temuco, Chile.</t>
  </si>
  <si>
    <t>prios@uct.cl</t>
  </si>
  <si>
    <t>De los Rios Escalante, Patricio R./E-2775-2014</t>
  </si>
  <si>
    <t>De los Rios Escalante, Patricio R./0000-0001-5056-7003</t>
  </si>
  <si>
    <t>[DGI-CDA-01]; [MECE-SUP UC/0804]</t>
  </si>
  <si>
    <t>;</t>
  </si>
  <si>
    <t>The authors express their gratitude to the Projects DGI-CDA-01, and MECE-SUP UC/0804, and for anonymous persons who collaborated in the field work.</t>
  </si>
  <si>
    <t>BRILL ACADEMIC PUBLISHERS</t>
  </si>
  <si>
    <t>PLANTIJNSTRAAT 2, P O BOX 9000, 2300 PA LEIDEN, NETHERLANDS</t>
  </si>
  <si>
    <t>0011-216X</t>
  </si>
  <si>
    <t>1568-5403</t>
  </si>
  <si>
    <t>Crustaceana</t>
  </si>
  <si>
    <t>10.1163/15685403-00003308</t>
  </si>
  <si>
    <t>AJ8BR</t>
  </si>
  <si>
    <t>WOS:000337928100003</t>
  </si>
  <si>
    <t>Liu, C; Zhang, XY; Su, HN; Zhou, MY; Chen, B; Li, H; Chen, XL; Zhao, DL; Zhou, BC; Shi, M; Zhang, YZ</t>
  </si>
  <si>
    <t>Liu, Chang; Zhang, Xi-Ying; Su, Hai-Nan; Zhou, Ming-Yang; Chen, Bo; Li, Hai; Chen, Xiu-Lan; Zhao, Dian-Li; Zhou, Bai-Cheng; Shi, Mei; Zhang, Yu-Zhong</t>
  </si>
  <si>
    <t>Puniceibacterium antarcticum gen. nov., sp nov., isolated from seawater</t>
  </si>
  <si>
    <t>DEOXYRIBONUCLEIC-ACID; ROSEOBACTER; DATABASE; SEA</t>
  </si>
  <si>
    <t>A Gram-reaction-negative, aerobic, non-flagellated, rod-shaped bacterium, designated strain SM1211(T), was isolated from Antarctic seawater. The isolate grew at 4-35 degrees C and with 0-10% (w/v) NaCl. It could produce bacteriochlorophyll a, but did not reduce nitrate to nitrite or hydrolyse DNA. Phylogenetic analysis of 16S rRNA gene sequences revealed that strain SM1211(T) constituted a distinct phylogenetic line within the family Rhodobacteraceae and was closely related to species in the genera Litorimicrobium, Leisingera, Seohaeicola and Phaeobacter with 95.1-96.0% similarities. The predominant cellular fatty acid was C-18:1 omega 7c. The major polar lipids were phosphatidylethanolamine, phosphatidylglycerol, phosphatidylcholine, an unidentified aminolipid and two unidentified phospholipids. The genomic DNA G+C content of strain SM1211(T) was 60.7 mol%. Based on the phylogenetic, chemotaxonomic and phenotypic data obtained in this study, strain SM1211(T) is considered to represent a novel species in a new genus within the family Rhodobacteraceae, for which the name Puniceibacterium antarcticum gen. nov., sp. nov. is proposed. The type strain of Puniceibacterium antarcticum is SM1211(T) (=CCTCC AB 2013147(T)= KACC 16875(T)).</t>
  </si>
  <si>
    <t>[Liu, Chang; Zhang, Xi-Ying; Su, Hai-Nan; Zhou, Ming-Yang; Li, Hai; Chen, Xiu-Lan; Zhao, Dian-Li; Zhou, Bai-Cheng; Shi, Mei; Zhang, Yu-Zhong] Shandong Univ, State Key Lab Microbial Technol, Jinan 250100, Peoples R China; [Liu, Chang; Zhang, Xi-Ying; Su, Hai-Nan; Zhou, Ming-Yang; Li, Hai; Chen, Xiu-Lan; Zhao, Dian-Li; Zhou, Bai-Cheng; Shi, Mei; Zhang, Yu-Zhong] Shandong Univ, Marine Biotechnol Res Ctr, Jinan 250100, Peoples R China; [Chen, Bo] Polar Res Inst China, SOA Key Lab Polar Sci, Shanghai 200136, Peoples R China</t>
  </si>
  <si>
    <t>Shandong University; Shandong University; Polar Research Institute of China</t>
  </si>
  <si>
    <t>Shi, M (corresponding author), Shandong Univ, State Key Lab Microbial Technol, Jinan 250100, Peoples R China.</t>
  </si>
  <si>
    <t>clubstone@sdu.edu.cn</t>
  </si>
  <si>
    <t>Zhou, Mingyang/IUP-4675-2023; Zhang, Xi/HJH-1211-2023</t>
  </si>
  <si>
    <t>National Natural Science Foundation of China [31290231, 31025001, 31170055, 41106161, 41176130]; Hi-Tech Research and Development Program of China [2011AA090703, 2012AA092103, 2012AA092105]; China Ocean Mineral Resources R &amp; D Association (COMRA) Special Foundation [DY125-15-T-05, DY125-15-R-03]; Special Fund of China for Marine-scientific Research in the Public Interest [201005032-6]; 26th Chinese National Antarctic Research Expedition [09/10GW01]</t>
  </si>
  <si>
    <t>National Natural Science Foundation of China(National Natural Science Foundation of China (NSFC)); Hi-Tech Research and Development Program of China(National High Technology Research and Development Program of China); China Ocean Mineral Resources R &amp; D Association (COMRA) Special Foundation; Special Fund of China for Marine-scientific Research in the Public Interest; 26th Chinese National Antarctic Research Expedition</t>
  </si>
  <si>
    <t>The work was supported by the National Natural Science Foundation of China (grants 31290231, 31025001, 31170055, 41106161 and 41176130), the Hi-Tech Research and Development Program of China (grants 2011AA090703, 2012AA092103 and 2012AA092105), the China Ocean Mineral Resources R &amp; D Association (COMRA) Special Foundation (grants DY125-15-T-05 and DY125-15-R-03), the Special Fund of China for Marine-scientific Research in the Public Interest (grant 201005032-6) and the 26th Chinese National Antarctic Research Expedition (project no. 09/10GW01).</t>
  </si>
  <si>
    <t>14-16 MEREDITH ST, LONDON, ENGLAND</t>
  </si>
  <si>
    <t>10.1099/ijs.0.057695-0</t>
  </si>
  <si>
    <t>AJ8CU</t>
  </si>
  <si>
    <t>WOS:000337931100017</t>
  </si>
  <si>
    <t>Beiranvand, B; Zaghbib-Turki, D; Ghasemi-Nejad, E</t>
  </si>
  <si>
    <t>Beiranvand, Bijan; Zaghbib-Turki, Dalila; Ghasemi-Nejad, Ebrahim</t>
  </si>
  <si>
    <t>Integrated biostratigraphy based on planktonic foraminifera and dinoflagellates across the Cretaceous/Paleogene (K/Pg) transition at the Izeh section (SW Iran)</t>
  </si>
  <si>
    <t>COMPTES RENDUS PALEVOL</t>
  </si>
  <si>
    <t>K/Pg boundary; Biostratigraphy; Planktonic foraminiferal biozonation; Dinocyst events; Izeh section; Zagros Basin; Iran</t>
  </si>
  <si>
    <t>K-T BOUNDARY; DANIAN STAGE PALEOCENE; KRISHNA-GODAVARI BASIN; TERTIARY BOUNDARY; EL-KEF; CALCAREOUS NANNOFOSSIL; BENTHIC FORAMINIFERA; CHICXULUB IMPACT; CRETACEOUS/TERTIARY BOUNDARY; STRATOTYPE SECTION</t>
  </si>
  <si>
    <t>The present work is based on semi-quantitative study carried on detailed sampling (samples are spaced by 5, 10 and 15 cm close to the boundary) of an essentially continuous and expanded section crossing the Cretaceous-Paleogene (K/Pg) boundary in Iran. By this work, we attempt to detail biostratigraphy based on planktonic foraminifera biozones and correlate biozones and subzones with dinocyst events. The entire Cretaceous-Paleogene interval contains rich, diversified and well-preserved planktonic foraminifera and dinoflagellate cyst assemblages. Four planktonic foraminiferal biozones have been recognized across the Cretaceous-Paleogene transition (K/Pg): Abathomphalus mayaroensis Biozone including Plummerita hantkeninoides Subzone from the Late Maastrichtian and Guembelitria cretacea (including Hedbergella holmdelensis and Parvularugoglobigerina longiapertura subzones), Parvularugoglobigerina eugubina Biozone and Parasubbotina pseudobulloides Biozone belonging to the Early Danian. These biozones have been correlated with four dinocyst biozones: the Manumiella seelandica Biozone belonging to the Late Maastrichtian and the Alisocysta reticulata, Senoniasphaera inornata and Damassadinium californicum biozones from the Early Danian. At this section, like at the El Kef section (GSSP for the K/Pg) and the auxiliary sections, an Ir anomaly is detected indicating the K/Pg boundary. This geochemical anomaly coincides also with mass extinctions of planktonic foraminifera species. The extinct species are in particular the large, complex tropical and subtropical taxa dwelling in subsurface and lower photic water. The mass extinctions at the Izeh section occurred over a succinct period of time similar to the K/Pg type section at El Kef (Tunisia). These sudden mass extinctions indicate a catastrophic pattern event occurring at the Maastrichtian/Danian boundary. In contrast the organic-walled dinocysts were less affected by the mass extinction and most species crossed the K/Pg boundary without showing mass and sudden extinctions. Nevertheless, they showed changes in their assemblages' structure beyond the K/Pg boundary. Especially, Manumiella seelandica and M. druggii, typical species of Antarctic Maastrichtian dinocysts assemblages, occur in coeval deposits at the Izeh section; they persist through the Lower Danian and, like in Tunisia (e.g., El Kef section, Elles section) show an obvious increase in relative abundance. (C) 2013 Academie des sciences. Published by Elsevier Masson SAS. All rights reserved.</t>
  </si>
  <si>
    <t>[Beiranvand, Bijan] Res Inst Petr Ind, Petr Geol Dept, Explorat &amp; Prod Div, Tehran, Iran; [Zaghbib-Turki, Dalila] Univ Tunis El Manar, Fac Sci Tunis, Tunis 2092, Tunisia; [Ghasemi-Nejad, Ebrahim] Univ Tehran, Geol Sch, Tehran, Iran</t>
  </si>
  <si>
    <t>Universite de Tunis-El-Manar; Faculte des Sciences de Tunis (FST); University of Tehran</t>
  </si>
  <si>
    <t>Zaghbib-Turki, D (corresponding author), Univ Tunis El Manar, Fac Sci Tunis, Campus Univ, Tunis 2092, Tunisia.</t>
  </si>
  <si>
    <t>dalila.turki@yahoo.fr</t>
  </si>
  <si>
    <t>Ghasemi-Nejad, Ebrahim/AAF-6087-2020</t>
  </si>
  <si>
    <t>Ghasemi-Nejad, Ebrahim/0000-0002-4421-5068</t>
  </si>
  <si>
    <t>Research Institute of Petroleum Industry (RIPI)</t>
  </si>
  <si>
    <t>This work was supported by the Research Institute of Petroleum Industry (RIPI). The authors thank S.S. Hendi, head of exploration research and development Department of RIPI for sustaining the project and to E.H. Tavakoli and H. Alinaghian for processing the samples. The authors also thank Professor Mark Leckie from the University of Massachusetts Amherst and Associate Professor Edouardo Koutsoukos from the University of Heidelberg and the other anonym reviewers for their acceptance to review our manuscript and for their interesting suggestions and comments that led to improve the earliest version. They are especially grateful to Professor Leckie who also made linguistic corrections.</t>
  </si>
  <si>
    <t>1631-0683</t>
  </si>
  <si>
    <t>1777-571X</t>
  </si>
  <si>
    <t>CR PALEVOL</t>
  </si>
  <si>
    <t>C. R. Palevol</t>
  </si>
  <si>
    <t>10.1016/j.crpv.2013.10.003</t>
  </si>
  <si>
    <t>AJ4OJ</t>
  </si>
  <si>
    <t>WOS:000337655400001</t>
  </si>
  <si>
    <t>Smillie, RW; Turnbull, RE</t>
  </si>
  <si>
    <t>Smillie, Robert W.; Turnbull, Rose E.</t>
  </si>
  <si>
    <t>Field and petrographical insight into the formation of orbicular granitoids from the Bonney Pluton, southern Victoria Land, Antarctica</t>
  </si>
  <si>
    <t>SIERRA-NEVADA BATHOLITH; DRY VALLEYS AREA; TAYLOR VALLEY; MAGMA; CRYSTALLIZATION; ORIGIN; ROCKS; EVOLUTION; GRANODIORITE; GEOCHEMISTRY</t>
  </si>
  <si>
    <t>The diversity of orbicule types exposed within granitoids of the Bonney Pluton in southern Victoria Land attests to the dynamic and complex interplay of magmatic processes thatwere responsible for their formation. Orbicules formed in small pockets of H2O-rich silicatemelt thatwas extracted from the crystallizing and fractionating Bonney Pluton magma and concentrated along the pluton margins. These pockets of melt experienced a superheating event that destroyed almost all pre-existing nuclei and a subsequent delay in crystallization, which led to undercooling conditions that promoted rapid dendritic crystal growth. Superheating was induced by the injection of hot mafic magmas, evidenced by elevated plagioclase X-An, and Mg-Al-Ti-contents in hornblende that point to a higher temperature and a more mafic composition in the melt that the orbicule shells crystallized from. Variation in the type and structure of orbicules (hornblende-rich versus plagioclase-rich shells) were likely due to repeated changes in the composition, H2O-content, temperature and P-H2O at the crystallizing orbicule boundary layer in response to pulses in the movement of magma, competition between crystallizing phases, episodic vesiculation, degassing and/or second boiling which dictated the composition, texture and size of individual orbicule shells. Brittle fragmentation of orbicules occurred in response to vesiculation and fragmented orbicules are often found as cores within intact orbicules, indicating that multiple phases of orbicule formation were common. The alignment and compaction of orbicules in 'pods' indicates movement of orbicules within the melt-rich pockets occurred, prior to resumption of near-equilibrium crystallization in the host granite.</t>
  </si>
  <si>
    <t>[Smillie, Robert W.] Ok Tedi Min Ltd, Explorat Dept, Tabubil, Western Provinc, Papua N Guinea; [Turnbull, Rose E.] GNS Sci, Dunedin Res Ctr, Dunedin 9054, New Zealand</t>
  </si>
  <si>
    <t>GNS Science - New Zealand</t>
  </si>
  <si>
    <t>Turnbull, RE (corresponding author), GNS Sci, Dunedin Res Ctr, Private Bag 1930, Dunedin 9054, New Zealand.</t>
  </si>
  <si>
    <t>r.turnbull@gns.cri.nz</t>
  </si>
  <si>
    <t>Smillie, Robert/JAC-5023-2023</t>
  </si>
  <si>
    <t>University of Otago Research Committee</t>
  </si>
  <si>
    <t>This paper presents results from field and laboratory work carried by RS as part of a M.Sc. thesis at the University of Otago, New Zealand. Field logistics for this study were expertly provided by the New Zealand Antarctic Division (DSIR) in Christchurch and Scott Base and by VXE-6 Air Squadron, US Navy. Discussions in the field and in the lab with Dave Craw, Alan Cooper, Simon Cox and Andrew Allibone helped clarify many of the ideas presented in this paper. Special thanks go to Richard Jongens for drafting the map, scanning slides and helpful comments on an earlier version of the manuscript. Thoughtful and constructive comments and suggestions that improved the overall quality of our interpretations from Chad Deering, David Shelley, Brian O'Driscoll, an anonymous reviewer and Editor Phil Leat are greatly appreciated. The authors gratefully acknowledge the funding provided for this study by the University of Otago Research Committee.</t>
  </si>
  <si>
    <t>10.1017/S0016756813000484</t>
  </si>
  <si>
    <t>AJ5TF</t>
  </si>
  <si>
    <t>WOS:000337750400010</t>
  </si>
  <si>
    <t>Choi, KS; Oh, SB; Kim, DW; Byun, HR</t>
  </si>
  <si>
    <t>Choi, Ki-Seon; Oh, Su-Bin; Kim, Do-Woo; Byun, Hi-Ryong</t>
  </si>
  <si>
    <t>Possible influence of AAO on North Korean rainfall in August</t>
  </si>
  <si>
    <t>Antarctic Oscillation; rainfall; tropical cyclone; Australian high</t>
  </si>
  <si>
    <t>SPRING ANTARCTIC OSCILLATION; SOUTHERN-HEMISPHERE; INTERANNUAL VARIABILITY; SURFACE-TEMPERATURE; SUMMER RAINFALL; RIVER VALLEY; YANGTZE; CIRCULATION; REANALYSIS; ANOMALIES</t>
  </si>
  <si>
    <t>This study found a positive correlation between the August rainfall in North Korea and Antarctic Oscillation (AAO) in August. Causes of increasing rainfall in the positive AAO phase are (1) the increasing frequency of tropical cyclones that land in or affect the Korean Peninsula, (2) the reinforcement of Australian high (AH) in the Southern Hemisphere, and (3) atmospheric instability at all levels in August in North Korea. The reinforcement of AH forms an anomalous cross-equatorial flow in the western Pacific and plays a decisive role in the northward development of the subtropical western North Pacific high (SWNPH). Furthermore, large volumes of warm and humid air are supplied to North Korea owing to this development. As a result, atmosphere in North Korea becomes unstable, and it is found that the reinforcement of anomalous warm sea surface temperature (SST) in the middle latitude of East Asia is another cause of the instability.</t>
  </si>
  <si>
    <t>[Choi, Ki-Seon] Korea Meteorol Adm, Natl Typhoon Ctr, Cheju, South Korea; [Oh, Su-Bin; Byun, Hi-Ryong] Pukyong Natl Univ, Dept Environm Atmospher Sci, Pusan 608737, South Korea; [Kim, Do-Woo] Natl Inst Meteorol Res, Forecast Res Lab, Seoul, South Korea</t>
  </si>
  <si>
    <t>Korea Meteorological Administration (KMA); Pukyong National University</t>
  </si>
  <si>
    <t>Byun, HR (corresponding author), Pukyong Natl Univ, Dept Environm Atmospher Sci, Daeyeon 3 Dong, Pusan 608737, South Korea.</t>
  </si>
  <si>
    <t>hrbyun@pknu.ac.kr</t>
  </si>
  <si>
    <t>Kim, Do-Woo/0000-0002-7994-827X</t>
  </si>
  <si>
    <t>Korea Meteorological Administration Research and Development Program [CATER 2006-2306]</t>
  </si>
  <si>
    <t>Korea Meteorological Administration Research and Development Program(Korea Meteorological Administration (KMA))</t>
  </si>
  <si>
    <t>This work was funded by the Korea Meteorological Administration Research and Development Program under Grant CATER 2006-2306.</t>
  </si>
  <si>
    <t>10.1002/joc.3801</t>
  </si>
  <si>
    <t>AJ4WZ</t>
  </si>
  <si>
    <t>WOS:000337681300006</t>
  </si>
  <si>
    <t>Elsanabary, MH; Gan, TY; Mwale, D</t>
  </si>
  <si>
    <t>Elsanabary, Mohamed Helmy; Gan, Thian Yew; Mwale, Davison</t>
  </si>
  <si>
    <t>Application of wavelet empirical orthogonal function analysis to investigate the nonstationary character of Ethiopian rainfall and its teleconnection to nonstationary global sea surface temperature variations for 1900-1998</t>
  </si>
  <si>
    <t>Ethiopian rainfall; wavelet empirical orthogonal function analysis; nonstationarity; global sea surface temperature; teleconnection</t>
  </si>
  <si>
    <t>CLIMATE VARIABILITY; SOUTHERN AFRICA; PREDICTABILITY; DROUGHT; CIRCULATION</t>
  </si>
  <si>
    <t>This study employed the wavelet empirical orthogonal function (WEOF) analysis to analyse the nonstationary variability of rainfall in Ethiopia and global sea surface temperature (SST) for 1900-1998. The study found that the nonstationary variations of both the June to September (JJAS) and February to May (FMAM) Ethiopian rainfall can be delineated into three zones: western half of Ethiopia north of the Great Rift Valley (GRV), southern Ethiopia south of the GRV and the GRV from southwestern Ethiopia to the Afar Triangle. The leading wavelet principal component (WPC) signals showed that Ethiopian rainfall had been in stagnation for most of 1900-1998, with major droughts in the 1940s and 1980s. The dominant frequencies of Ethiopian rainfall ranged between 2 and 8 years. In western Ethiopia, the 2-4-year rainfall frequencies dominated the rainfall variation, but their trends are modulated by 5-7-year frequencies, whereas in the Afar Triangle, the 5-7-year frequencies were dominant. Between 1900 and 1998, the Afar Triangle region experienced decreasing rainfall for 60 years (1900-1960). The seasonal global SST revealed that regardless of what time of the year, the strongest contributions to global SST variations occur in the Antarctic Ocean, the El Nino region of South America and in the southwestern Pacific Ocean, followed by the Atlantic and the Indian Oceans. Further, this study also shows annual migrations of SST variations in the El Nino region, the Antarctic and the Atlantic Oceans. The leading SST signal variations show that SST warming started in the Atlantic and Indian Oceans, from 1950 to 1975, and spread to the Antarctic Ocean between 1960 and 1990, which probably contributed to the melting of sea ice. Teleconnections between WPC1 of Ethiopian rainfall and SST scale-averaged wavelet power were found for the El Nino region and northern Atlantic, west of the Sahara desert.</t>
  </si>
  <si>
    <t>[Elsanabary, Mohamed Helmy] Port Said Univ, Dept Civil Engn, Port Said, Egypt; [Gan, Thian Yew] Univ Alberta, Dept Civil &amp; Environm Engn, Edmonton, AB T6G 2W2, Canada; [Mwale, Davison] Off Secretary, Dept Nat Resources &amp; Environm Control, Dover, DE USA</t>
  </si>
  <si>
    <t>Egyptian Knowledge Bank (EKB); Port Said University; University of Alberta</t>
  </si>
  <si>
    <t>Gan, TY (corresponding author), Univ Alberta, Dept Civil &amp; Environm Engn, Markin CNRL Nat Resources 3 033, Edmonton, AB T6G 2W2, Canada.</t>
  </si>
  <si>
    <t>tgan@ualberta.ca</t>
  </si>
  <si>
    <t>Elsanabary, Mohamed Helmy/H-4414-2019</t>
  </si>
  <si>
    <t>Elsanabary, Mohamed Helmy/0000-0003-1185-0361; Gan, Thian Yew/0000-0002-5196-2846</t>
  </si>
  <si>
    <t>Egyptian Ministry of Higher Education (MHE)</t>
  </si>
  <si>
    <t>Egyptian Ministry of Higher Education (MHE)(Ministry of Higher Education &amp; Scientific Research (MHESR))</t>
  </si>
  <si>
    <t>This research was funded by the Egyptian Ministry of Higher Education (MHE). The Wavelet software was provided by Torrence and Compo. It may be downloaded from the following website. http://atoc.colorado.edu/research/wavelets/</t>
  </si>
  <si>
    <t>10.1002/joc.3802</t>
  </si>
  <si>
    <t>WOS:000337681300007</t>
  </si>
  <si>
    <t>Oliver, ECJ; Holbrook, NJ</t>
  </si>
  <si>
    <t>Oliver, E. C. J.; Holbrook, N. J.</t>
  </si>
  <si>
    <t>Extending our understanding of South Pacific gyre spin-up: Modeling the East Australian Current in a future climate</t>
  </si>
  <si>
    <t>subtropical gyre; global warming; western boundary current; East Australian Current; separation point</t>
  </si>
  <si>
    <t>DEPTH-INTEGRATED FLOW; INTERMEDIATE WATERS; AUCKLAND CURRENT; TASMAN LEAKAGE; OCEAN; VARIABILITY; CIRCULATION; SYSTEM; SEPARATION; BUDGETS</t>
  </si>
  <si>
    <t>The western Tasman Sea represents a global warming marine hot spot, where the waters are warming at almost 4 times the global average rate, argued in the literature to be due to a spin-up of the South Pacific subtropical gyre and extension of the East Australian Current (EAC). To further investigate and test this paradigm, we analyze climate change simulations of Tasman Sea circulation and metrics on output from the Ocean Forecasting Australia Model for the 20th and 21st centuries, forced by a global climate model simulation under the A1B carbon emissions scenario. First, we show that the 1990s simulation estimates of mean dynamic topography, present-day location of the EAC separation point, and volume transports of the EAC, EAC extension, and flow along the Tasman Front, are consistent with recent observations. We further demonstrate that between the 1990s and 2060s, the volume transport of the EAC extension is projected to increase by 4.3 Sv at the expense of the flow along the Tasman Front (projected to decrease by 2.7 Sv). The transport of the EAC core flow (equatorward of the separation point) is projected to change very little (increase of 0.2 Sv). The model projects a Tasman Sea-wide warming, with mean increases of up to 3 degrees C. These results are interpreted using a simple linear, barotropic model which captures both the sign and meridional distribution of the projected changes in mean transport, including negligible change in core EAC transport but enhanced EAC extension. This meridional asymmetry in the transports is consistent with the wind-forced ocean response to changes in the basin-wide wind stress curl.</t>
  </si>
  <si>
    <t>[Oliver, E. C. J.; Holbrook, N. J.] Univ Tasmania, Inst Marine &amp; Antarctic Studies, Hobart, Tas, Australia; [Oliver, E. C. J.; Holbrook, N. J.] Australian Res Council, Ctr Excellence Climate Syst Sci, Hobart, Tas, Australia</t>
  </si>
  <si>
    <t>Oliver, ECJ (corresponding author), Univ Tasmania, Inst Marine &amp; Antarctic Studies, Hobart, Tas, Australia.</t>
  </si>
  <si>
    <t>eric.oliver@utas.edu.au</t>
  </si>
  <si>
    <t>Oliver, Eric/G-5118-2014; Holbrook, Neil/M-7544-2013</t>
  </si>
  <si>
    <t>Oliver, Eric/0000-0002-4006-2826; Holbrook, Neil/0000-0002-3523-6254</t>
  </si>
  <si>
    <t>Australian Research Council [FS110200029]; Australian Research Council [FS110200029] Funding Source: Australian Research Council</t>
  </si>
  <si>
    <t>The authors would like to acknowledge funding from the Australian Research Council Super Science Fellowship (grant FS110200029). The authors would like to acknowledge Richard Matear and Matthew Chamberlain of CSIRO Marine and Atmospheric Research (Hobart, Australia) for helpful discussions and for providing the OFAM model output; the authors would also like to acknowledge Bo Qiu of the University of Hawaii for additional helpful discussions. This paper makes a contribution to the objectives of the ARC Centre of Excellence for Climate System Science (ARC CoE CSS) and the CLIVAR-endorsed Southwest Pacific Ocean Circulation and Climate Experiment (SPICE). The altimeter products were produced by Ssalto/Duacs and distributed by Aviso, with support from Cnes (http://www.aviso.oceanobs.com/duacs/).</t>
  </si>
  <si>
    <t>10.1002/2013JC009591</t>
  </si>
  <si>
    <t>AJ4GU</t>
  </si>
  <si>
    <t>WOS:000337632500004</t>
  </si>
  <si>
    <t>Carnat, G; Zhou, JY; Papakyriakou, T; Delille, B; Goossens, T; Haskell, T; Schoemann, V; Fripiat, F; Rintala, JM; Tison, JL</t>
  </si>
  <si>
    <t>Carnat, Gauthier; Zhou, Jiayun; Papakyriakou, Tim; Delille, Bruno; Goossens, Thomas; Haskell, Tim; Schoemann, Veronique; Fripiat, Francois; Rintala, Janne-Markus; Tison, Jean-Louis</t>
  </si>
  <si>
    <t>Physical and biological controls on DMS,P dynamics in ice shelf-influenced fast ice during a winter-spring and a spring-summer transitions</t>
  </si>
  <si>
    <t>dimethylsulfide; sea ice; platelet; McMurdo Sound</t>
  </si>
  <si>
    <t>ANTARCTIC SEA-ICE; DIMETHYL SULFIDE; MCMURDO-SOUND; ROSS SEA; PLATELET ICE; PACK ICE; MARINE-PHYTOPLANKTON; POLARELLA-GLACIALIS; TEMPORAL EVOLUTION; ALGAL PIGMENTS</t>
  </si>
  <si>
    <t>We report the seasonal and vertical variations of dimethylsulfide (DMS) and its precursor dimethylsulfoniopropionate (DMSP) in fast ice at Cape Evans, McMurdo Sound (Antarctica) during the spring-summer transition in 2011 and winter-spring transition in 2012. We compare the variations of DMS,P observed to the seasonal evolution of the ice algal biomass and of the physical properties of the ice cover, with emphasis on the ice texture and brine dynamics. Isolated DMS and DMSP maxima were found during both seasonal episodes in interior ice and corresponded to the occurrence of platelet crystals in the ice texture. We show that platelet crystals formation corresponded in time and depth to the incorporation of dinoflagellates (strong DMSP producers) in the ice cover. We also show that platelet crystals could modify the environmental stresses on algal cells and perturb the vertical redistribution of DMS,P concentrations. We show that during the winter-spring transition in 2012, the DMS,P profiles were strongly influenced by the development and decline of a diatom-dominated bloom in the bottom ice, with DMSP variations remarkably following chl a variations. During the spring-summer transition in 2011, the increase in brine volume fraction (influencing ice permeability) on warming was shown to trigger (1) an important release of DMS to the under-ice water through brine convection and (2) a vertical redistribution of DMSP across the ice.</t>
  </si>
  <si>
    <t>[Carnat, Gauthier; Papakyriakou, Tim] Univ Manitoba, Dept Geog &amp; Environm, Ctr Earth Observat Sci, Winnipeg, MB, Canada; [Zhou, Jiayun; Goossens, Thomas; Tison, Jean-Louis] Univ Libre Bruxelles, Lab Glaciol, DSTE, Brussels, Belgium; [Zhou, Jiayun; Delille, Bruno] Univ Liege, Unite Oceanog Chim, Liege, Belgium; [Haskell, Tim] Callaghan Innovat Res Ltd, Wellington, New Zealand; [Schoemann, Veronique] Royal Netherlands Inst Sea Res, Dept Biol Oceanog, Texel, Netherlands; [Fripiat, Francois] Vrije Univ Brussel, Dept Earth Syst Sci &amp; Analyt Environm &amp; Geochem, Ixelles, Belgium; [Rintala, Janne-Markus] Univ Helsinki, Dept Environm Sci, Helsinki, Finland</t>
  </si>
  <si>
    <t>University of Manitoba; Universite Libre de Bruxelles; University of Liege; Utrecht University; Royal Netherlands Institute for Sea Research (NIOZ); Vrije Universiteit Brussel; University of Helsinki</t>
  </si>
  <si>
    <t>Carnat, G (corresponding author), Univ Manitoba, Dept Geog &amp; Environm, Ctr Earth Observat Sci, Winnipeg, MB, Canada.</t>
  </si>
  <si>
    <t>umcarnat@cc.umanitoba.ca</t>
  </si>
  <si>
    <t>Fripiat, François/ABB-8918-2021; Delille, Bruno/C-3486-2008; Tison, Jean-Louis/F-4065-2015</t>
  </si>
  <si>
    <t>Papakyriakou, Tim/0000-0002-2019-9104; Rintala, Janne-Markus/0000-0002-3514-6582; Zhou, Jiayun/0000-0001-9578-794X; Delille, Bruno/0000-0003-0502-8101; Tison, Jean-Louis/0000-0002-9758-3454; Fripiat, Francois/0000-0002-2591-6301</t>
  </si>
  <si>
    <t>FRS-FNRS (project YROSIAE) [2.4517.11]; Belgian Science Policy (project BIGSOUTH) [SD/CA/05]; Antarctica New Zealand [K131]; Canada's National Science and Engineering Research Council (NSERC)</t>
  </si>
  <si>
    <t>FRS-FNRS (project YROSIAE)(Fonds de la Recherche Scientifique - FNRS); Belgian Science Policy (project BIGSOUTH); Antarctica New Zealand; Canada's National Science and Engineering Research Council (NSERC)(Natural Sciences and Engineering Research Council of Canada (NSERC))</t>
  </si>
  <si>
    <t>The authors would like to thank Brian Staite, Willy Champenois, Sebastien Moreau, and the Scott Base crew for their assistance during field work. We are indebted to Antarctica New Zealand for their logistical support. This research was supported by the FRS-FNRS (project YROSIAE, contract 2.4517.11), Belgian Science Policy (project BIGSOUTH, contract SD/CA/05), Antarctica New Zealand (project K131) and the Canada's National Science and Engineering Research Council (NSERC). Jiayun Zhou and Bruno Delille are PhD student and research associate, respectively, of the FRS and FNRS. This is MARE contribution 264. The authors would also like to thank two anonymous reviewers for their constructive comments. Data can be obtained for free by contacting the lead author.</t>
  </si>
  <si>
    <t>10.1002/2013JC009381</t>
  </si>
  <si>
    <t>WOS:000337632500010</t>
  </si>
  <si>
    <t>Wang, GJ; Cai, WJ; Purich, A</t>
  </si>
  <si>
    <t>Wang, Guojian; Cai, Wenju; Purich, Ariaan</t>
  </si>
  <si>
    <t>Trends in Southern Hemisphere wind-driven circulation in CMIP5 models over the 21st century: Ozone recovery versus greenhouse forcing</t>
  </si>
  <si>
    <t>ozone recovery; greenhouse warming; wind-stress curl; supergyre</t>
  </si>
  <si>
    <t>IPCC AR4 MODELS; CLIMATE-CHANGE; ANNULAR MODE; SUBTROPICAL PRECIPITATION; DEPLETION; OCEAN; IMPACT; WESTERLIES; WORLD; GYRE</t>
  </si>
  <si>
    <t>During the late 20th century, Antarctic ozone depletion and increasing greenhouse gases (GHGs) conspired to generate conspicuous atmospheric circulation trends in the Southern Hemisphere (SH), contributing to a poleward intensification of the oceanic supergyre circulation. Forcing of Antarctic ozone depletion dominated the observed trends during the depletion period (1979-2005), but Antarctic ozone is projected to recover by the middle of the 21st century. The recovery provides a mechanism for offsetting the impact from increasing GHG emissions. To what extent will the recovery of ozone mitigate SH atmosphere and ocean circulation trends expected from increasing GHGs? We examine climate model output from the Representative Concentration Pathway 4.5 and 8.5 (RCP4.5 and RCP8.5, respectively) emission scenario experiments, submitted to the Coupled Model Intercomparison Project phase 5. Both scenarios are subject to the effect of ozone recovery. We show that during the recovery period (2006-2045), there is little poleward shift of the supergyre circulation under either RCP scenario in austral summer, due to the dominance of ozone recovery. Further, under RCP8.5 the trend in winter, a season in which ozone recovery has little impact, is greater (more poleward) than in summer, opposite to the seasonality of trends during the depletion period. Under RCP4.5, with the contribution from ozone recovery, the summer poleward shift is projected to stabilize into the postrecovery decades, whereas under RCP8.5, the summer poleward shift accelerates in the postrecovery period, presenting vastly different ocean circulation futures.</t>
  </si>
  <si>
    <t>[Wang, Guojian; Cai, Wenju] Ocean Univ China, Phys Oceanog Lab, Qingdao, Peoples R China; [Wang, Guojian; Cai, Wenju; Purich, Ariaan] CSIRO Marine &amp; Atmospher Res, Aspendale, Vic, Australia</t>
  </si>
  <si>
    <t>Ocean University of China; Commonwealth Scientific &amp; Industrial Research Organisation (CSIRO)</t>
  </si>
  <si>
    <t>Wang, GJ (corresponding author), Ocean Univ China, Phys Oceanog Lab, Qingdao, Peoples R China.</t>
  </si>
  <si>
    <t>Guojian.Wang@csiro.au</t>
  </si>
  <si>
    <t>Cai, Wenju/C-2864-2012; Wang, Guojian/AAF-9297-2020</t>
  </si>
  <si>
    <t>Cai, Wenju/0000-0001-6520-0829; Wang, Guojian/0000-0002-8881-7394; Purich, Ariaan/0000-0003-2248-5937</t>
  </si>
  <si>
    <t>China Scholarship Council; Australian Climate Change Science Programme</t>
  </si>
  <si>
    <t>China Scholarship Council(China Scholarship Council); Australian Climate Change Science Programme</t>
  </si>
  <si>
    <t>This work was carried out while Guojian Wang was a PhD student of the Ocean University of China, supported by a scholarship from the China Scholarship Council, which enabled his visit to CSIRO Marine and Atmospheric Research. Wenju Cai and Ariaan Purich are supported by the Australian Climate Change Science Programme.</t>
  </si>
  <si>
    <t>10.1002/2013JC009589</t>
  </si>
  <si>
    <t>WOS:000337632500015</t>
  </si>
  <si>
    <t>Rusov, VD; Maksymchuk, VY; Ilic, R; Pavlovych, VM; Jacimovic, R; Bakhmutov, VG; Kakaev, O; Vaschenko, VN; Skvarc, J; Hanzic, L; Vaupotic, J; Beglaryan, ME; Linnik, EP; Kosenko, S; Saranuk, DN; Smolyar, VP; Gudyma, AA</t>
  </si>
  <si>
    <t>Rusov, V. D.; Maksymchuk, V. Yu.; Ilic, R.; Pavlovych, V. M.; Jacimovic, R.; Bakhmutov, V. G.; Kakaev, O.; Vaschenko, V. N.; Skvarc, J.; Hanzic, L.; Vaupotic, J.; Beglaryan, M. E.; Linnik, E. P.; Kosenko, S.; Saranuk, D. N.; Smolyar, V. P.; Gudyma, A. A.</t>
  </si>
  <si>
    <t>The peculiarities of cross-correlation between two secondary precursors - Radon and magnetic field variations, induced by stress transfer changes</t>
  </si>
  <si>
    <t>RADIATION MEASUREMENTS</t>
  </si>
  <si>
    <t>Antarctica; Radon; CR-39; Magnetic field; Tectonic activity</t>
  </si>
  <si>
    <t>GEOMAGNETIC-VARIATIONS; EARTHQUAKE PREDICTION; PIEZOMAGNETIC FIELDS; CRUST; PROPAGATION; BASIN; FAULT</t>
  </si>
  <si>
    <t>A model of precursor manifestation mechanisms, stimulated by tectonic activity and some peculiarities of observer strategy, whose main task is the effective measurement of precursors in the spatial area of their occurrence on the Earth's daylight, are considered. In particular, the applicability of Dobrovolslcy's approximation is analyzed, when an unperturbed medium (characterized by the simple shear state) and the area of tectonic activity (local inhomogeneity caused by the change only of shear modulus) are linearly elastic, and perturbation, in particular, surface displacement is calculated as a difference of the solutions of two independent static problems of the theory of elasticity with the same boundary condition on the surface. Within the framework of this approximation a formula for the spatial distribution (of first component) of magnetic field variations caused by piezomagnetic effect in the case of perturbed regular medium, which is in simple shear state is derived. Cogent arguments in favor of linear dependence between the radon spatial distribution and conditional deformation are obtained. Changes in magnetic field strength and radon concentrations were measured along a tectonomagnetic profile of the total length of 11 km in the surroundings of the Academician Vernadsky Station on the Antarctic Peninsula (W 64 degrees 16', S 65 degrees 15'). Results showed a positive correlation between the annual surface radon concentration and annual changes of magnetic field relative to a base point, and also the good coincidence with theoretical calculation. 2014 Elsevier Ltd. All rights reserved.</t>
  </si>
  <si>
    <t>[Rusov, V. D.; Kakaev, O.; Beglaryan, M. E.; Linnik, E. P.; Kosenko, S.; Saranuk, D. N.; Smolyar, V. P.] Odessa Natl Polytech Univ, UA-65044 Odessa, Ukraine; [Maksymchuk, V. Yu.] Natl Acad Sci Ukraine, Carpathian Branch Inst Geophys, UA-79053 Lvov, Ukraine; [Ilic, R.; Hanzic, L.] Univ Maribor, Fac Civil Engn, Maribor 2000, Slovenia; [Ilic, R.; Jacimovic, R.; Skvarc, J.; Vaupotic, J.] J Stefan Inst, Ljubljana 1000, Slovenia; [Pavlovych, V. M.] Inst Nucl Res, UA-03028 Kiev, Ukraine; [Bakhmutov, V. G.] Natl Acad Sci Ukraine, Inst Geophys, UA-03680 Kiev, Ukraine; [Vaschenko, V. N.] Ukrainian Antarctic Ctr, UA-01601 Kiev, Ukraine; [Vaschenko, V. N.; Gudyma, A. A.] State Ecol Acad Postgrad Educ, Kiev, Ukraine</t>
  </si>
  <si>
    <t>Ministry of Education &amp; Science of Ukraine; Odessa National Polytechnic University; National Academy of Sciences Ukraine; Subbotin Institute of Geophysics, National Academy of Sciences of Ukraine; University of Maribor; Slovenian Academy of Sciences &amp; Arts (SASA); Jozef Stefan Institute; National Academy of Sciences Ukraine; Institute for Nuclear Research of NASU; V. M. Glushkov Institute of Cybernetics, National Academy of Sciences of Ukraine; National Academy of Sciences Ukraine; Subbotin Institute of Geophysics, National Academy of Sciences of Ukraine; Ministry of Education &amp; Science of Ukraine; State Institution National Antarctic Scientific Center</t>
  </si>
  <si>
    <t>Rusov, VD (corresponding author), Odessa Natl Polytech Univ, Shevchenko Av 1, UA-65044 Odessa, Ukraine.</t>
  </si>
  <si>
    <t>siiis@te.net.ua</t>
  </si>
  <si>
    <t>Rusov, Vitaliy D./I-1932-2015; Jaćimović, Radojko/AAU-6166-2020; Valentyn, Maksymchuk/AAK-8076-2021; Smolyar, Vladimir/C-3406-2016; Maksymchuk, Valentyn/AAD-8011-2020; Beglaryan, Margarita/ABG-7534-2020; Jacimovic, Radojko/HOC-8377-2023; Volodymyr, Bakhmutov/A-8508-2019; Kosenko, Sergei/Q-8650-2016</t>
  </si>
  <si>
    <t>Rusov, Vitaliy D./0000-0003-1091-1396; Jaćimović, Radojko/0000-0002-9007-4905; Valentyn, Maksymchuk/0000-0003-3954-6521; Smolyar, Vladimir/0000-0002-0420-513X; Beglaryan, Margarita/0000-0002-8640-326X; Kosenko, Sergei/0000-0002-7082-5644; Bakhmutov, Vladimir/0000-0003-3804-9953; Hanzic, Lucija/0000-0002-8209-4308</t>
  </si>
  <si>
    <t>EU; SP3-People; IRSES project BlackSeaHazNet [PIRSES-GA-2009-246874]</t>
  </si>
  <si>
    <t>EU(European Union (EU)); SP3-People; IRSES project BlackSeaHazNet</t>
  </si>
  <si>
    <t>This work is supported by EU FP7 Marie Curie Actions, SP3-People, IRSES project BlackSeaHazNet (PIRSES-GA-2009-246874).</t>
  </si>
  <si>
    <t>1350-4487</t>
  </si>
  <si>
    <t>RADIAT MEAS</t>
  </si>
  <si>
    <t>Radiat. Meas.</t>
  </si>
  <si>
    <t>10.1016/j.radmeas.2014.03.011</t>
  </si>
  <si>
    <t>Nuclear Science &amp; Technology</t>
  </si>
  <si>
    <t>AJ6EJ</t>
  </si>
  <si>
    <t>WOS:000337782200002</t>
  </si>
  <si>
    <t>Volobuev, DM</t>
  </si>
  <si>
    <t>Volobuev, D. M.</t>
  </si>
  <si>
    <t>Central antarctic climate response to the solar cycle</t>
  </si>
  <si>
    <t>Solar cycle; Antarctic climate; IHCP</t>
  </si>
  <si>
    <t>IRRADIANCE; RECONSTRUCTION; TEMPERATURES; ENERGY</t>
  </si>
  <si>
    <t>Antarctic Vostok station works most closely to the center of the ice cap among permanent year-around stations. Climate conditions are exclusively stable: low precipitation level, cloudiness and wind velocity. These conditions can be considered as an ideal model laboratory to study the surface temperature response on solar irradiance variability during 11-year cycle of solar activity. Here we solve an inverse heat conductivity problem: calculate the boundary heat flux density (HFD) from known evolution of temperature. Using meteorological temperature record during (1958-2011) we calculated the HFD variation about 0.2-0.3 W/m(2) in phase with solar activity cycle. This HFD variation is derived from 0.5 to 1 degrees C temperature variation and shows relatively high climate sensitivity per 0.1 % of solar radiation change. This effect can be due to the polar amplification phenomenon, which predicts a similar response 0.3-0.8 degrees C/0.1 % (Gal-Chen and Schneider in Tellus 28:108-121, 1975). The solar forcing (TSI) is disturbed by volcanic forcing (VF), so that their linear combination TSI + 0.5VF empirically provides higher correlation with HFD (r = 0.63 +/- 0.22) than TSI (r = 0.50 +/- 0.24) and VF (r = 0.41 +/- 0.25) separately. TSI shows higher wavelet coherence and phase agreement with HFD than VF.</t>
  </si>
  <si>
    <t>Pulkovo Observ, St Petersburg 196140, Russia</t>
  </si>
  <si>
    <t>Pulkovo Observatory; Russian Academy of Sciences; St. Petersburg Scientific Centre of the Russian Academy of Sciences</t>
  </si>
  <si>
    <t>Volobuev, DM (corresponding author), Pulkovo Observ, Pulkovskoe Sh 65-1, St Petersburg 196140, Russia.</t>
  </si>
  <si>
    <t>dmitry.volobuev@mail.ru</t>
  </si>
  <si>
    <t>Volobuev, Dmitry/C-2953-2014</t>
  </si>
  <si>
    <t>Volobuev, Dmitry/0000-0002-5407-3155</t>
  </si>
  <si>
    <t>Presidium of Russian Academy of Science [22]; Russian Foundation for Basic Research [10-02-00391-a, 11-02-00755-a, Scientific School-1625.2012.2]</t>
  </si>
  <si>
    <t>Presidium of Russian Academy of Science(Russian Academy of Sciences); Russian Foundation for Basic Research(Russian Foundation for Basic Research (RFBR)Spanish Government)</t>
  </si>
  <si>
    <t>I am indebted to both anonymous Referees for thoughtful reading of the manuscript and useful suggestions. I thank AARI and RAE teams for making meteorological data for Vostok available online, as well I thank cited Authors of TSI and VFs reconstructions. Wavelet coherence software http://noc.ac.uk/using-science/crosswavelet-wavelet-coherence was provided by A. Grinsted. Special thank to my colleagues from 43rd RAE winter at Vostok. The work was supported by grants: Program of Presidium of Russian Academy of Science N 22, Russian Foundation for Basic Research N 10-02-00391-a, 11-02-00755-a and Scientific School-1625.2012.2.</t>
  </si>
  <si>
    <t>10.1007/s00382-013-1925-3</t>
  </si>
  <si>
    <t>AI6KW</t>
  </si>
  <si>
    <t>WOS:000336983900014</t>
  </si>
  <si>
    <t>Parham, JE; Otero, RA; Suárez, ME</t>
  </si>
  <si>
    <t>Parham, James E.; Otero, Rodrigo A.; Suarez, Mario E.</t>
  </si>
  <si>
    <t>A sea turtle skull from the Cretaceous of Chile with comments on the taxonomy and biogeography of Euclastes (formerly Osteopygis)</t>
  </si>
  <si>
    <t>Cretaceous; Maastrichtian; Chile; Quiriquina; Turtle; Euclastes</t>
  </si>
  <si>
    <t>ABDOUN PHOSPHATE BASIN; MARINE REPTILES; TESTUDINES; PALEOCENE; CHELONIIDAE; CRYPTODIRA; EVOLUTION; MIOCENE; ALBERTA; EOCENE</t>
  </si>
  <si>
    <t>The taxonomic status of turtle specimens from the Upper Cretaceous (upper Maastrichtian) Quiriquina Formation of Chile is unresolved. The previously described specimens were considered either stem-cheloniid sea turtles or baenids (a freshwater clade otherwise restricted to North America). A third specimen, a skull described here, supports previous report that stem-cheloniid sea turtles are present in the Quiriquina Formation. The new skull is referred to the stem-cheloniid genus Euclastes (formerly Osteopygis), but not assigned to a species because the alpha taxonomy is complicated by lingering confusion about the taxonomic status of a previously described skull from the Quiriquina Formation (the holotype of Australobaena chilensis). Revisions to the higher-level taxonomy of durophagous stem cheloniids, combined with the specimen described here, and other new material from Gondwana, reveal an emerging pattern of Euclastes biogeography and stratigraphic distribution. According to current data, Euclastes is one of the first stem cheloniids found outside the Western Interior Seaway, dominates Maastrichtian stem-cheloniid localities, crosses the K/Pg boundary, and eventually goes extinct at the end of the Paleocene as the stem-cheloniid radiation accelerates in the Paleogene. (C) 2014 Elsevier Ltd. All rights reserved.</t>
  </si>
  <si>
    <t>[Parham, James E.] Calif State Univ Fullerton, Dept Geol Sci, John D Cooper Archaeol &amp; Paleontol Ctr, Fullerton, CA 92834 USA; [Otero, Rodrigo A.; Suarez, Mario E.] Univ Chile, Fac Ciencias, Dept Biol, Lab Ontogenia &amp; Filogenia,Red Paleontol U Chile, Santiago 3425, Chile</t>
  </si>
  <si>
    <t>California State University System; California State University Fullerton; Universidad de Chile</t>
  </si>
  <si>
    <t>Parham, JE (corresponding author), Calif State Univ Fullerton, Dept Geol Sci, John D Cooper Archaeol &amp; Paleontol Ctr, Fullerton, CA 92834 USA.</t>
  </si>
  <si>
    <t>jparham@fullerton.edu</t>
  </si>
  <si>
    <t>National Geographic Society Committee on Research Exploration [8903-11, 9019-11]; Universidad de Chile [II UR-C12/1]; CONICYT-Chile [ACT-105]</t>
  </si>
  <si>
    <t>National Geographic Society Committee on Research Exploration(National Geographic Society); Universidad de Chile; CONICYT-Chile(Comision Nacional de Investigacion Cientifica y Tecnologica (CONICYT))</t>
  </si>
  <si>
    <t>JFP was funded by two National Geographic Society Committee on Research Exploration grants (8903-11, 9019-11; PI: Nicholas D. Pyenson, Smithsonian Institution; Co-PIs: JFP; Carolina S. Gutstein, Red Paleontologica, Universidad de Chile). Carolina S. Gutstein and David Rubilar-Rogers (Museo Nacional de Historia Natural) provided key logistical support for JFP during his work in Chile. RAO and MES were supported by the Domeyko II UR-C12/1 grant Red Paleontologica U-Chile of the Universidad de Chile (PI: Alexander O. Vargas). RAO was additionally supported by the Antarctic Ring Project ACT-105 (CONICYT-Chile). We thank Gerardo Flores (Museo Geologic Lajos Biro, Universidad de Concepcion) for providing the images of the Q/377 for Fig. 5.</t>
  </si>
  <si>
    <t>10.1016/j.cretres.2014.03.004</t>
  </si>
  <si>
    <t>AI5FT</t>
  </si>
  <si>
    <t>WOS:000336891500015</t>
  </si>
  <si>
    <t>Morozov, EG; Tarakanov, RY</t>
  </si>
  <si>
    <t>Morozov, E. G.; Tarakanov, R. Yu</t>
  </si>
  <si>
    <t>The flow of antarctic bottom water from the Vema channel to the Brazil Basin</t>
  </si>
  <si>
    <t>[Morozov, E. G.; Tarakanov, R. Yu] Russian Acad Sci, PP Shirshov Oceanol Inst, Moscow 117997, Russia</t>
  </si>
  <si>
    <t>Morozov, EG (corresponding author), Russian Acad Sci, PP Shirshov Oceanol Inst, Nakhimovskii Pr 36, Moscow 117997, Russia.</t>
  </si>
  <si>
    <t>egmorozov@mail.ru</t>
  </si>
  <si>
    <t>Tarakanov, Roman/R-3325-2016; Morozov, Eugene G/L-3023-2018</t>
  </si>
  <si>
    <t>Tarakanov, Roman/0000-0002-8711-1859; Morozov, Eugene/0000-0002-0251-3454</t>
  </si>
  <si>
    <t>10.1134/S1028334X14050274</t>
  </si>
  <si>
    <t>AI7HU</t>
  </si>
  <si>
    <t>WOS:000337057800022</t>
  </si>
  <si>
    <t>Okuno, J; Nakada, M; Ishii, M; Miura, H</t>
  </si>
  <si>
    <t>Okuno, Jun'ichi; Nakada, Masao; Ishii, Masayoshi; Miura, Hideki</t>
  </si>
  <si>
    <t>Vertical tectonic crustal movements along the Japanese coastlines inferred from late Quaternary and recent relative sea-level changes</t>
  </si>
  <si>
    <t>Glacio-hydro isostatic adjustment; Relative sea-level; Last Interglacial; Mid-Holocene; Tide gauge; Thermosteric sea-level change; Vertical crustal movement</t>
  </si>
  <si>
    <t>LATE PLEISTOCENE; HYDRO-ISOSTASY; WATER-LOAD; TIDE-GAUGE; UPLIFT; AGE; CONSTRAINTS; TEMPERATURE; RECORDS</t>
  </si>
  <si>
    <t>Observed relative sea-level (RSL) changes during the past similar to 130 kyr make it possible to evaluate the vertical crustal movement due to several tectonic processes such as the subduction of oceanic plates. Here we infer average rates of tectonic crustal movement along the Japanese coastlines on three typical timescales of similar to 50 yr, similar to 6 kyr and similar to 125 kyr based on tide gauge and Holocene RSL observations and the altitudes of marine terraces formed at the Last Interglacial (LIG) phase at similar to 125 ka. The rates on a timescale of similar to 50 yr are derived from tide gauge data, thermosteric sea-level changes due to thermal expansion of the oceans and predictions due to the glacio-hydro isostatic adjustment (GIA) for the last deglaciation and also recent melting of the mountain glaciers and Greenland and Antarctic ice sheets. Those for similar to 6 kyr and similar to 125 kyr are based on the RSL observations and the predictions by GIA modelling, considering uncertainties for temporal changes in eustatic sea-level for the mid- to late-Holocene and LIG phase. The inferred rates for similar to 50 yr are significantly different from those for similar to 125 kyr in most sites, particularly for sites along the coastline from eastern Hokkaido to northeastern Japan, Shikoku and south Kyushu facing the Pacific Ocean. In these regions, the rates for similar to 125 kyr and similar to 50 yr are positive (uplift) and negative (subsidence), respectively. Also, the observed RSL changes at similar to 6 ka are consistent with the inferred RSL changes using the rates for similar to 125 kyr and GIA-predictions in many sites, but inconsistent with those for similar to 50 yr in most sites except for a few sites. These results suggest that the rates on a timescale of similar to 50 yr are not representative of the tectonic crustal movements for timescales longer than similar to 6 kyr in most sites along the Japanese coastlines. However, the inferred rates on these timescales may be useful in discussing the recurrence of megathrust earthquake with its interval of similar to 1 kyr such as the 2011 earthquake off the Pacific coast of Tohoku. (C) 2014 Elsevier Ltd. All rights reserved.</t>
  </si>
  <si>
    <t>[Okuno, Jun'ichi; Miura, Hideki] Natl Inst Polar Res, Tokyo 1908518, Japan; [Okuno, Jun'ichi] Japan Agcy Marine Earth Sci &amp; Technol, Yokohama, Kanagawa 2360001, Japan; [Nakada, Masao] Kyushu Univ, Fac Sci, Dept Earth &amp; Planetary Sci, Fukuoka 8128581, Japan; [Ishii, Masayoshi] Japan Meteorol Agcy, Meteorol Res Inst, Tsukuba, Ibaraki 3050052, Japan</t>
  </si>
  <si>
    <t>Research Organization of Information &amp; Systems (ROIS); National Institute of Polar Research (NIPR) - Japan; Japan Agency for Marine-Earth Science &amp; Technology (JAMSTEC); Kyushu University; Meteorological Research Institute - Japan; Japan Meteorological Agency</t>
  </si>
  <si>
    <t>Okuno, J (corresponding author), Natl Inst Polar Res, 10-3 Midoricho, Tokyo 1908518, Japan.</t>
  </si>
  <si>
    <t>okuno@nipr.ac.jp</t>
  </si>
  <si>
    <t>Japanese Ministry of Education, Science and Culture [21253001, 22540440, 23501255, 25400455]; Grants-in-Aid for Scientific Research [25400455, 23501255, 22540440, 21253001] Funding Source: KAKEN</t>
  </si>
  <si>
    <t>Japanese Ministry of Education, Science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</si>
  <si>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We acknowledge Kurt Lambeck for kindly providing the ice sheet chronology of the ANU ice model, and an anonymous reviewer and the editor (C.V. Murray-Wallace) for their constructive comments. This work was basically motivated by the geomorphological studies of the late Nobuyuki Yonekura, who made a great contribution to research of the Quaternary sea-level change and tectonics in Japan. This work was partially supported by the Japanese Ministry of Education, Science and Culture (Grand-in-Aid for Scientific Research No. 21253001, 22540440, 23501255, and 25400455).</t>
  </si>
  <si>
    <t>MAY 1</t>
  </si>
  <si>
    <t>10.1016/j.quascirev.2014.03.010</t>
  </si>
  <si>
    <t>AI4EZ</t>
  </si>
  <si>
    <t>WOS:000336819800004</t>
  </si>
  <si>
    <t>Apollonio, S; Saros, JE</t>
  </si>
  <si>
    <t>Apollonio, Spencer; Saros, Jasmine E.</t>
  </si>
  <si>
    <t>Temporal and Spatial Dynamics of Ice-Covered Upper Dumbell Lake (Ellesmere Island, Arctic Canada) during the Summer of 1959</t>
  </si>
  <si>
    <t>COPEPOD LIMNOCALANUS-MACRURUS; CHEMICAL LIMNOLOGY; PHYTOPLANKTON PRODUCTION; CORNWALLIS-ISLAND; FRESH-WATERS; LIFE-CYCLE; CHAR LAKE; PONDS; BAY; ZOOPLANKTON</t>
  </si>
  <si>
    <t>We report on a limnological study of ice-covered Upper Dumbell Lake (Ellesmere Island, Canada) conducted during the summer of 1959. The lake was vertically profiled for physical (temperature, light), chemical (alkalinity, pH, oxygen, nutrients), and biological (chlorophyll a, gross and net primary productivity) variables on 21 dates spanning from early July to early September. Zooplankton density and age structure were also determined on four dates. Factors such as temperature, alkalinity, pH, and oxygen varied little with depth or over time, whereas nutrients (nitrate, dissolved silica, soluble reactive phosphorus), light, chlorophyll a, and gross and net photosynthesis varied substantially. Comparing July to August, nitrate and light intensity decreased while dissolved silica, chlorophyll a, and gross and net primary production increased, with two distinct peaks in algal biomass occurring over the month of August. Chlorophyll a in this lake was negatively correlated with nitrate concentrations, suggesting uptake of nitrogen as algal biomass increased. The copepod Limnocalanus macrurus was the dominant zooplankton taxon present; the age structure of the population advanced over the summer. This study reveals the dynamic nature of vertical habitat gradients even under the ice of Arctic lakes and provides important baseline data for conditions in an Arctic lake during the mid-20th century.</t>
  </si>
  <si>
    <t>[Saros, Jasmine E.] Univ Maine, Climate Change Inst, Orono, ME 04469 USA; [Saros, Jasmine E.] Univ Maine, Sch Biol &amp; Ecol, Orono, ME 04469 USA</t>
  </si>
  <si>
    <t>Saros, JE (corresponding author), Univ Maine, Climate Change Inst, Orono, ME 04469 USA.</t>
  </si>
  <si>
    <t>jasmine.saros@maine.edu</t>
  </si>
  <si>
    <t>Lincoln Ellsworth Memorial Fund; Sheffield Scientific Fund of Yale University</t>
  </si>
  <si>
    <t>Principal financial support was given by the Lincoln Ellsworth Memorial Fund administered by the Arctic Institute of North America. G. E. Hutchinson arranged for additional financial support from the Sheffield Scientific Fund of Yale University. G. A. Riley sent his own colorimeter to the Arctic when the original instrument failed in the field. J. H. Ryther provided sampling equipment and arranged for providing and counting the 14C material at the Woods Hole Oceanographic Institution by R. R. L. Guillard. Equipment, transportation, or logistic services were provided by the Arctic Institute of North America, the Bingham Oceanographic Laboratory of Yale University, the Woods Hole Oceanographic Institution, the Office of Naval Research, the (then) U.S. Weather Bureau, the Canadian Department of Transport, the Royal Canadian Air Force, and the Snow, Ice, and Permafrost Research Establishment (now Cold Regions Research and Engineering Laboratory) of the U.S. Army. The staff of the Alert weather station gave excellent cooperation and support during several months residence at their station. G. E. Hutchinson, G. A. Riley, C. S. Yentsch, and M. J. Dunbar offered essential support, advice, and critical comments on this and other occasions. C. R. Harington, recently with the National Museum of Canada, contributed enthusiastic and unfailing assistance in field sampling and laboratory preparation of samples and never-failing pleasant company under occasionally difficult conditions in the field on this and other endeavors. We thank Kristin Strock and Courtney Wigdahl for assistance with figure preparation.</t>
  </si>
  <si>
    <t>10.1657/1938-4246-46.2.293</t>
  </si>
  <si>
    <t>AI3RB</t>
  </si>
  <si>
    <t>WOS:000336778500001</t>
  </si>
  <si>
    <t>Barros, A; Pickering, CM; Renison, D</t>
  </si>
  <si>
    <t>Barros, Agustina; Pickering, Catherine Marina; Renison, Daniel</t>
  </si>
  <si>
    <t>Short-Term Effects of Pack Animal Grazing Exclusion from Andean Alpine Meadows</t>
  </si>
  <si>
    <t>VEGETATION DYNAMICS; MOUNTAIN; LIVESTOCK; IMPACTS; COMMUNITIES; WILDERNESS; RANGELANDS; DIVERSITY; MENDOZA; AREA</t>
  </si>
  <si>
    <t>Grazing by livestock can have positive, neutral, and/or negative effects on vegetation depending on the intensity and type of grazing. This includes grazing by pack animals used for tourism in mountain protected areas. We assessed the response of vegetation to the exclusion of grazing by pack animals over one growing season in the highest park in the Southern Hemisphere, Aconcagua Provincial Park, dry Central Andes. Twenty pairs of exclosures and unfenced quadrats were established in three high-altitude Andean alpine meadows that are intensively grazed by horses and mules used by commercial operators to transport equipment for tourists. Vegetation parameters, including height, cover, and composition were measured in late spring when exclosures were established and 120 days later at the end of the growing season along with above-ground biomass. Data was analyzed using mixed models and ordinations. Vegetation responded rapidly to the removal of grazing. Vegetation in exclosures was more than twice as tall, had 30% more above-ground biomass, a greater cover of grasses including the dominant Deyeuxia eminens, and less litter than grazed quadrats. These changes in the vegetation from short-term exclusion of grazing are likely to increase the habitat quality of the meadows for native wildlife.</t>
  </si>
  <si>
    <t>[Barros, Agustina; Pickering, Catherine Marina] Griffith Univ, Environm Futures Ctr, Sch Environm, Gold Coast, Qld 4222, Australia; [Renison, Daniel] Univ Nacl Cordoba, CONICET, Ctr Ecol &amp; Recursos Nat Renovables, Inst Invest Biol &amp; Tecnol, RA-5000 Cordoba, Argentina</t>
  </si>
  <si>
    <t>Griffith University; Griffith University - Gold Coast Campus; Consejo Nacional de Investigaciones Cientificas y Tecnicas (CONICET); National University of Cordoba</t>
  </si>
  <si>
    <t>Barros, A (corresponding author), Griffith Univ, Environm Futures Ctr, Sch Environm, Gold Coast, Qld 4222, Australia.</t>
  </si>
  <si>
    <t>a.barros@griffith.edu.au</t>
  </si>
  <si>
    <t>RENISON, DANIEL/AAG-8927-2021</t>
  </si>
  <si>
    <t>Renison, Daniel/0000-0002-1817-6552; Pickering, Catherine/0000-0002-3731-5407</t>
  </si>
  <si>
    <t>Griffith University, Australia</t>
  </si>
  <si>
    <t>Griffith University, Australia(Griffith University - Gold Coast Campus)</t>
  </si>
  <si>
    <t>We thank Gabriela Keil, Martin Perez, and Sebastian Rossi for field assistance. Thanks to Direccion de Recursos Naturales Mendoza, IANIGLA, IADIZA, Compania Cazadores de Montana, and Jorge Gonnet for their support in conducting this research. Thanks to Roberto Kiesling, Zulma Rugolo, Rosa Guaglianone, Juan Dancey, and Lucia Pastor for plant identification. We appreciate the support provided by park staff and the helicopter operator in Aconcagua. We thank Sarah Butler, Wendy Hill, Clare Morrison, Stephan Halloy, and two anonymous reviewers for their valuable comments to improve the quality of the paper. Funding was provided by Griffith University, Australia.</t>
  </si>
  <si>
    <t>10.1657/1938-4246-46.2.333</t>
  </si>
  <si>
    <t>WOS:000336778500004</t>
  </si>
  <si>
    <t>Crawford, JT; Stanley, EH</t>
  </si>
  <si>
    <t>Crawford, John T.; Stanley, Emily H.</t>
  </si>
  <si>
    <t>Distinct Fluvial Patterns of a Headwater Stream Network Underlain by Discontinuous Permafrost</t>
  </si>
  <si>
    <t>HYDRAULIC GEOMETRY; CHANNEL GEOMETRY; CARBON-DIOXIDE; YUKON RIVER; MORPHOLOGY; ALASKA; FLOW; ICE; DEGRADATION; PEATLANDS</t>
  </si>
  <si>
    <t>Hydrology, permafrost, and vegetation will likely respond to warming of northern latitudes with concurrent shifts in channel form and network pattern. At present, data on channel structure and networks in most northern regions are sparse, thus restricting any comprehensive understanding of channel processes or predictions of change in response to warming. We conducted a survey in 2011 of stream hydraulic geometry and network pattern in an upland headwater catchment of the Yukon River basin that is underlain by discontinuous permafrost. We found atypical hydraulic geometry exponents for depth and velocity but not for width and slope. We also found the study catchment to have unusually low drainage density and bifurcation ratios. Our data support the hypothesis that snow and channel ice decrease geomorphic effectiveness during snowmelt, which ultimately constrains channel and network development. Additionally, qualitative data support the hypothesis that dense riparian vegetation promotes bank stabilization and leads to nearly vertical channel walls in small streams, thus leading to anomalous hydraulic geometry. Simple metrics such as the drainage density and hydraulic geometry relationships may prove to be useful metrics of boreal and subarctic warming and permafrost thaw, and this study may serve as an important baseline to evaluate future changes.</t>
  </si>
  <si>
    <t>[Crawford, John T.; Stanley, Emily H.] Univ Wisconsin, Ctr Limnol, Madison, WI 53706 USA; [Crawford, John T.] US Geol Survey, Natl Res Program, Boulder, CO 80303 USA</t>
  </si>
  <si>
    <t>University of Wisconsin System; University of Wisconsin Madison; United States Department of the Interior; United States Geological Survey</t>
  </si>
  <si>
    <t>Crawford, JT (corresponding author), Univ Wisconsin, Ctr Limnol, 680 North Pk St, Madison, WI 53706 USA.</t>
  </si>
  <si>
    <t>jtcrawford@wisc.edu</t>
  </si>
  <si>
    <t>Stanley, Emily/0000-0003-4922-8121</t>
  </si>
  <si>
    <t>U.S. Geological Survey National Research Program</t>
  </si>
  <si>
    <t>U.S. Geological Survey National Research Program(United States Geological Survey)</t>
  </si>
  <si>
    <t>We thank A. Johnson, S. Spawn, D. Halm, and M. Domblaser for assistance in the field and A. Stone for GIS assistance. We also thank J. Koch, R. Striegl, and K. Wickland for helpful discussions, M. Doyle for valuable feedback on an early version of the manuscript, and two anonymous reviewers and the associate editor for critical comments. This work was supported by the U.S. Geological Survey National Research Program. Any use of trade or product names is for descriptive purposes only and does not imply endorsement by the U.S. Government.</t>
  </si>
  <si>
    <t>10.1657/1938-4246-46.2.344</t>
  </si>
  <si>
    <t>WOS:000336778500005</t>
  </si>
  <si>
    <t>Blankinship, JC; Hart, SC</t>
  </si>
  <si>
    <t>Blankinship, Joseph C.; Hart, Stephen C.</t>
  </si>
  <si>
    <t>Hydrological Control of Greenhouse Gas Fluxes in a Sierra Nevada Subalpine Meadow</t>
  </si>
  <si>
    <t>QINGHAI-TIBETAN PLATEAU; NITROUS-OXIDE EMISSIONS; SOIL-WATER CONTENT; POTENTIAL IMPACTS; CO2 EXCHANGE; TRACE GASES; N2O; FOREST; ECOSYSTEM; CLIMATE</t>
  </si>
  <si>
    <t>Alpine and subalpine meadows are often hotspots of water availability and biodiversity in montane landscapes, but we know little about whether these attributes also make meadows hotspots of greenhouse gas (GHG) emission. Furthermore, many of these meadows will likely become drier during the growing season in the future because of less precipitation, earlier timing of snowmelt, and increased evapotranspiration associated with climatic warming. To evaluate the potential effects of soil drying on GHG emission, we studied a soil moisture gradient in a Sierra Nevada subalpine meadow in California. Our objectives were: (1) to assess the strength of hydrological control for soil carbon dioxide (CO2), methane (CH4), and nitrous oxide (N2O) fluxes both earlier and later in the growing season; and (2) to quantify the contribution of CH4 and N2O to net GHG emission. The replicated gradient spanned 50 m, from the wet middle to dry edge of the meadow, and soil volumetric water content was measured 0 to 12 cm deep. Fluxes of CO2, CH4, and N2O were measured using static chambers at 10 m intervals across the gradient. We found that the wet side of the gradient was not a CH4 or N2O source on either sampling date. Net CH4 emission from soil was rare and CH4 uptake was prevalent, particularly on the dry side of the gradient. Soil N2O fluxes shifted from net uptake at the middle of the meadow to net emission at the edge, but only earlier in the growing season. Of the three GHGs, CO2 fluxes showed the most temporal variation but surprisingly varied little across the hydrological gradient. Other environmental factors-including plant species richness and soil carbon concentration-appeared more important than soil moisture in explaining CO2 fluxes. Therefore, the strength of near-surface hydrological control increased in the following order: CO2 &lt; N2O &lt; CH4. Our results suggest that non-CO2 greenhouse gases will need proper accounting during the snow-free season in order to more accurately predict the effects of future soil drying on GHG emissions in heterogeneous montane landscapes.</t>
  </si>
  <si>
    <t>[Blankinship, Joseph C.; Hart, Stephen C.] Univ Calif Merced, Merced, CA 95343 USA; [Blankinship, Joseph C.; Hart, Stephen C.] Univ Calif Merced, Sierra Nevada Res Inst, Merced, CA 95343 USA</t>
  </si>
  <si>
    <t>University of California System; University of California Merced; University of California System; University of California Merced</t>
  </si>
  <si>
    <t>Blankinship, JC (corresponding author), Univ Calif Santa Barbara, Earth Res Inst, Santa Barbara, CA 93108 USA.</t>
  </si>
  <si>
    <t>joseph.blankinship@lifesci.ucsb.edu</t>
  </si>
  <si>
    <t>National Science Foundation's Research Experience for Undergraduates Program [0649092]; Kearney Foundation of Soil Science [Kearney-2009.023]; Direct For Biological Sciences [0649092] Funding Source: National Science Foundation; Div Of Biological Infrastructure [0649092] Funding Source: National Science Foundation; Div Of Biological Infrastructure; Direct For Biological Sciences [1263407] Funding Source: National Science Foundation</t>
  </si>
  <si>
    <t>National Science Foundation's Research Experience for Undergraduates Program; Kearney Foundation of Soil Science; Direct For Biological Sciences(National Science Foundation (NSF)NSF - Directorate for Biological Sciences (BIO)); Div Of Biological Infrastructure(National Science Foundation (NSF)NSF - Directorate for Biological Sciences (BIO)); Div Of Biological Infrastructure; Direct For Biological Sciences(National Science Foundation (NSF)NSF - Directorate for Biological Sciences (BIO))</t>
  </si>
  <si>
    <t>We thank NSF-supported REU student Alison Nill for her essential help with site selection, field logistics, field measurements, and data analysis. We thank Elizabeth Ballenger and Eric Berlow for sharing important data regarding site selection. We thank Emma McCorkle, Erin Stacy, and Steven Lee for their help with field measurements, laboratory measurements, and data analysis. We thank Carol, Kira, and Lukas Hart for their help with September gas sampling. We thank Sally Thompson and Vincent Pacific for ideas on interpreting data. We also thank the Resources Management and Science Division at Yosemite National Park and the National Park Service for providing the venue and logistical support for this project. This research was financially supported by the National Science Foundation's Research Experience for Undergraduates Program (Award ID-0649092) and the Kearney Foundation of Soil Science (Kearney-2009.023).</t>
  </si>
  <si>
    <t>10.1657/1938-4246-46.2.355</t>
  </si>
  <si>
    <t>WOS:000336778500006</t>
  </si>
  <si>
    <t>Oliva, M; Ortiz, AG; Franch, FS; Catarineu, MS</t>
  </si>
  <si>
    <t>Oliva, Marc; Gomez Ortiz, Antonio; Salvador Franch, Ferran; Salva Catarineu, Montserrat</t>
  </si>
  <si>
    <t>Present-Day Solifluction Processes in the Semi-arid Range of Sierra Nevada (Spain)</t>
  </si>
  <si>
    <t>LANDFORMS</t>
  </si>
  <si>
    <t>In the highest land of the Sierra Nevada National Park, an experiment to monitor solifluction rates together with the thermal regime of the ground was implemented during the period 2005-2011. Data show evidence of the low activity of solifluction processes in the present-day periglacial belt of Sierra Nevada. Annual displacement rates were lower than 1 cm yr(-1) both in northern and southern slopes. Solifluction was more active near snow patches and streams. Rates were also higher during snowier years. Soil temperatures showed seasonal frost occurrence, though the depth and duration of the frozen layer is strongly conditioned by the annual snow covet Water availability appears to be a crucial factor for solifluction processes in this semiarid environment.</t>
  </si>
  <si>
    <t>[Oliva, Marc] Univ Lisbon, Inst Geog &amp; Spatial Planning, P-1600214 Lisbon, Portugal; [Gomez Ortiz, Antonio; Salvador Franch, Ferran; Salva Catarineu, Montserrat] Univ Barcelona, Dept Phys &amp; Reg Geog, Barcelona 08001, Catalonia, Spain</t>
  </si>
  <si>
    <t>Universidade de Lisboa; University of Barcelona</t>
  </si>
  <si>
    <t>Oliva, M (corresponding author), Univ Lisbon, Inst Geog &amp; Spatial Planning, Alameda Univ, P-1600214 Lisbon, Portugal.</t>
  </si>
  <si>
    <t>oliva_marc@yahoo.com</t>
  </si>
  <si>
    <t>Salvà-Catarineu, Montserrat/AHC-1313-2022; Oliva, Marc/K-5423-2014</t>
  </si>
  <si>
    <t>Salvà-Catarineu, Montserrat/0000-0002-2815-1375; Oliva, Marc/0000-0001-6521-6388</t>
  </si>
  <si>
    <t>AXA Research Fund; Evolucion del paisaje reciente de cumbres de Sierra Nevada. Inters cientifico de registros naturales y documentos escritos de epoca [CSO2012-30681]; Consolidated Research Group of the University of Barcelona Landscape Research and Mediterranean Mountain Palaeoenvironments</t>
  </si>
  <si>
    <t>AXA Research Fund(AXA Research Fund); Evolucion del paisaje reciente de cumbres de Sierra Nevada. Inters cientifico de registros naturales y documentos escritos de epoca; Consolidated Research Group of the University of Barcelona Landscape Research and Mediterranean Mountain Palaeoenvironments</t>
  </si>
  <si>
    <t>The first author thanks the AXA Research Fund for funding a postdoctoral grant during which this paper was written. This research was financially supported by the research project Evolucion del paisaje reciente de cumbres de Sierra Nevada. Inters cientifico de registros naturales y documentos escritos de epoca (CSO2012-30681) and the Consolidated Research Group of the University of Barcelona Landscape Research and Mediterranean Mountain Palaeoenvironments. The authors would also like to thank the logistic facilities offered by the National Park of Sierra Nevada during the field work campaigns, Dr. Dermot Antoniades for his revision of the text, and the manuscript's reviewers for their many helpful suggestions.</t>
  </si>
  <si>
    <t>10.1657/1938-4246-46.2.365</t>
  </si>
  <si>
    <t>WOS:000336778500007</t>
  </si>
  <si>
    <t>Sanchez, A; Posada, JM; Smith, WK</t>
  </si>
  <si>
    <t>Sanchez, Adriana; Posada, Juan M.; Smith, William K.</t>
  </si>
  <si>
    <t>Dynamic Cloud Regimes, Incident Sunlight, and Leaf Temperatures in Espeletia grandiflora and Chusquea tessellata, Two Representative Species of the Andean Paramo, Colombia</t>
  </si>
  <si>
    <t>SOUTHERN APPALACHIAN MOUNTAINS; ABIES-FRASERI SEEDLINGS; WATER RELATIONS; ALPINE TREELINE; SOLAR-RADIATION; ENERGY-BALANCE; SKY EXPOSURE; PHOTOSYNTHESIS; PLANT; PHOTOINHIBITION</t>
  </si>
  <si>
    <t>The alpine Paramo of Chingaza National Park, Colombia, has a highly variable cloud regime typical of many tropical alpine areas. Yet, little information is available regarding the effects of such dynamic sunlight regimes on alpine temperatures. A close association between changes in incident sunlight and corresponding air (T-a) and leaf (T-1) temperatures occurred in two dominant species with strongly contrasting leaf form and whole-plant architecture. Spikes in sunlight incidence of &gt;3000 mu mol m(-2) s(-1) occurred during cloud cover and corresponded to increases in T-1 of 4-5 degrees C in a 1-min-interval in both species. Although T-1 was predominately above Ta, during the day, depressions below Ta of over 6 degrees C occurred during cloudy conditions when photosynthetic photon flux density (PFDs) was &lt;400 mu mol m(-2) s(-1). The greatest frequency (69%) of changes in incident sunlight (PFDs; over 2-min intervals) was less than 100 mu mol m(-2) s(-1), although changes &gt;1000 gmol m(-2) s(-1) occurred for 2.4% of the day, including a maximum change of 1512 mu mol m(-2) s(-1). These data may be valuable for predicting the ecophysiological impact of climate warming and associated changes in future cloud regimes experienced by tropical alpine species.</t>
  </si>
  <si>
    <t>[Sanchez, Adriana; Smith, William K.] Wake Forest Univ, Dept Biol, Winston Salem, NC 27109 USA; [Sanchez, Adriana; Posada, Juan M.] Univ Rosario, Fac Ciencias Nat &amp; Matemat, Bogota, DC, Colombia</t>
  </si>
  <si>
    <t>Wake Forest University; Universidad del Rosario</t>
  </si>
  <si>
    <t>Sanchez, A (corresponding author), Wake Forest Univ, Dept Biol, 1834 Wake Forest Rd, Winston Salem, NC 27109 USA.</t>
  </si>
  <si>
    <t>sancheza@wfu.edu</t>
  </si>
  <si>
    <t>Sánchez Guerrero, Adriana/HNP-3274-2023; Posada, Juan M./G-3616-2016; Sanchez, Adriana/G-2905-2016</t>
  </si>
  <si>
    <t>Posada, Juan M./0000-0001-7794-9300; Sanchez, Adriana/0000-0003-2334-5741</t>
  </si>
  <si>
    <t>Center for Energy, Environment, and Sustainability (CEES) at Wake Forest University; National Science Foundation, U.S.A. [IOS-1122092]</t>
  </si>
  <si>
    <t>Center for Energy, Environment, and Sustainability (CEES) at Wake Forest University; National Science Foundation, U.S.A.(National Science Foundation (NSF))</t>
  </si>
  <si>
    <t>The authors would like to thank Camilo Rey for his help in the field and calibration of all instruments, and Chingaza National Park (CNP) for providing logistical support and permits for this research. This project was funded partially by the Center for Energy, Environment, and Sustainability (CEES) at Wake Forest University and the National Science Foundation, U.S.A. (IOS-1122092).</t>
  </si>
  <si>
    <t>10.1657/1938-4246-46.2.371</t>
  </si>
  <si>
    <t>WOS:000336778500008</t>
  </si>
  <si>
    <t>Wheler, BA; MacDougall, AH; Flowers, GE; Petersen, EI; Whiffield, PH; Kohfeld, KE</t>
  </si>
  <si>
    <t>Wheler, Brett A.; MacDougall, Andrew H.; Flowers, Gwenn E.; Petersen, Eric I.; Whiffield, Paul H.; Kohfeld, Karen E.</t>
  </si>
  <si>
    <t>Effects of Temperature Forcing Provenance and Extrapolation on the Performance of an Empirical Glacier-Melt Model</t>
  </si>
  <si>
    <t>SURFACE-ENERGY-BALANCE; ICE-DAMMED LAKE; MASS-BALANCE; PARAMETER SENSITIVITY; MOUNTAIN GLACIERS; CLIMATE; TRANSFERABILITY; STORGLACIAREN; UNCERTAINTY; VARIABILITY</t>
  </si>
  <si>
    <t>Temperature-index models are popular tools for glacier melt-modeling due to their minimal data requirements and generally favorable performance. We examine the effects of temperature forcing provenance and extrapolation on the performance of one such model applied to a small glacier in the Saint Elias Mountains of northwestern Canada. The model is forced with air temperatures recorded (a) on two glaciers, (b) at two nearby ice-free locations, and (c) by two low-elevation valley stations. We extrapolate these temperatures using constant lapse rates and assess model performance by comparing measured and modeled cumulative summer ablation at a network of stakes over five melt seasons. When the model is calibrated individually for each temperature forcing and lapse rate, the variation in model performance is modest relative to inter-annual variations associated with melt-season conditions and calibration data quality. Despite &lt;30% variation in estimated summer ablation arising from the combined influences of temperature forcing and lapse rate, the resulting variations in estimated annual mass balance can be significant (&gt;100% in some cases). While model parameters calibrated in this way suffer from error compensation and exhibit equifinality, the lapse rates associated with minimum model error exhibit inter-annual variation that can be related to prevailing meteorological conditions. When the model is instead calibrated at the point scale without employing a lapse rate, and the resulting parameters are paired with an arbitrary temperature forcing, lapse rates associated with minimum model error vary widely between forcing types and years. Low-elevation stations distal from the study site sometimes outperform the calibration station, but the prescribed lapse rate becomes critical in this case. With either calibration method, lapse rates that minimize model error for the valley stations are generally steeper than the measured environmental lapse rates.</t>
  </si>
  <si>
    <t>[Wheler, Brett A.; MacDougall, Andrew H.; Flowers, Gwenn E.; Petersen, Eric I.; Whiffield, Paul H.] Simon Fraser Univ, Dept Earth Sci, Burnaby, BC V5A 1S6, Canada; [Whiffield, Paul H.] Univ Saskatchewan, Ctr Hydrol, Saskatoon, SK S7N 5C8, Canada; [Whiffield, Paul H.] Environm Canada, Pacific &amp; Yukon Reg, Vancouver, BC V6C 3S5, Canada; [Kohfeld, Karen E.] Simon Fraser Univ, Sch Resource &amp; Environm Management, Burnaby, BC V5A 1S6, Canada</t>
  </si>
  <si>
    <t>Simon Fraser University; University of Saskatchewan; Environment &amp; Climate Change Canada; Simon Fraser University</t>
  </si>
  <si>
    <t>Flowers, GE (corresponding author), Simon Fraser Univ, Dept Earth Sci, 8888 Univ Dr, Burnaby, BC V5A 1S6, Canada.</t>
  </si>
  <si>
    <t>glowers@sfu.ca</t>
  </si>
  <si>
    <t>Kohfeld, Karen/0000-0001-7241-1624</t>
  </si>
  <si>
    <t>Natural Sciences and Engineering Research Council of Canada (NSERC); Canada Foundation of Innovation; Canada Research Chairs program; Northern Scientific Training Program; Polar Continental Shelf Program, Simon Fraser University (SFU); SFU Community Trust Endowment Fund through the Climate Change Impacts Research Consortium; Kluane First Nation, Parks Canada; Yukon Territorial Government; Kluane Lake Research Station (KLRS); Kluane National Park and Reserve</t>
  </si>
  <si>
    <t>Natural Sciences and Engineering Research Council of Canada (NSERC)(Natural Sciences and Engineering Research Council of Canada (NSERC)); Canada Foundation of Innovation(Canada Foundation for Innovation); Canada Research Chairs program(Canada Research Chairs); Northern Scientific Training Program; Polar Continental Shelf Program, Simon Fraser University (SFU); SFU Community Trust Endowment Fund through the Climate Change Impacts Research Consortium; Kluane First Nation, Parks Canada; Yukon Territorial Government; Kluane Lake Research Station (KLRS); Kluane National Park and Reserve</t>
  </si>
  <si>
    <t>We are grateful for funding from the Natural Sciences and Engineering Research Council of Canada (NSERC), the Canada Foundation of Innovation, the Canada Research Chairs program, the Northern Scientific Training Program, the Polar Continental Shelf Program, Simon Fraser University (SFU), and the SFU Community Trust Endowment Fund through the Climate Change Impacts Research Consortium. Permission to conduct this research was granted by the Kluane First Nation, Parks Canada, and the Yukon Territorial Government. Support from the Kluane Lake Research Station (KLRS) and Kluane National Park and Reserve is greatly appreciated. We are indebted to Andy Williams, Sian Williams, Lance Goodwin (KLRS), Doug Makkonen and Steve Soubliere (Trans North Helicopters) for logistical support, and to many others for field assistance including Laurent Mingo, Alex Jarosch, Patrick Belliveau, Flavien Beaud, Nat Wilson, Mauro Werder, and Christian Schoof. Discussion with Valentina Radic, and critical comments from Hester Jiskoot, Martin Funk, and one anonymous reviewer led to an improved manuscript.</t>
  </si>
  <si>
    <t>10.1657/1938-4246-46.2.379</t>
  </si>
  <si>
    <t>WOS:000336778500009</t>
  </si>
  <si>
    <t>Tomback, DF; Chipman, KG; Resler, LM; Smith-McKenna, EK; Smith, CM</t>
  </si>
  <si>
    <t>Tomback, Diana F.; Chipman, Kathryn G.; Resler, Lynn M.; Smith-McKenna, Emily K.; Smith, Cyndi M.</t>
  </si>
  <si>
    <t>Relative Abundance and Functional Role of Whitebark Pine at Treeline in the Northern Rocky Mountains</t>
  </si>
  <si>
    <t>GLACIER NATIONAL-PARK; BLISTER RUST; CLIMATE-CHANGE; ALPINE TREELINE; POSITIVE INTERACTIONS; CLARK NUTCRACKER; HERB COVER; ESTABLISHMENT; BEETLE; CONSEQUENCES</t>
  </si>
  <si>
    <t>Facilitative interactions among plant species enable plant community development under stressful environmental conditions. Previous studies in two treeline communities within the alpine-treeline ecotone on the Rocky Mountain Front in northwestern Montana, U.S.A., indicated that whitebark pine (Pinus albicaulis) serves as the majority tree island initiator, thus facilitating the development of tree islands (Resler and Tomback, 2008). However, 33.7% of whitebark pine at these treeline study sites were infected by the introduced pathogen Cronartium ribicola, which causes white pine blister rust. We examined the prevalence of whitebark pine, its ecological role, and the incidence of blister rust within two study sites, Tibbs Butte and Wyoming Creek, to the south on the Beartooth Plateau, and within two study sites, Stanley Glacier and Gibbon Pass, to the north in Kootenay and Banff National Parks, for comparison with information from the Rocky Mountain Front (Resler and Tomback, 2008). We found that whitebark pine was an important component of treeline communities in both the southern and northern study areas, although its abundance and ecological role varied with study site. Nearly half the solitary trees sampled overall in the northern and southern study areas were whitebark pine. Whitebark pine was also the most frequently occurring conifer species among tree islands at three of the four study sites. Across all study sites, whitebark pine served as tree island initiator for 29.4% of the tree islands sampled, but was a more frequent initiator within two study sites. Blister rust incidence for the Wyoming Creek study site in the southern study area was 7.7%, and for the Stanley Glacier study site in the northern study area, 16.2%. Damage and mortality over time from Cronartium ribicola will diminish the current ecological role of whitebark pine as a facilitator of landscape vegetation pattern development and may confound predictions of upward movement of treeline in response to climate warming.</t>
  </si>
  <si>
    <t>[Tomback, Diana F.; Chipman, Kathryn G.] Univ Colorado, Dept Integrat Biol, Denver, CO 80217 USA; [Resler, Lynn M.; Smith-McKenna, Emily K.] Virginia Polytech Inst &amp; State Univ, Dept Geog, Blacksburg, VA 24061 USA; [Smith, Cyndi M.] Pk Canada, Waterton Pk, AB T0K 2M0, Canada</t>
  </si>
  <si>
    <t>University of Colorado System; University of Colorado Denver; Virginia Polytechnic Institute &amp; State University</t>
  </si>
  <si>
    <t>Tomback, DF (corresponding author), Univ Colorado, Dept Integrat Biol, CB 171,POB 173364, Denver, CO 80217 USA.</t>
  </si>
  <si>
    <t>Diana.Tomback@ucdenver.edu</t>
  </si>
  <si>
    <t>University of Colorado Denver (UCD) Faculty Development Grant; UCD Undergraduate Research Opportunity Program award; Virginia Tech; National Science Foundation grant [808548]</t>
  </si>
  <si>
    <t>University of Colorado Denver (UCD) Faculty Development Grant; UCD Undergraduate Research Opportunity Program award; Virginia Tech; National Science Foundation grant(National Science Foundation (NSF))</t>
  </si>
  <si>
    <t>We thank Wendy DeSilva for help with fieldwork, Ashley East for constructing the database, and Andrew Phillips for creating a map of the study areas. We are grateful to Ed Johnson, director of the University of Calgary Kananaslds Field Station, for providing accommodations in 2007. Special thanks to Ian Pengelley, Banff National Park, Parks Canada, for helicopter support for our work on Gibbon Pass. These studies were funded by a University of Colorado Denver (UCD) Faculty Development Grant to Tomback, a UCD Undergraduate Research Opportunity Program award to Chipman, and Department of Geography support from Virginia Tech to Resler. Data analysis and writing of this paper were supported by National Science Foundation grant 808548 to Resler, Tomback, and G. P. Malanson. We thank two anonymous reviewers for their helpful suggestions.</t>
  </si>
  <si>
    <t>10.1657/1938-4246-46.2.407</t>
  </si>
  <si>
    <t>WOS:000336778500011</t>
  </si>
  <si>
    <t>Wu, JS; Shen, ZX; Shi, PL; Zhou, YT; Zhang, XZ</t>
  </si>
  <si>
    <t>Wu, Jianshuang; Shen, Zhenxi; Shi, Peili; Zhou, Yuting; Zhang, Xianzhou</t>
  </si>
  <si>
    <t>Effects of Grazing Exclusion on Plant Functional Group Diversity Alpine Grasslands along a Precipitation Gradient on the Northern Tibetan Plateau</t>
  </si>
  <si>
    <t>SPECIES RICHNESS; USE EFFICIENCY; VEGETATION; BIOMASS; PRODUCTIVITY; ECOSYSTEM; COMMUNITIES; MEADOW; BIODIVERSITY; TEMPERATURE</t>
  </si>
  <si>
    <t>Tibetan alpine grasslands are viewed to be sensitive to climate change and grazing disturbance. But it is not well understood how and to what extent grazing exclusion affects species assembly on the Northern Tibetan Plateau. We conducted a multisite transect along a precipitation gradient to detect species compositional changes at 25 grazed versus nongrazed paired pastures in summers of 2009 and 2010 in the Changtang Natural Reserve. Species richness and relative frequency were estimated for plant functional groups (PFGs: grasses, sedges, forbs, and legumes). Species richness at community level responds positively to precipitation and differs among vegetation types: meadow (22.63 +/- 1.73) &gt; steppe (11.23 +/- 1.00) &gt; desert-steppe (6.75 +/- 0.63). Variations in species richness and relative frequency of PFGs are partly dependent on vegetation type. Three to four years of grazing exclusion has not significantly changed species richness or relative frequency at PFG level. Grazing exclusion has slightly changed PFGs' correlations in species richness but significantly altered their correlations in relative frequency within and across vegetations. Stepwise linear regressions indicate that PFGs respond to climate gradients in discrete ways. This study implies that specific adaptation mechanisms of different taxonomic groups to climatic change and grazing disturbance should be seriously considered in further studies.</t>
  </si>
  <si>
    <t>[Wu, Jianshuang; Shen, Zhenxi; Shi, Peili; Zhou, Yuting; Zhang, Xianzhou] Chinese Acad Sci, Lhasa Natl Ecol Res Stn, Key Lab Ecosyst Network Observat &amp; Modeling, Inst Geog Sci &amp; Nat Resources Res, Beijing 100101, Peoples R China</t>
  </si>
  <si>
    <t>Chinese Academy of Sciences; Institute of Geographic Sciences &amp; Natural Resources Research, CAS</t>
  </si>
  <si>
    <t>Zhang, XZ (corresponding author), Chinese Acad Sci, Lhasa Natl Ecol Res Stn, Key Lab Ecosyst Network Observat &amp; Modeling, Inst Geog Sci &amp; Nat Resources Res, Beijing 100101, Peoples R China.</t>
  </si>
  <si>
    <t>zhangxz@igsnrr.ac.cn</t>
  </si>
  <si>
    <t>zhang, xian/JAC-5480-2023; Peili, SHi/AAT-6450-2021; Zhang, XZ/HJA-4189-2022; wang, yitian/JFA-6804-2023; WU, Jianshuang/N-4694-2015; zhang, xian/GYA-0290-2022</t>
  </si>
  <si>
    <t>WU, Jianshuang/0000-0002-6768-8255; shi, pei li/0000-0002-1120-0003</t>
  </si>
  <si>
    <t>National Basic Research Program of China [2010CB951704]; National Natural Sciences Foundation of China [41171044, 41271067]; General Financial Grant from the China Postdoctoral Science Foundation [2013M530716]</t>
  </si>
  <si>
    <t>National Basic Research Program of China(National Basic Research Program of China); National Natural Sciences Foundation of China(National Natural Science Foundation of China (NSFC)); General Financial Grant from the China Postdoctoral Science Foundation</t>
  </si>
  <si>
    <t>This research was jointly supported by National Basic Research Program of China (2010CB951704), National Natural Sciences Foundation of China (41171044 and 41271067), and General Financial Grant from the China Postdoctoral Science Foundation (2013M530716).</t>
  </si>
  <si>
    <t>10.1657/1938-4246-46.2.419</t>
  </si>
  <si>
    <t>WOS:000336778500012</t>
  </si>
  <si>
    <t>Xue, X; Xu, MH; You, QG; Peng, F</t>
  </si>
  <si>
    <t>Xue, Xian; Xu, Manhou; You, Quangang; Peng, Fei</t>
  </si>
  <si>
    <t>Influence of Experimental Warming on Heat and Water Fluxes of Alpine Meadows in the Qinghai-Tibet Plateau</t>
  </si>
  <si>
    <t>ACTIVE-LAYER THICKNESS; CLIMATE-CHANGE; SOIL-MOISTURE; PLANT COMMUNITY; ARCTIC SOILS; PART I; ECOSYSTEM; CARBON; TEMPERATURE; MICROCLIMATE</t>
  </si>
  <si>
    <t>In order to predict the response of alpine ecosystems to global warming and to provide the experimental data needed for Atmosphere Global Circulation Models (AGCMs) coupled with Land Surface Models (LSMs), a warming experiment using infrared heaters was conducted in the alpine meadow ecosystem of the Qinghai-Tibet Plateau. Five replicate blocks with three 2 x 2 m treatment plots in each block were randomly installed. The treatment plots were control plots (C) at ambient temperatures, moderately warmed plots (W1), and intensely warmed plots (W2), manipulated by using 130 W m(-2) and 150 W m-2 infrared heaters, respectively. The results showed that when significant warming increased the daily mean soil surface temperature by 1-3 C compared to temperatures in the control plots during the warm season (seasonal frozen soil thaw), the soil temperature gradients from depths of 0 to 100 cm significantly increased by 0.02-0.04 degrees C cm(-1) during the day and 0.01-0.03 degrees C cm(-1) at night. Volumetric soil liquid water content significantly decreased by 2.6-3.4% in shallow soil (5-15 cm) and significantly increased by 0.7-5.1% in deep soil (100 cm) compared to the control plots. Likewise, soil liquid water content gradients at depths between 10 and 20 cm significantly decreased by 0.2-0.3% cm(-1) and significantly increased by 0.01-0.08% cm(-1)at depths between 20 and 100 cm. Warming did not cause significant vapor water change in the atmosphere near the soil surface. Based on these results, it can be concluded that increasing soil temperatures accelerated the processes of ground heat flux, sensible heat, and latent heat, which caused significant change in soil water content and in its gradients.</t>
  </si>
  <si>
    <t>[Xue, Xian; Xu, Manhou; You, Quangang; Peng, Fei] Chinese Acad Sci, Cold &amp; Arid Reg Environm &amp; Engn Res Inst, Key Lab Desert &amp; Desertificat, Lanzhou 730000, Peoples R China</t>
  </si>
  <si>
    <t>Chinese Academy of Sciences; Cold &amp; Arid Regions Environmental &amp; Engineering Research Institute, CAS</t>
  </si>
  <si>
    <t>Xue, X (corresponding author), Chinese Acad Sci, Cold &amp; Arid Reg Environm &amp; Engn Res Inst, Key Lab Desert &amp; Desertificat, 320 West Donggang Rd, Lanzhou 730000, Peoples R China.</t>
  </si>
  <si>
    <t>xianxue@lzb.ac.cn</t>
  </si>
  <si>
    <t>You, Quan Gang/L-8934-2019; manhou, xu/AAA-3630-2019; xue, xue/JTV-1627-2023; Peng, Fei/AAO-8461-2020</t>
  </si>
  <si>
    <t>Peng, Fei/0000-0002-5816-4898</t>
  </si>
  <si>
    <t>One Hundred Talents Program of the Chinese Academy of Sciences</t>
  </si>
  <si>
    <t>One Hundred Talents Program of the Chinese Academy of Sciences(Chinese Academy of Sciences)</t>
  </si>
  <si>
    <t>This research was financially supported by the One Hundred Talents Program of the Chinese Academy of Sciences. The authors would like to thank professor Yongzhi Liu and all the staff at Beiluhe Station for their kind assistance in the field and for providing the experimental site. The authors also would like to thank four reviewers and editors for their valuable suggestions and comments.</t>
  </si>
  <si>
    <t>10.1657/1938-4246-46.2.441</t>
  </si>
  <si>
    <t>WOS:000336778500014</t>
  </si>
  <si>
    <t>Kopp, BJ; Minderlein, S; Menzel, L</t>
  </si>
  <si>
    <t>Kopp, Benjamin J.; Minderlein, Stefanie; Menzel, Lucas</t>
  </si>
  <si>
    <t>Soil Moisture Dynamics in a Mountainous Headwater Area in the Discontinuous Permafrost Zone of northern Mongolia</t>
  </si>
  <si>
    <t>ACTIVE-LAYER; HYDRAULIC CONDUCTIVITY; SEASONAL-VARIATION; INTERIOR ALASKA; HOVSGOL AREA; LARCH FOREST; WATER; CLIMATE; FIRE; EVAPOTRANSPIRATION</t>
  </si>
  <si>
    <t>Soil moisture has widely been identified as a key factor for vegetation distribution in semi-arid areas. In the forest-steppe ecotone of the Khentii Mountains in northern Mongolia, soil moisture is directly controlled by exposition, slope, the presence or absence of permafrost, and vegetation cover. This study investigates the distribution of soil moisture and highlights the effects of a recent wildfire on this fragile ecosystem. Steep southerly exposed slopes are permafrost free and covered with steppe vegetation. Here, relatively warm and dry soils prevail, and high drying rates were observed following precipitation events during the summer period. The less inclined northerly exposed slopes are covered with taiga and feature relatively cold and wet soils overlying permafrost. Following a wildfire, the mean thickness of the organic surface layer drastically decreased from 0.15 m in the pristine taiga to 0.03 m in a heavily burned forest. As vegetation removal directly reduced evapotranspiration, soils in the burned forest were significantly the wettest and soil drying was less pronounced. Simultaneously, permafrost degradation was enhanced due to a significant increase in soil temperature. Thus, the conversion of forest areas to steppe after wildfires appears to be a long-term and possibly irreversible process during the ongoing climatic trend.</t>
  </si>
  <si>
    <t>[Kopp, Benjamin J.; Minderlein, Stefanie; Menzel, Lucas] Heidelberg Univ, Inst Geog, Dept Phys Geog, D-69120 Heidelberg, Germany</t>
  </si>
  <si>
    <t>Kopp, BJ (corresponding author), Heidelberg Univ, Inst Geog, Dept Phys Geog, Neuenheimer Feld 348, D-69120 Heidelberg, Germany.</t>
  </si>
  <si>
    <t>benjamin.kopp@geog.uni-heidelberg.de</t>
  </si>
  <si>
    <t>Menzel, Lucas/A-6881-2018</t>
  </si>
  <si>
    <t>Menzel, Lucas/0000-0002-2201-3406</t>
  </si>
  <si>
    <t>10.1657/1938-4246-46.2.459</t>
  </si>
  <si>
    <t>WOS:000336778500015</t>
  </si>
  <si>
    <t>Björkman, MP; Zarsky, JD; Kühnel, R; Hodson, A; Sattler, B; Psenner, R</t>
  </si>
  <si>
    <t>Bjorkman, Mats P.; Zarsky, Jakub D.; Kuhnel, Rafael; Hodson, Andy; Sattler, Birgit; Psenner, Roland</t>
  </si>
  <si>
    <t>Microbial Cell Retention in a Melting High Arctic Snowpack, Svalbard</t>
  </si>
  <si>
    <t>ORGANIC CONTAMINANT RELEASE; ICE-CORE; CHEMISTRY; BACTERIA; COVER; WATER; RAIN; TEMPERATURES; AEROSOL; MODEL</t>
  </si>
  <si>
    <t>While elution processes of ions and solutes from alpine and arctic snowpacks are well known, the scientific knowledge of the effects on microbial cells and their link to glacial surface ecology during this period is very limited. Here we show that dissolved substances are eluted from a High Arctic snowpack according to previous reports, while the microbial cells are retained and most likely also proliferate. Their retention enhances the interaction between the snowpack-derived microorganisms and microbial communities living on the surface of glaciers, a habitat known for its cell retention, especially those associated with debris known as cryoconite. Microbial biomass is retained during all stages of the summer ablation upon these Arctic glaciers, emphasizing the need to explore the feedback between microbial growth and meltwater biogeochemistry. Furthermore, the snowpack stratigraphy at Midtre Lovenbreen, Svalbard, shows a frequently low abundance of cells, typically corresponding to those of cloud water. However, a few layers show higher bacterial numbers (up to 104 cells mL(-1)) that occur with an increase of dust particles and most likely originate from local sources.</t>
  </si>
  <si>
    <t>[Bjorkman, Mats P.; Kuhnel, Rafael] Norwegian Polar Res Inst, Fram Ctr, N-9296 Tromso, Norway; [Bjorkman, Mats P.; Kuhnel, Rafael] Univ Oslo, Dept Geosci, N-0316 Oslo, Norway; [Zarsky, Jakub D.; Sattler, Birgit; Psenner, Roland] Univ Innsbruck, Inst Ecol, A-6020 Innsbruck, Austria; [Hodson, Andy] Univ Sheffield, Dept Geog, Sheffield S10 2TN, S Yorkshire, England</t>
  </si>
  <si>
    <t>Norwegian Polar Institute; University of Oslo; University of Innsbruck; University of Sheffield</t>
  </si>
  <si>
    <t>Björkman, MP (corresponding author), Norwegian Polar Res Inst, Fram Ctr, N-9296 Tromso, Norway.</t>
  </si>
  <si>
    <t>mats.p.bjorkman@gmail.com</t>
  </si>
  <si>
    <t>Zarsky, Jakub Dan/D-1383-2013; Sattler, Birgit/C-4070-2018</t>
  </si>
  <si>
    <t>Zarsky, Jakub Dan/0000-0001-7072-0327; Hodson, Andrew/0000-0002-1255-7987; Grote, Rafael/0000-0003-4624-4425</t>
  </si>
  <si>
    <t>Marie Curie Initial Training Network [215503]; Arctic Field Grant</t>
  </si>
  <si>
    <t>Marie Curie Initial Training Network(European Union (EU)); Arctic Field Grant</t>
  </si>
  <si>
    <t>This project was part of the Marie Curie Initial Training Network funded project Sources, sinks and impacts of atmospheric nitrogen deposition in the Arctic (NSINK, Project No.: 215503), and field work was enabled by Arctic Field Grant. The project has also benefited from the logistic support from the staff at the Sverdrup Station, Norwegian Polar Institute. The authors would also gratefully like to thank the Italian Research Council (CNR) for their hospitality when using the laboratory facilities in Dirigibile Italia, and the Alfred Wegener Institute (AWI), which provided us with meteorological data through S. Debatin.</t>
  </si>
  <si>
    <t>10.1657/1938-4246-46.2.471</t>
  </si>
  <si>
    <t>WOS:000336778500016</t>
  </si>
  <si>
    <t>Millar, CI; Westfall, RD; Delany, DL</t>
  </si>
  <si>
    <t>Millar, Constance I.; Westfall, Robert D.; Delany, Diane L.</t>
  </si>
  <si>
    <t>Thermal Regimes and Snowpack Relations of Periglacial Talus Slopes, Sierra Nevada, California, USA</t>
  </si>
  <si>
    <t>PIKAS OCHOTONA-PRINCEPS; PERMAFROST DISTRIBUTION; CLIMATIC RELATIONSHIPS; ROCK GLACIERS; ACTIVE LAYER; MOUNTAIN; CLASSIFICATION; EVOLUTION; INVERSION; LANDFORMS</t>
  </si>
  <si>
    <t>Thermal regimes of eight periglacial talus slopes, at contrasting elevations, aspects, and substrates, in the Sierra Nevada, California, had complex microclimatic patterns partially decoupled from external conditions. Over three years,. warm seasons showed mean talus matrix temperatures and daily variances lower than surfaces and cooler than free-air; talus surface and matrix positions low in the taluses were colder than higher positions, yielding highly positive altitudinal temperature differentials; ground surface temperatures had greater daily extremes than talus positions; and talus matrix temperatures lagged in response to surface temperature changes. Regulating processes in summer include evaporative cooling, cold-air drainage and Balch effect, and shading effects. In the cold season, talus matrices were warmer than surfaces; low talus positions were warmer than high; isothermal zero-curtain periods occurred before snow disappearance; and snow covered talus low positions more often and longer than higher in the taluses, which were often snow-free. Winter thermal processes likely include insulation from snow cover at talus bases, free exchange between talus matrix and external air in the upper talus, and latent heat from thaw-refreezing in late winter. Permanent ice may occur within high elevation talus slopes. Partially de,coupled talus thermal regimes provide buffered habitats for mammals such as American pikas and are likely to be important refugia under future warming.</t>
  </si>
  <si>
    <t>[Millar, Constance I.; Westfall, Robert D.; Delany, Diane L.] USDA Forest Serv, Pacific Southwest Res Stn, Albany, CA 94710 USA</t>
  </si>
  <si>
    <t>United States Department of Agriculture (USDA); United States Forest Service</t>
  </si>
  <si>
    <t>Millar, CI (corresponding author), USDA Forest Serv, Pacific Southwest Res Stn, 800 Buchanan St WAB, Albany, CA 94710 USA.</t>
  </si>
  <si>
    <t>cmillar@fs.fed.us</t>
  </si>
  <si>
    <t>10.1657/1938-4246-46.2.483</t>
  </si>
  <si>
    <t>WOS:000336778500017</t>
  </si>
  <si>
    <t>Lewandowsky, S; Risbey, JS; Smithson, M; Newell, BR; Hunter, J</t>
  </si>
  <si>
    <t>Lewandowsky, Stephan; Risbey, James S.; Smithson, Michael; Newell, Ben R.; Hunter, John</t>
  </si>
  <si>
    <t>Scientific uncertainty and climate change: Part I. Uncertainty and unabated emissions</t>
  </si>
  <si>
    <t>PRECAUTIONARY PRINCIPLE; JUDICIOUS MANAGEMENT; JENSENS INEQUALITY; SENSITIVITY; RISK; ECONOMICS; SCIENCE; POLICY; COST; TEMPERATURE</t>
  </si>
  <si>
    <t>Uncertainty forms an integral part of climate science, and it is often used to argue against mitigative action. This article presents an analysis of uncertainty in climate sensitivity that is robust to a range of assumptions. We show that increasing uncertainty is necessarily associated with greater expected damages from warming, provided the function relating warming to damages is convex. This constraint is unaffected by subjective or cultural risk-perception factors, it is unlikely to be overcome by the discount rate, and it is independent of the presumed magnitude of climate sensitivity. The analysis also extends to second-order uncertainty; that is, situations in which experts disagree. Greater disagreement among experts increases the likelihood that the risk of exceeding a global temperature threshold is greater. Likewise, increasing uncertainty requires increasingly greater protective measures against sea level rise. This constraint derives directly from the statistical properties of extreme values. We conclude that any appeal to uncertainty compels a stronger, rather than weaker, concern about unabated warming than in the absence of uncertainty.</t>
  </si>
  <si>
    <t>[Lewandowsky, Stephan] Univ Western Australia, Perth, WA 6009, Australia; [Lewandowsky, Stephan] Univ Bristol, Bristol, Avon, England; [Risbey, James S.] CSIRO Marine &amp; Atmospher Res, Hobart, Tas, Australia; [Smithson, Michael] Australian Natl Univ, Canberra, ACT, Australia; [Newell, Ben R.] Univ New S Wales, Sydney, NSW, Australia; [Hunter, John] Antarctic Climate &amp; Ecosyst Cooperat Res Ctr, Hobart, Tas, Australia</t>
  </si>
  <si>
    <t>University of Western Australia; University of Bristol; Commonwealth Scientific &amp; Industrial Research Organisation (CSIRO); Australian National University; University of New South Wales Sydney; Antarctic Climate &amp; Ecosystems Cooperative Research Centre (ACE CRC)</t>
  </si>
  <si>
    <t>Lewandowsky, S (corresponding author), Univ Western Australia, Perth, WA 6009, Australia.</t>
  </si>
  <si>
    <t>stephan.lewandowsky@uwa.edu.au</t>
  </si>
  <si>
    <t>Lewandowsky, Stephan/L-4272-2019; Risbey, James/M-8419-2013</t>
  </si>
  <si>
    <t>Lewandowsky, Stephan/0000-0003-1655-2013; Risbey, James/0000-0003-3202-9142; Newell, Benjamin/0000-0003-1898-205X; Smithson, Michael/0000-0003-4455-2192</t>
  </si>
  <si>
    <t>Australian Research Council; Royal Society; Australian Research Council Centre of Excellence in Climate Systems Science; National Climate Change Adaptation Research Facility; CSIRO Climate Adaptation Flagship</t>
  </si>
  <si>
    <t>Australian Research Council(Australian Research Council); Royal Society(Royal Society); Australian Research Council Centre of Excellence in Climate Systems Science(Australian Research Council); National Climate Change Adaptation Research Facility; CSIRO Climate Adaptation Flagship(Commonwealth Scientific &amp; Industrial Research Organisation (CSIRO))</t>
  </si>
  <si>
    <t>Preparation of this paper was facilitated by a Discovery Grant and a Discovery Outstanding Researcher Award from the Australian Research Council, and a Wolfson Research Merit Award from the Royal Society, to the first author, by a Future Fellowship from the Australian Research Council to Ben Newell, and funding from the Australian Research Council Centre of Excellence in Climate Systems Science. The work was also supported by a Linkage Grant from the Australian Research Council, by the National Climate Change Adaptation Research Facility, and the CSIRO Climate Adaptation Flagship. We thank four reviewers for their incisive critique and helpful comments. Correspondence to the first author at the School of Experimental Psychology, University of Bristol, 12A Priory Road, Bristol BS8 1TU, United Kingdom (stephan.lewandowsky@bristol.ac.uk). Personal web page: http://www.cogsciwa.com.</t>
  </si>
  <si>
    <t>10.1007/s10584-014-1082-7</t>
  </si>
  <si>
    <t>AH8DW</t>
  </si>
  <si>
    <t>WOS:000336365300003</t>
  </si>
  <si>
    <t>Grose, MR; Fox-Hughes, P; Harris, RMB; Bindoff, NL</t>
  </si>
  <si>
    <t>Grose, Michael R.; Fox-Hughes, Paul; Harris, Rebecca M. B.; Bindoff, Nathaniel L.</t>
  </si>
  <si>
    <t>Changes to the drivers of fire weather with a warming climate - a case study of southeast Tasmania</t>
  </si>
  <si>
    <t>DANGER; AUSTRALIA; IMPACT</t>
  </si>
  <si>
    <t>Projected changes to the global climate system have great implications for the incidence of large infrequent fires in many regions. Here we examine the synoptic-scale and local-scale influences on the incidence of extreme fire weather days and consider projections of the large-scale mean climate to explore future fire weather projections. We focus on a case study region with periodic extreme fire dangers; southeast Tasmania, Australia. We compare the performance of a dynamically downscaled regional climate model with Global Climate Model outputs as a tool for examining the local-scale influences while accounting for high regional variability. Many of the worst fires in Tasmania and the southeast Australian region are associated with deep cold fronts and strong prefrontal winds. The downscaled simulations reproduce this synoptic type with greater fidelity than a typical global climate model. The incidence of systems in this category is projected to increase through the century under a high emission scenario, driven mainly by an increase in the temperature of air masses, with little change in the strength of the systems. The regional climate model projected increase in frequency is smaller than for the global climate models used as input, with a large model range and natural variability. We also demonstrate how a blocking Foehn effect and topographic channelling contributed to the extreme conditions during an extreme fire weather day in Tasmania in January 2013. Effects such as these are likely to contribute to high fire danger throughout the century. Regional climate models are useful tools that enable various meteorological drivers of fire danger to be considered in projections of future fire danger.</t>
  </si>
  <si>
    <t>[Grose, Michael R.; Fox-Hughes, Paul; Harris, Rebecca M. B.; Bindoff, Nathaniel L.] Antarctic Climate &amp; Ecosyst Cooperat Res Ctr, Hobart, Tas 7001, Australia; [Grose, Michael R.] CSIRO Marine &amp; Atmospher Res, Aspendale, Vic 3195, Australia; [Fox-Hughes, Paul] Bur Meteorol, Hobart, Tas 7001, Australia; [Bindoff, Nathaniel L.] Univ Tasmania, ARC Ctr Excellence Climate Syst Sci, Hobart, Tas 7001, Australia; [Bindoff, Nathaniel L.] Univ Tasmania, Inst Marine &amp; Antarctic Studies, Hobart, Tas 7001, Australia; [Bindoff, Nathaniel L.] CSIRO Marine &amp; Atmospher Res, CAWCR, Hobart, Tas 7000, Australia</t>
  </si>
  <si>
    <t>Antarctic Climate &amp; Ecosystems Cooperative Research Centre (ACE CRC); Commonwealth Scientific &amp; Industrial Research Organisation (CSIRO); Bureau of Meteorology - Australia; ARC Centre of Excellence for Climate System Science; University of Tasmania; University of Tasmania; Commonwealth Scientific &amp; Industrial Research Organisation (CSIRO)</t>
  </si>
  <si>
    <t>Grose, MR (corresponding author), Antarctic Climate &amp; Ecosyst Cooperat Res Ctr, Private Bag 80, Hobart, Tas 7001, Australia.</t>
  </si>
  <si>
    <t>Michael.Grose@csiro.au</t>
  </si>
  <si>
    <t>Fox-Hughes, Paul D/G-8731-2013; Bindoff, Nathaniel Lee/C-8050-2011; Grose, Michael/AAV-1119-2021; Bindoff, Nathaniel Lee/IVV-0333-2023; Harris, Rebecca/N-2790-2013</t>
  </si>
  <si>
    <t>Bindoff, Nathaniel Lee/0000-0001-5662-9519; Bindoff, Nathaniel Lee/0000-0001-5662-9519; Harris, Rebecca/0000-0002-6426-2179</t>
  </si>
  <si>
    <t>National Disaster Resilience Program (NDRP); Australian government's Cooperative Research Centres Program through the ACE CRC</t>
  </si>
  <si>
    <t>National Disaster Resilience Program (NDRP); Australian government's Cooperative Research Centres Program through the ACE CRC(Australian GovernmentDepartment of Industry, Innovation and ScienceCooperative Research Centres (CRC) Programme)</t>
  </si>
  <si>
    <t>The work was supported by a grant from the National Disaster Resilience Program (NDRP) administered through the Tasmanian State Emergency Service (SES). The work was supported by the Australian government's Cooperative Research Centres Program through the ACE CRC. This work builds upon the Climate Futures for Tasmania project.</t>
  </si>
  <si>
    <t>10.1007/s10584-014-1070-y</t>
  </si>
  <si>
    <t>WOS:000336365300019</t>
  </si>
  <si>
    <t>Slangen, ABA; Carson, M; Katsman, CA; van de Wal, RSW; Köhl, A; Vermeersen, LLA; Stammer, D</t>
  </si>
  <si>
    <t>Slangen, A. B. A.; Carson, M.; Katsman, C. A.; van de Wal, R. S. W.; Koehl, A.; Vermeersen, L. L. A.; Stammer, D.</t>
  </si>
  <si>
    <t>Projecting twenty-first century regional sea-level changes</t>
  </si>
  <si>
    <t>SURFACE MASS-BALANCE; ANTARCTIC ICE-SHEET; CLIMATE-CHANGE; RISE; MODEL; IMPACT; EARTH; SCENARIOS; GLACIERS; HISTORY</t>
  </si>
  <si>
    <t>We present regional sea-level projections and associated uncertainty estimates for the end of the 21 (st) century. We show regional projections of sea-level change resulting from changing ocean circulation, increased heat uptake and atmospheric pressure in CMIP5 climate models. These are combined with model- and observation-based regional contributions of land ice, groundwater depletion and glacial isostatic adjustment, including gravitational effects due to mass redistribution. A moderate and a warmer climate change scenario are considered, yielding a global mean sea-level rise of 0.54 +/- 0.19 m and 0.71 +/- 0.28 m respectively (mean +/- 1 sigma). Regionally however, changes reach up to 30 % higher in coastal regions along the North Atlantic Ocean and along the Antarctic Circumpolar Current, and up to 20 % higher in the subtropical and equatorial regions, confirming patterns found in previous studies. Only 50 % of the global mean value is projected for the subpolar North Atlantic Ocean, the Arctic Ocean and off the western Antarctic coast. Uncertainty estimates for each component demonstrate that the land ice contribution dominates the total uncertainty.</t>
  </si>
  <si>
    <t>[Slangen, A. B. A.; van de Wal, R. S. W.] Univ Utrecht, Inst Marine &amp; Atmospher Res Utrecht IMAU, NL-3584 CC Utrecht, Netherlands; [Carson, M.; Koehl, A.; Stammer, D.] Univ Hamburg, Ctr Earth Syst Res &amp; Sustainabil CEN, D-20146 Hamburg, Germany; [Katsman, C. A.] Royal Netherlands Meteorol Inst KNMI, NL-3730 AE De Bilt, Netherlands; [Vermeersen, L. L. A.] Delft Univ Technol, Fac Aerosp Engn, Delft Climate Inst, NL-2629 HS Delft, Netherlands; [Vermeersen, L. L. A.] Royal Netherlands Inst Sea Res NIOZ, NL-1797 SZ T Horntje, Netherlands</t>
  </si>
  <si>
    <t>Utrecht University; University of Hamburg; Royal Netherlands Meteorological Institute; Delft University of Technology; Utrecht University; Royal Netherlands Institute for Sea Research (NIOZ)</t>
  </si>
  <si>
    <t>Slangen, ABA (corresponding author), CSIRO Marine &amp; Atmospher Res, GPO Box 1538, Hobart, Tas 7001, Australia.</t>
  </si>
  <si>
    <t>aimee.slangen@gmail.com</t>
  </si>
  <si>
    <t>Kohl, Armin/I-9378-2014; van de wal, roderik/D-1705-2011; Slangen, Aimee/H-5839-2015</t>
  </si>
  <si>
    <t>Kohl, Armin/0000-0002-9777-674X; van de wal, roderik/0000-0003-2543-3892; Slangen, Aimee/0000-0001-6268-6683; Carson, Mark/0000-0002-4356-6560</t>
  </si>
  <si>
    <t>CNES; SRON [ALW-GO-AO/07-14]; DFG, CLISAP excellence initiative</t>
  </si>
  <si>
    <t>CNES(Centre National D'etudes Spatiales); SRON; DFG, CLISAP excellence initiative(German Research Foundation (DFG))</t>
  </si>
  <si>
    <t>We thank Y. Wada and M. Bierkens for the groundwater depletion data, and R. Riva and P. Stocchi for the GIA data. We thank 3 reviewers for commenting on the manuscript. We acknowledge the WRCP's Working Group on Coupled Modeling, which is responsible for CMIP, and we thank the climate modeling groups listed in OR-Table 1 for producing and making available their model output. MSS_CNES_CLS11 was produced by CLS Space Oceanography Division and distributed by AVISO, with support from CNES (http://www.aviso.oceanobs.com). A. S. is supported by SRON (ALW-GO-AO/07-14). M. C. and D. S. are supported through the DFG funded CLISAP excellence initiative.</t>
  </si>
  <si>
    <t>10.1007/s10584-014-1080-9</t>
  </si>
  <si>
    <t>WOS:000336365300023</t>
  </si>
  <si>
    <t>Goodall-Copestake, WP</t>
  </si>
  <si>
    <t>Goodall-Copestake, W. P.</t>
  </si>
  <si>
    <t>Morphological and molecular characterization of salps (Thalia spp.) from the Tristan da Cunha archipelago</t>
  </si>
  <si>
    <t>barcoding; cox1; COI; South Atlantic; taxonomy</t>
  </si>
  <si>
    <t>GENE COX1; DIVERSITY</t>
  </si>
  <si>
    <t>The identification of salp species by morphological features alone can be challenging. This study combined morphological and molecular approaches to characterize different salp reproductive forms (oozooids and blastozooids) collected from the remote Tristan da Cunha archipelago. Novel cox1 barcoding primers developed in this study proved successful for the identification of Thalia salp species and generated much needed barcoding data for this taxonomic group.</t>
  </si>
  <si>
    <t>[Goodall-Copestake, W. P.] British Antarctic Survey, NERC, Cambridge CB3 0ET, England</t>
  </si>
  <si>
    <t>Goodall-Copestake, WP (corresponding author), British Antarctic Survey, NERC, Madingley Rd, Cambridge CB3 0ET, England.</t>
  </si>
  <si>
    <t>wgco@bas.ac.uk</t>
  </si>
  <si>
    <t>Goodall-Copestake, William P/C-1061-2011; Goodall-Copestake, William/CAF-6866-2022</t>
  </si>
  <si>
    <t>Goodall-Copestake, Will/0000-0003-3586-9091</t>
  </si>
  <si>
    <t>Ecosystems group; British Antarctic Survey (Natural Environment Research Council); Darwin Initiative Challenge fund [EIDCF013]; Pew Charitable Trusts</t>
  </si>
  <si>
    <t>Ecosystems group; British Antarctic Survey (Natural Environment Research Council); Darwin Initiative Challenge fund; Pew Charitable Trusts</t>
  </si>
  <si>
    <t>This research was supported by the Ecosystems group, British Antarctic Survey (Natural Environment Research Council), and by the Darwin Initiative Challenge fund grant EIDCF013 and The Pew Charitable Trusts, held by the British Antarctic Survey, the Shallow Marine Surveys Group (Falkland Islands) and the Tristan da Cunha Department of Conservation.</t>
  </si>
  <si>
    <t>10.1093/plankt/fbu013</t>
  </si>
  <si>
    <t>AH9UQ</t>
  </si>
  <si>
    <t>WOS:000336490000026</t>
  </si>
  <si>
    <t>Rontani, JF; Belt, ST; Vaultier, F; Brown, TA; Massé, G</t>
  </si>
  <si>
    <t>Rontani, J-F; Belt, S. T.; Vaultier, F.; Brown, T. A.; Masse, G.</t>
  </si>
  <si>
    <t>Autoxidative and Photooxidative Reactivity of Highly Branched Isoprenoid (HBI) Alkenes</t>
  </si>
  <si>
    <t>LIPIDS</t>
  </si>
  <si>
    <t>HBI alkenes; Autoxidation; Photooxidation; Kinetic; Senescent diatom cells; Specific tracers</t>
  </si>
  <si>
    <t>CANADIAN ARCTIC ARCHIPELAGO; SEA-ICE CONDITIONS; PHYTYL SIDE-CHAIN; HASLEA-OSTREARIA; LIPIDS; DEGRADATION; BIOMARKERS; OXIDATION; C-25; IDENTIFICATION</t>
  </si>
  <si>
    <t>Autoxidation of several mono-, di-, tri- and tetra-unsaturated highly branched isoprenoid (HBI) alkenes was induced in organic solvents using a radical initiator and enhancer, and their degradation rates were compared to those of classical phytoplanktonic lipids (mono-unsaturated fatty acids, sterols and chlorophyll phytyl side-chain). Autoxidation of two HBI trienes was also investigated in senescent and highly photodegraded diatom cells, collected in the Antarctic, using Fe2+ ions as radical inducers. Autoxidation rates of HBI alkenes were found to increase with the number of tri-substituted double bonds, as expected. Further, HBI trienes possessing one bis-allylic position (where hydrogen abstraction is highly favoured) were found to be particularly reactive towards autoxidation and degraded at similar rates compared to polyunsaturated fatty acids in diatom cells. By comparison of the autoxidation products of the most reactive tri-unsaturated HBI with the corresponding photooxidation products, some specific tracers of these two types of abiotic degradation processes were identified. The lack of reactivity of the mono-unsaturated HBI IP25 and a structurally similar di-unsaturated HBI towards autoxidative degradation supports the good preservation of these biomarkers in marine sediments.</t>
  </si>
  <si>
    <t>[Rontani, J-F; Vaultier, F.] Aix Marseille Univ, MIO, F-13288 Marseille 9, France; [Rontani, J-F; Vaultier, F.] Univ Sud Toulon Var, CNRS INSU IRD UM 110, F-83957 La Garde, France; [Belt, S. T.; Brown, T. A.] Univ Plymouth, Sch Geog Earth &amp; Environm Sci, Biogeochem Res Ctr, Plymouth PL4 8AA, Devon, England; [Masse, G.] Univ Laval, Unite Mixte Int Takuvik, Quebec City, PQ G1V 0A6, Canada</t>
  </si>
  <si>
    <t>Aix-Marseille Universite; University of Plymouth; Laval University</t>
  </si>
  <si>
    <t>CNRS-INSU; Aix-Marseille Universite; University of Plymouth; French ANR (CLIMICE); ERC [STG 203441]; French Polar Institute [IPEV-1010]</t>
  </si>
  <si>
    <t>CNRS-INSU(Centre National de la Recherche Scientifique (CNRS)); Aix-Marseille Universite; University of Plymouth; French ANR (CLIMICE)(Agence Nationale de la Recherche (ANR)); ERC(European Research Council (ERC)); French Polar Institute</t>
  </si>
  <si>
    <t>J.-F. R. gratefully acknowledges financial support from the CNRS-INSU and the Aix-Marseille Universite. S. T. B. thanks the University of Plymouth for funding a Post-Doctoral Fellowship (T. B.). G. M. acknowledges financial support from the French ANR (CLIMICE) and the ERC (STG 203441). Logistical support for the collection of Antarctic samples was provided by the French Polar Institute (IPEV-1010 project). Thanks are due to two anonymous referees for their useful and constructive comments.</t>
  </si>
  <si>
    <t>0024-4201</t>
  </si>
  <si>
    <t>1558-9307</t>
  </si>
  <si>
    <t>Lipids</t>
  </si>
  <si>
    <t>10.1007/s11745-014-3891-x</t>
  </si>
  <si>
    <t>Biochemistry &amp; Molecular Biology; Nutrition &amp; Dietetics</t>
  </si>
  <si>
    <t>AI3ZY</t>
  </si>
  <si>
    <t>WOS:000336805900008</t>
  </si>
  <si>
    <t>Griffith, GP; Fulton, EA</t>
  </si>
  <si>
    <t>Griffith, Gary P.; Fulton, Elizabeth A.</t>
  </si>
  <si>
    <t>New approaches to simulating the complex interaction effects of multiple human impacts on the marine environment</t>
  </si>
  <si>
    <t>ecosystem-based management; end-to-end ecosystem models; human impacts; interactions; non-linear dynamics</t>
  </si>
  <si>
    <t>ECO-EVOLUTIONARY DYNAMICS; EARLY-WARNING SIGNALS; CLIMATE-CHANGE; OCEAN ACIDIFICATION; RAPID EVOLUTION; REGIME SHIFTS; FOOD WEBS; TIME; ECOSYSTEMS; CHALLENGES</t>
  </si>
  <si>
    <t>The interplay of anthropogenic effects presents significant challenges to modelling and managing marine resources. The increasing awareness of the complexity of the interaction of human impacts has led to a demand for end-to-end (E2E) models that attempt to include all major processes in a single framework. These whole-of-system models are potentially very useful as numerical laboratories to explore the potential spectrum of responses from the interplay of anthropogenic effects. However, despite their limitations and early stage of development, the output of E2E models is under increasing social pressure to provide simple answers to highly complex problems. Here, we suggest some approaches that can be included in E2E models for considering the potential effects of complex interactions on community and ecosystem services. We show how assumptions and parameterizations made in existing E2E models can be altered to allow processes to shift with the dynamic response to both natural and human drivers. Alternative ways for interpreting complex model output, non-linearity, handling uncertainty, and how to include multispecies interaction effects within a framework of ecosystem-based management are suggested. We point out parts of the marine system that have been neglected in model development, but now should be included to understand interaction effects from multiple anthropogenic stressors. The E2E model framework also needs to be further expanded from an often-skewed focus on ecological systems to a more even-handed treatment of socio-ecological systems, including cultural aspects. Future progress in E2E models will require an interdisciplinary framework involving both qualitative and quantitative approaches, closer cooperation between empiricists and modellers, and the development of consistent terminology.</t>
  </si>
  <si>
    <t>[Griffith, Gary P.] Univ Tasmania, Inst Marine &amp; Antarctic Studies, Hobart, Tas 7001, Australia; [Griffith, Gary P.] Univ Queensland, Sch Math &amp; Phys, Ct Applicat Nat Resource Math CARM, St Lucia, Qld 4072, Australia; [Fulton, Elizabeth A.] CSIRO, Hobart, Tas 7001, Australia</t>
  </si>
  <si>
    <t>University of Tasmania; University of Queensland; Commonwealth Scientific &amp; Industrial Research Organisation (CSIRO)</t>
  </si>
  <si>
    <t>Griffith, GP (corresponding author), Univ Tasmania, Inst Marine &amp; Antarctic Studies, Private Bag 129, Hobart, Tas 7001, Australia.</t>
  </si>
  <si>
    <t>gary.griffith@utas.edu.au</t>
  </si>
  <si>
    <t>Fulton, Beth/AAJ-1398-2021; Fulton, Beth/A-2871-2008</t>
  </si>
  <si>
    <t>Fulton, Beth/0000-0002-5904-7917;</t>
  </si>
  <si>
    <t>Australian Research Council [DI0882986]; Australian Research Council [DI0882986] Funding Source: Australian Research Council</t>
  </si>
  <si>
    <t>This work was supported by Australian Research Council grant DI0882986 (GPG).</t>
  </si>
  <si>
    <t>10.1093/icesjms/fst196</t>
  </si>
  <si>
    <t>AH9AH</t>
  </si>
  <si>
    <t>WOS:000336430200003</t>
  </si>
  <si>
    <t>Wall, DH; Adams, BJ</t>
  </si>
  <si>
    <t>Wall, D. H.; Adams, B. J.</t>
  </si>
  <si>
    <t>Biotic Responses to Climate Change in the Antarctic Dry Valleys</t>
  </si>
  <si>
    <t>IN VITRO CELLULAR &amp; DEVELOPMENTAL BIOLOGY-ANIMAL</t>
  </si>
  <si>
    <t>[Wall, D. H.] Colorado State Univ, Sch Global Environm Sustainabil, Ft Collins, CO 80523 USA; [Wall, D. H.] Colorado State Univ, Dept Biol, Ft Collins, CO 80523 USA; [Adams, B. J.] Brigham Young Univ, Dept Biol, Provo, UT 84602 USA; [Adams, B. J.] Brigham Young Univ, Evolutionary Ecol Labs, Provo, UT 84602 USA</t>
  </si>
  <si>
    <t>Colorado State University; Colorado State University; Brigham Young University; Brigham Young University</t>
  </si>
  <si>
    <t>diana.wall@colostate.edu</t>
  </si>
  <si>
    <t>Wall, Diana H/F-5491-2011; Adams, Byron/C-3808-2009</t>
  </si>
  <si>
    <t>Adams, Byron/0000-0002-7815-3352</t>
  </si>
  <si>
    <t>1071-2690</t>
  </si>
  <si>
    <t>1543-706X</t>
  </si>
  <si>
    <t>IN VITRO CELL DEV-AN</t>
  </si>
  <si>
    <t>In Vitro Cell. Dev. Biol.-Anim.</t>
  </si>
  <si>
    <t>S2</t>
  </si>
  <si>
    <t>Cell Biology; Developmental Biology</t>
  </si>
  <si>
    <t>AH8KN</t>
  </si>
  <si>
    <t>WOS:000336386800003</t>
  </si>
  <si>
    <t>Chambers, LE; Dann, P; Cannell, B; Woehler, EJ</t>
  </si>
  <si>
    <t>Chambers, Lynda E.; Dann, Peter; Cannell, Belinda; Woehler, Eric J.</t>
  </si>
  <si>
    <t>Climate as a driver of phenological change in southern seabirds</t>
  </si>
  <si>
    <t>INTERNATIONAL JOURNAL OF BIOMETEOROLOGY</t>
  </si>
  <si>
    <t>Penguin; Eudyptula minor; Sea surface temperature; Southern hemisphere; Seabirds</t>
  </si>
  <si>
    <t>PENGUIN EUDYPTULA-MINOR; AFRICAN PENGUINS; BREEDING SUCCESS; REPRODUCTIVE-PERFORMANCE; SPHENISCUS-DEMERSUS; MOLT PHENOLOGY; ISLAND; VARIABILITY; MASS; SEA</t>
  </si>
  <si>
    <t>Seabirds are one of the most threatened groups of birds globally and, overall, their conservation status is deteriorating rapidly. Southern hemisphere countries are over-represented in the number of species of conservation concern yet long-term phenological data on seabirds in the southern hemisphere is limited. A better understanding of the implications of changes in the marine and terrestrial environments to seabird species is required in order to improve their management and conservation status. Here we conducted a meta-analysis of the phenological drivers and trends among southern hemisphere seabirds. Overall there was a general trend towards later phenological events over time (34 % of all data series, N = 47; 67 % of all significant trends), though this varied by taxa and location. The strongest trends towards later events were for seabirds breeding in Australia, the Laridae (gulls, noddies, terns) and migratory southern polar seabirds. In contrast, earlier phenologies were more often observed for the Spheniscidae (penguins) and for other seabirds breeding in the Antarctic and subantarctic. Phenological changes were most often associated with changes in oceanographic conditions, with sea-ice playing an important role for more southerly species. For some species in some locations, such as the Little Penguin Eudyptula minor in south-eastern Australia, warmer oceans projected under various climate change scenarios are expected to correspond to increased seabird productivity, manifested through earlier breeding, heavier chicks, an increased chance of double brooding, at least in the short-term.</t>
  </si>
  <si>
    <t>[Chambers, Lynda E.] Australian Bur Meteorol, Ctr Australian Weather &amp; Climate Res, Melbourne, Vic 3001, Australia; [Dann, Peter] Phillip Isl Nat Pk, Res Dept, Phillip Isl, Vic 3991, Australia; [Cannell, Belinda] Murdoch Univ, Murdoch, WA 6150, Australia; [Woehler, Eric J.] Univ Tasmania, IMAS, Sandy Bay, Tas 7005, Australia</t>
  </si>
  <si>
    <t>Commonwealth Scientific &amp; Industrial Research Organisation (CSIRO); Bureau of Meteorology - Australia; Murdoch University; University of Tasmania</t>
  </si>
  <si>
    <t>Chambers, LE (corresponding author), Australian Bur Meteorol, Ctr Australian Weather &amp; Climate Res, GPO Box 1289, Melbourne, Vic 3001, Australia.</t>
  </si>
  <si>
    <t>L.Chambers@bom.gov.au; pdann@penguins.org.au; B.Cannell@murdoch.edu.au; Eric.Woehler@utas.edu.au</t>
  </si>
  <si>
    <t>Woehler, Eric/0000-0002-1125-0748; Cannell, Belinda/0000-0001-9214-8958</t>
  </si>
  <si>
    <t>0020-7128</t>
  </si>
  <si>
    <t>1432-1254</t>
  </si>
  <si>
    <t>INT J BIOMETEOROL</t>
  </si>
  <si>
    <t>Int. J. Biometeorol.</t>
  </si>
  <si>
    <t>10.1007/s00484-013-0711-6</t>
  </si>
  <si>
    <t>Biophysics; Environmental Sciences; Meteorology &amp; Atmospheric Sciences; Physiology</t>
  </si>
  <si>
    <t>Biophysics; Environmental Sciences &amp; Ecology; Meteorology &amp; Atmospheric Sciences; Physiology</t>
  </si>
  <si>
    <t>AH7QU</t>
  </si>
  <si>
    <t>WOS:000336329300017</t>
  </si>
  <si>
    <t>Otero, RA; Gutstein, CS; Vargas, A; Rubilar-Rogers, D; Yury-Yanez, R; Bastias, J; Ramirez, C</t>
  </si>
  <si>
    <t>Otero, Rodrigo A.; Gutstein, Carolina Simon; Vargas, Alexander; Rubilar-Rogers, David; Yury-Yanez, Roberto; Bastias, Joaquin; Ramirez, Cristian</t>
  </si>
  <si>
    <t>NEW CHONDRICHTHYANS FROM THE UPPER CRETACEOUS (CAMPANIAN- MAASTRICHTIAN) OF SEYMOUR AND JAMES ROSS ISLANDS, ANTARCTICA</t>
  </si>
  <si>
    <t>SANTA-MARTA FORMATION; ELASMOBRANCHII; EVOLUTION; BASIN; STRATIGRAPHY; HOLOCEPHALI; PENINSULA; DINOSAUR; FOSSILS; SHARKS</t>
  </si>
  <si>
    <t>We present new records of chondrichthyans recovered from strata of Maastrichtian age of the Lopez de Bertodano Formation, Seymour (=Marambio) Island, and from levels of latest Campanian age of the Santa Marta Formation, James Ross Island, both located in the eastern Antarctic Peninsula. The material from Marambio Island comprises an associated assemblage with the first records of an indeterminate odontaspidid different from Odontaspis, as well as the genera Pristiophorus, Squatina, Paraorthacodus, and the species Chlamydoselachus tatere from the Lopez de Bertodano Formation. Also, the studied section provides a well-constrained age for several taxa already recognized in the Lopez de Bertodano Formation only by scattered samples of Maastrichtian age for the first time. The assemblage from Marambio Island is representative of one of the latest environmental conditions during the end of the Cretaceous in the coastal seas of the Larsen Basin before major changes that began after the K/P boundary. In addition, the finds from James Ross Island comprise the southernmost records of the neoselachians Cretalamna sp., Centrophoroides sp., as well as the holocephalans Callorhinchus sp. and an indeterminate rhinochimaerid, extending the occurrence of some of these taxa into the late Campanian, being their oldest record of the Weddellian Biogeographic Province.</t>
  </si>
  <si>
    <t>[Otero, Rodrigo A.; Gutstein, Carolina Simon; Vargas, Alexander] Univ Chile, Fac Ciencias, Dept Biol, Lab Ontogenia &amp; Filogenia, Santiago 3425, Chile; [Rubilar-Rogers, David] Museo Nacl Hist Nat, Area Paleontol, Santiago, Chile; [Yury-Yanez, Roberto] Univ Chile, Fac Ciencias, Dept Biol, Lab Zool Vertebrados, Santiago 3425, Chile; [Bastias, Joaquin; Ramirez, Cristian] Univ Chile, Fac Ciencias Fis &amp; Matemat, Dept Geol, Santiago, Chile</t>
  </si>
  <si>
    <t>Otero, RA (corresponding author), Univ Chile, Fac Ciencias, Dept Biol, Lab Ontogenia &amp; Filogenia, Santiago 3425, Chile.</t>
  </si>
  <si>
    <t>Vargas, Alexander O/L-3788-2017; Bastias, Joaquin/A-6995-2016; S. Gutstein, Carolina/AGO-2836-2022</t>
  </si>
  <si>
    <t>Vargas, Alexander O/0000-0002-2009-7116; Bastias, Joaquin/0000-0001-6678-3173; S. Gutstein, Carolina/0000-0002-0823-2434; Otero, Rodrigo/0000-0002-3046-2973</t>
  </si>
  <si>
    <t>Antarctic Ring Project (Conicyt-Chile) [ACT-105]; CONICYT-Chile scholarships from the 'Programa de Formacion de Capital Humano Avanzado'; U-Redes Domeyko II grant Red Paleontologica U-Chile'' of the Universidad de Chile</t>
  </si>
  <si>
    <t>Antarctic Ring Project (Conicyt-Chile); CONICYT-Chile scholarships from the 'Programa de Formacion de Capital Humano Avanzado'; U-Redes Domeyko II grant Red Paleontologica U-Chile'' of the Universidad de Chile</t>
  </si>
  <si>
    <t>Financial support for the expeditions and lab work was provided by the Antarctic Ring Project (ACT-105, Conicyt-Chile). REY and CSG were supported by CONICYT-Chile scholarships from the 'Programa de Formacion de Capital Humano Avanzado', for master's degree and Ph.D., respectively. RAO and CSG are also supported by the U-Redes Domeyko II grant Red Paleontologica U-Chile'' of the Universidad de Chile. The authors want to thank the crew of the Oscar Viel Icebreaker Ship (Armada de Chile) for their remarkable logistic support. Special acknowledgments go to Dr. J. Kriwet (University of Viena, Austria) and Dr. C. Underwood (University of London) for their critical reviews of the manuscript and the valuable comments that helped improve it.</t>
  </si>
  <si>
    <t>10.1666/13-041</t>
  </si>
  <si>
    <t>AH5IQ</t>
  </si>
  <si>
    <t>WOS:000336162300001</t>
  </si>
  <si>
    <t>Kumar, P; Talukdar, K; Sen, MK</t>
  </si>
  <si>
    <t>Kumar, P.; Talukdar, Karabi; Sen, Mrinal K.</t>
  </si>
  <si>
    <t>Lithospheric structure below transantarctic mountain using receiver function analysis of TAMSEIS data</t>
  </si>
  <si>
    <t>Crust; Lithosphere; Receiver functions; Transantarctic Mountain; Antarctica</t>
  </si>
  <si>
    <t>UPPER-MANTLE STRUCTURE; ANTARCTIC RIFT SYSTEM; GEOPHYSICAL INVESTIGATIONS; CRUSTAL STRUCTURE; WEST ANTARCTICA; EAST ANTARCTICA; ROSS EMBAYMENT; UPLIFT; BENEATH; TRANSITION</t>
  </si>
  <si>
    <t>The lithospheric structure of Antarctica has been investigated from P- (PRF) and S- receiver functions (SRF) using the seismological data from Trans-Antarctic Mountain Seismic Experiment (TAMSEIS). For the stations deployed on the thick ice sheet, estimation of crustal parameters from PRF may be erroneous as the Moho conversions may interfere with the reverberations within the thick ice sheet. However, the free surface multiples are well observed in PRF. On the other hand, in SRFs, the primary conversions of interest and multiples are separated by the mother S-phase. Therefore, it is advantageous to interpret PRF and SRF jointly for the regions where we have thick low velocity layer at the top such as ice or sediments. The crustal structure and corresponding parameters have already been estimated by various workers, but here we interpret the PRF and SRF jointly to minimize the ambiguity and map the lithospheric architecture below TAM. Our analysis reveals that the average crustal thickness beneath the east Antarctica craton is similar to 44 km with Vp/Vs ranging between similar to 1.7 and 1.9. Below Trans-Antarctic Mountain (TAM), the average crustal thickness is similar to 36 km with higher Vp/Vs of similar to 1.8-2.0. The rift and the volcanic affected coastal region show erratic depths and Vp/Vs, primarily due to the absence of either primary conversion or multiples in the receiver functions. A small number of stations far from the volcano show that the crust is thinnest (similar to 26 to 34 km thick) in the coastal part. The contribution of this study is the mapping of the lithospheric configuration, not done so far using SRF. The SRF section along a profile spanning E-, W- Antarctica and TAM reveals that the lithospheric thickness in the coast is similar to 80 km and below TAM it is similar to 120 km. In the central thick ice cover region, the lithosphere thickens upto similar to 150 km towards Vostok highlands. The most intriguing feature in our SRF section is that the crust and lithosphere are shallow below TAM compared to the E- Antarctica. Further, we observe a mid-lithospheric low velocity layer confined mostly below TAM, suggesting that the thermal buoyancy could be the prime cause for the upliftment of TAM.</t>
  </si>
  <si>
    <t>[Kumar, P.; Talukdar, Karabi; Sen, Mrinal K.] CSIR, Natl Geophys Res Inst, Hyderabad 500007, Andhra Pradesh, India</t>
  </si>
  <si>
    <t>Council of Scientific &amp; Industrial Research (CSIR) - India; CSIR - National Geophysical Research Institute (NGRI)</t>
  </si>
  <si>
    <t>Kumar, P (corresponding author), CSIR, Natl Geophys Res Inst, Uppal Rd, Hyderabad 500007, Andhra Pradesh, India.</t>
  </si>
  <si>
    <t>prakashk@ngri.res.in</t>
  </si>
  <si>
    <t>SEN, MRINAL KANTI/AAV-9991-2021</t>
  </si>
  <si>
    <t>SEN, MRINAL KANTI/0000-0003-0364-7726</t>
  </si>
  <si>
    <t>10.1007/s12594-014-0075-5</t>
  </si>
  <si>
    <t>AH3OJ</t>
  </si>
  <si>
    <t>WOS:000336033400002</t>
  </si>
  <si>
    <t>Knorr, G; Lohmann, G</t>
  </si>
  <si>
    <t>Knorr, Gregor; Lohmann, Gerrit</t>
  </si>
  <si>
    <t>Climate warming during Antarctic ice sheet expansion at the Middle Miocene transition</t>
  </si>
  <si>
    <t>OCEAN CIRCULATION; CO2; GLACIATION; RESOLUTION; VOLUME; MODEL</t>
  </si>
  <si>
    <t>During the Middle Miocene climate transition about 14 million years ago, the Antarctic ice sheet expanded to near-modern volume. Surprisingly, this ice sheet growth was accompanied by a warming in the surface waters of the Southern Ocean, whereas a slight deep-water temperature increase was delayed by more than 200 thousand years. Here we use a coupled atmosphere-ocean model to assess the relative effects of changes in atmospheric CO2 concentration and ice sheet growth on regional and global temperatures. In the simulations, changes in the wind field associated with the growth of the ice sheet induce changes in ocean circulation, deep-water formation and sea-ice cover that result in sea surface warming and deep-water cooling in large swaths of the Atlantic and Indian ocean sectors of the Southern Ocean. We interpret these changes as the dominant ocean surface response to a 100-thousand-year phase of massive ice growth in Antarctica. A rise in global annual mean temperatures is also seen in response to increased Antarctic ice surface elevation. In contrast, the longer-term surface and deep-water temperature trends are dominated by changes in atmospheric CO2 concentration. We therefore conclude that the climatic and oceanographic impacts of the Miocene expansion of the Antarctic ice sheet are governed by a complex interplay between wind field, ocean circulation and the sea-ice system.</t>
  </si>
  <si>
    <t>[Knorr, Gregor; Lohmann, Gerrit] Alfred Wegener Inst, Helmholtz Ctr Polar &amp; Marine Res, D-27570 Bremerhaven, Germany; [Knorr, Gregor] Cardiff Univ, Sch Earth &amp; Ocean Sci, Cardiff CF10 3AT, S Glam, Wales; [Lohmann, Gerrit] Univ Bremen, MARUM Ctr Marine Environm Sci, D-28359 Bremen, Germany</t>
  </si>
  <si>
    <t>Helmholtz Association; Alfred Wegener Institute, Helmholtz Centre for Polar &amp; Marine Research; Cardiff University; University of Bremen</t>
  </si>
  <si>
    <t>Knorr, G (corresponding author), Alfred Wegener Inst, Helmholtz Ctr Polar &amp; Marine Res, Bussestr 24, D-27570 Bremerhaven, Germany.</t>
  </si>
  <si>
    <t>gregor.knorr@awi.de</t>
  </si>
  <si>
    <t>Lohmann, Gerrit/M-7453-2016</t>
  </si>
  <si>
    <t>Lohmann, Gerrit/0000-0003-2089-733X; Knorr, Gregor/0000-0002-8317-5046</t>
  </si>
  <si>
    <t>PACES programme of the AWI</t>
  </si>
  <si>
    <t>We thank S. Barker, I. Hall and P. Kohler for comments on this study and the colleagues in the Paleoclimate Dynamics group at the Alfred Wegener Institute Helmholtz Center for Polar and Marine Research (AWI) in Bremerhaven for general support. This study is promoted by the PACES programme of the AWI and by the Helmholtz Climate Initiative REKLIM (Regional Climate Change), a joint research project of the Helmholtz Association of German research centres (HGF).</t>
  </si>
  <si>
    <t>10.1038/NGEO2119</t>
  </si>
  <si>
    <t>AH2JZ</t>
  </si>
  <si>
    <t>WOS:000335948600018</t>
  </si>
  <si>
    <t>Schlatter, DC; Kinkel, LL</t>
  </si>
  <si>
    <t>Schlatter, Daniel C.; Kinkel, Linda L.</t>
  </si>
  <si>
    <t>Global biogeography of Streptomyces antibiotic inhibition, resistance, and resource use</t>
  </si>
  <si>
    <t>Streptomyces; functional biogeography; local adaptation; antibiotic resistance; species interactions</t>
  </si>
  <si>
    <t>MICROBIAL BIOGEOGRAPHY; SPATIAL VARIATION; GENOME SEQUENCE; SOIL; BACTERIAL; DIVERSITY; PLANT; EVOLUTION; COMMUNITY; SELECTION</t>
  </si>
  <si>
    <t>Although recent molecular techniques have greatly expanded our knowledge of microbial biogeography, the functional biogeography of soil microorganisms remains poorly understood. In this work, we explore geographic variation in Streptomyces phenotypes that are critical to species interactions. Specifically, we characterize Streptomyces from different locations from multiple continents for antibiotic inhibition, resistance, and resource use phenotypes. Streptomyces from different locations varied significantly in antibiotic inhibition, resistance, and resource use indicating that communities vary in functional potential. Among all isolates, there were substantial differences in antibiotic inhibition, resistance, and resource use within and among and within Streptomyces species. Moreover, Streptomyces with near-identical 16S rRNA gene sequences from different locations sometimes differed significantly in inhibition, resistance, and resource use phenotypes, suggesting that these phenotypes may be locally adapted. Thus, in addition to a likely role of environmental filtering, variation in Streptomyces inhibitory, resistance, and resource use phenotypes among locations is likely to be a consequence of local selection mediated by species interactions.</t>
  </si>
  <si>
    <t>[Schlatter, Daniel C.; Kinkel, Linda L.] Univ Minnesota, Dept Plant Pathol, St Paul, MN 55108 USA</t>
  </si>
  <si>
    <t>University of Minnesota System; University of Minnesota Twin Cities</t>
  </si>
  <si>
    <t>Schlatter, DC (corresponding author), Univ Minnesota, Dept Plant Pathol, 1991 Upper Buford Circle, St Paul, MN 55108 USA.</t>
  </si>
  <si>
    <t>schl0453@umn.edu</t>
  </si>
  <si>
    <t>USDA National Institute of Food and Agriculture [2011-67019-30200, 2006-04464]; NSF Long-Term Ecological Research Network [0620652]; NSF [0537143]; Directorate For Geosciences; Division Of Polar Programs [0537143] Funding Source: National Science Foundation</t>
  </si>
  <si>
    <t>USDA National Institute of Food and Agriculture(United States Department of Agriculture (USDA)); NSF Long-Term Ecological Research Network; NSF(National Science Foundation (NSF)); Directorate For Geosciences; Division Of Polar Programs(National Science Foundation (NSF)NSF - Directorate for Geosciences (GEO))</t>
  </si>
  <si>
    <t>This project was supported by Agriculture and Food Research Initiative Competitive Grants (2011-67019-30200 and 2006-04464) from the USDA National Institute of Food and Agriculture and the NSF Long-Term Ecological Research Network (0620652). Antarctic soils were provided by Bob Blanchette and Brett Arenz with funding from NSF grant 0537143. We are grateful to Debby Samac, Ian Dickie, Maria Finckh, Helene Muller-Landau, Cindy Morris, and John Stanton-Geddes for contributing soils used in this work, and Phil Manlick and AJ Lange for assisting in sequencing and phenotyping Streptomyces isolates. We would also like to thank the anonymous reviewers for constructive feedback.</t>
  </si>
  <si>
    <t>10.1111/1574-6941.12307</t>
  </si>
  <si>
    <t>AG4OA</t>
  </si>
  <si>
    <t>WOS:000335398400014</t>
  </si>
  <si>
    <t>Oellermann, M; Pörtner, HO; Mark, FC</t>
  </si>
  <si>
    <t>Oellermann, Michael; Poertner, Hans-O.; Mark, Felix C.</t>
  </si>
  <si>
    <t>Simultaneous high-resolution pH and spectrophotometric recordings of oxygen binding in blood microvolumes</t>
  </si>
  <si>
    <t>Diffusion chamber; Oxygen equilibrium curve; Hemocyanin; Haemocyanin; Haemoglobin; pH optode; Octopus; Amphipod; Antarctic fish</t>
  </si>
  <si>
    <t>RESPIRATORY PROPERTIES; AFFINITY; CURVES; PERFORMANCE; EQUILIBRIUM; HEMOLYMPH</t>
  </si>
  <si>
    <t>Oxygen equilibrium curves have been widely used to understand oxygen transport in numerous organisms. A major challenge has been to monitor oxygen binding characteristics and concomitant pH changes as they occur in vivo, in limited sample volumes. Here we report a technique allowing highly resolved and simultaneous monitoring of pH and blood pigment saturation in minute blood volumes. We equipped a gas diffusion chamber with a broad-range fibre-optic spectrophotometer and a micro-pH optode and recorded changes of pigment oxygenation along oxygen partial pressure (P-O2) and pH gradients to test the setup. Oxygen binding parameters derived from measurements in only 15 mu l of haemolymph from the cephalopod Octopus vulgaris showed low instrumental error (0.93%) and good agreement with published data. Broad-range spectra, each resolving 2048 data points, provided detailed insight into the complex absorbance characteristics of diverse blood types. After consideration of photobleaching and intrinsic fluorescence, pH optodes yielded accurate recordings and resolved a sigmoidal shift of 0.03 pH units in response to changing P-O2 from 0 to 21 kPa. Highly resolved continuous recordings along pH gradients conformed to stepwise measurements at low rates of pH changes. In this study we showed that a diffusion chamber upgraded with a broad-range spectrophotometer and an optical pH sensor accurately characterizes oxygen binding with minimal sample consumption and manipulation. We conclude that the modified diffusion chamber is highly suitable for experimental biologists who demand high flexibility, detailed insight into oxygen binding as well as experimental and biological accuracy combined in a single setup.</t>
  </si>
  <si>
    <t>[Oellermann, Michael; Poertner, Hans-O.; Mark, Felix C.] Alfred Wegener Inst Polar &amp; Marine Res, D-27570 Bremerhaven, Germany</t>
  </si>
  <si>
    <t>Mark, FC (corresponding author), Alfred Wegener Inst Polar &amp; Marine Res, D-27570 Bremerhaven, Germany.</t>
  </si>
  <si>
    <t>FMark@awi.de</t>
  </si>
  <si>
    <t>Pörtner, Hans-O./K-9429-2016; Oellermann, Michael/AAE-7962-2020; Mark, Felix Christopher/P-4759-2016; Pörtner, Hans-O./ISU-9397-2023</t>
  </si>
  <si>
    <t>Pörtner, Hans-O./0000-0001-6535-6575; Oellermann, Michael/0000-0001-5392-6737; Mark, Felix Christopher/0000-0002-5586-6704;</t>
  </si>
  <si>
    <t>Journal of Experimental Biology travelling fellowship; German Academic Exchange Service (DAAD) [D/11/43882]; Deutsche Forschungsgemeinschaft [MA4271/1-2]; Alfred Wegener Institute for Polar and Marine Research</t>
  </si>
  <si>
    <t>Journal of Experimental Biology travelling fellowship; German Academic Exchange Service (DAAD)(Deutscher Akademischer Austausch Dienst (DAAD)); Deutsche Forschungsgemeinschaft(German Research Foundation (DFG)); Alfred Wegener Institute for Polar and Marine Research</t>
  </si>
  <si>
    <t>This study was supported by a Journal of Experimental Biology travelling fellowship, a PhD scholarship by the German Academic Exchange Service (DAAD, D/11/43882) to M.O., the Deutsche Forschungsgemeinschaft (MA4271/1-2 to F.C.M.) and the Alfred Wegener Institute for Polar and Marine Research.</t>
  </si>
  <si>
    <t>10.1242/jeb.092726</t>
  </si>
  <si>
    <t>AG7FK</t>
  </si>
  <si>
    <t>WOS:000335583500010</t>
  </si>
  <si>
    <t>Constantine, R; Steel, D; Allen, J; Anderson, M; Andrews, O; Baker, C; Beeman, P; Burns, D; Charrassin, JB; Childerhouse, S; Double, M; Ensor, P; Franklin, T; Franklin, W; Gales, N; Garrigue, C; Gibbs, N; Harrison, P; Hauser, N; Hutsel, A; Jenner, C; Jenner, MN; Kaufman, G; Macie, A; Mattila, D; Olavarría, C; Oosterman, A; Paton, D; Poole, M; Robbins, J; Schmitt, N; Stevick, P; Tagarino, A; Thompson, K; Ward, J</t>
  </si>
  <si>
    <t>Constantine, Rochelle; Steel, Debbie; Allen, Judy; Anderson, Megan; Andrews, Olive; Baker, C. Scott; Beeman, Peta; Burns, Daniel; Charrassin, Jean-BenoIt; Childerhouse, Simon; Double, Michael; Ensor, Paul; Franklin, Trish; Franklin, Wally; Gales, Nick; Garrigue, Claire; Gibbs, Nadine; Harrison, Peter; Hauser, Nan; Hutsel, Amanda; Jenner, Curt; Jenner, Micheline-Nicole; Kaufman, Greg; Macie, Anne; Mattila, David; Olavarria, Carlos; Oosterman, Adrian; Paton, David; Poole, Michael; Robbins, Jooke; Schmitt, Natalie; Stevick, Peter; Tagarino, Alden; Thompson, Kirsten; Ward, Juney</t>
  </si>
  <si>
    <t>Remote Antarctic feeding ground important for east Australian humpback whales</t>
  </si>
  <si>
    <t>MICROSATELLITE LOCI; MEGAPTERA-NOVAEANGLIAE; SEA; ABUNDANCE; WATERS; MOVEMENTS; COAST</t>
  </si>
  <si>
    <t>Understanding the dynamics of population recovery is particularly complex when an organism has multiple, remote breeding and feeding grounds separated by one of the longest known migration routes. This study reports on the most comprehensive assessment of humpback whale (Megaptera novaeangliae) movements between remote Antarctic waters south of New Zealand and east Australia (EA), and the migratory corridors and breeding grounds of Australia and Oceania. A total of 112 individual whales were identified; 57 from microsatellites and 61 by fluke with 23 % (n = 26) matched to sites outside Antarctica. Despite large datasets from other southern regions being included in the comparison, the whales were predominantly linked to EA (n = 24). Only two matches to the Oceania catalogues directly north was surprising; therefore the primary feeding grounds of these endangered whales still remain unknown. The confirmation of the Balleny Islands as an important feeding ground for EA whales could provide an insight into reasons behind the rapid recovery of this population. Determining the feeding grounds of Oceania's whales may explain whether prey energetics or migration length are limiting factors to their recovery and will allow an understanding of future ecosystem changes in these whales.</t>
  </si>
  <si>
    <t>[Constantine, Rochelle; Baker, C. Scott; Thompson, Kirsten] Univ Auckland, Sch Biol Sci, Private Bag 92019, Auckland 1142, New Zealand; [Steel, Debbie; Baker, C. Scott] Oregon State Univ, Marine Mammal Inst, Newport, OR 97365 USA; [Allen, Judy; Stevick, Peter] Antarctic Humpback Whale Catalogue, Coll Atlantic, Bar Harbor, ME USA; [Anderson, Megan; Beeman, Peta; Burns, Daniel; Franklin, Trish; Franklin, Wally; Harrison, Peter] So Cross Univ, Whale Res Ctr, Lismore, NSW 2480, Australia; [Andrews, Olive] Whales Alive, Byron Bay, NSW 2481, Australia; [Burns, Daniel; Childerhouse, Simon; Paton, David] Blue Planet Marine, Jamison Ctr, Canberra, ACT 2614, Australia; [Charrassin, Jean-BenoIt] Auat Museum Natl Hist Nat, Dept Milieux &amp; Peuplement, F-75231 Paris, France; [Childerhouse, Simon; Double, Michael; Gales, Nick; Schmitt, Natalie] Australian Marine Mammal Ctr, Australian Antarctic Div, Kingston, Tas 7050, Australia; [Ensor, Paul] Governors Bay, Lyttelton 8971, New Zealand; [Franklin, Trish; Franklin, Wally] Oceania Project, Byron Bay, NSW, Australia; [Garrigue, Claire] Operat Cetaces, Noumea 98802, New Caledonia; [Gibbs, Nadine] Dept Conservat, Wellington, New Zealand; [Hauser, Nan] Cook Isl Whale Res, Avarua, Rarotonga, Cook Islands; [Hutsel, Amanda; Kaufman, Greg; Macie, Anne] Pacific Whale Fdn, Wailuku, HI 96793 USA; [Jenner, Curt; Jenner, Micheline-Nicole] Ctr Whale Res Western Australia, Fremantle, WA, Australia; [Mattila, David] Hawaiian Isl Humpback Whale Natl Marine Sanctuary, Kihei, HI 96753 USA; [Olavarria, Carlos] Fdn CEQUA, Punta Arenas 061, Chile; [Oosterman, Adrian] Norfolk Isl Whale Survey, Scarborough, Qld, Australia; [Poole, Michael] Marine Mammal Res Program, F-98728 Maharepa, Moorea, France; [Robbins, Jooke] Provincetown Ctr Coastal Studies, Provincetown, MA 02657 USA; [Tagarino, Alden] Dept Marine &amp; Wildlife Resources, Pago Pago 96799, AS USA; [Ward, Juney] Govt Samoa, Minist Nat Resources &amp; Environm, Apia, Samoa</t>
  </si>
  <si>
    <t>University of Auckland; Oregon State University; Southern Cross University; Museum National d'Histoire Naturelle (MNHN); Australian Antarctic Division; National Oceanic Atmospheric Admin (NOAA) - USA</t>
  </si>
  <si>
    <t>Constantine, R (corresponding author), Univ Auckland, Sch Biol Sci, Private Bag 92019, Auckland 1142, New Zealand.</t>
  </si>
  <si>
    <t>r.constantine@auckland.ac.nz</t>
  </si>
  <si>
    <t>Thompson, Kirsten Freja/N-4936-2019; Franklin, Wally/L-7504-2019; Franklin, Trish/L-7513-2019; Harrison, Peter/B-4763-2011; garrigue, claire/I-4704-2016</t>
  </si>
  <si>
    <t>Thompson, Kirsten Freja/0000-0003-4277-3549; Franklin, Wally/0000-0003-3268-6775; Franklin, Trish/0000-0002-3253-4053; Constantine, Rochelle/0000-0003-3260-539X; Robbins, Jooke/0000-0002-6382-722X; Burns, Daniel/0000-0002-2487-535X; Harrison, Peter/0000-0002-4048-2409; garrigue, claire/0000-0002-8117-3370; Steel, Debbie/0000-0001-5898-2850</t>
  </si>
  <si>
    <t>Australian Government; New Zealand Government; French Government; IPEV</t>
  </si>
  <si>
    <t>Australian Government(Australian Government); New Zealand Government; French Government; IPEV</t>
  </si>
  <si>
    <t>The Australian and New Zealand Governments funded the AWE with the Australian Antarctic Division and National Institute for Water and Atmospheric Research providing excellent logistical support. CETA is funded by the French Government and IPEV. Thank you to the numerous funding agencies and contributors supporting the datasets that allowed this collaboration. Also, thanks to the reviewers who provided helpful comments that improved this paper. Data were collected in accordance with animal ethics and permit requirements.</t>
  </si>
  <si>
    <t>10.1007/s00227-014-2401-2</t>
  </si>
  <si>
    <t>AF7ZW</t>
  </si>
  <si>
    <t>WOS:000334935500011</t>
  </si>
  <si>
    <t>Mieth, M; Jacobs, J; Ruppel, A; Damaske, D; Läufer, A; Jokat, W</t>
  </si>
  <si>
    <t>Mieth, Matthias; Jacobs, Joachim; Ruppel, Antonia; Damaske, Detlef; Laeufer, Andreas; Jokat, Wilfried</t>
  </si>
  <si>
    <t>New detailed aeromagnetic and geological data of eastern Dronning Maud Land: Implications for refining the tectonic and structural framework of Sor Rondane, East Antarctica</t>
  </si>
  <si>
    <t>Aeromagnetics; Magnetic susceptibility; Gondwana assembly; Tectonics; Sor Rondane Mountains; Dronning Maud Land</t>
  </si>
  <si>
    <t>GRENVILLE-AGE; MOUNTAINS; GONDWANA; EVOLUTION; EVENTS; METAMORPHISM; PROVINCES; IMPRINTS; MONAZITE; ZIRCON</t>
  </si>
  <si>
    <t>The Sor Rondane Mountains (SRM) in eastern Dronning Maud land (DML) are located in an area, where two apparent Pan-African (650-520 Ma) orogenic mobile belts appear to intersect, the East African-Antarctic Orogen and the Kuunga Orogen. Hence, a better understanding of the tectonic structure of the Sor Rondane region is an important key for unravelling the complex geodynamic evolution of the eastern DML and adjacent regions of East Antarctica during the Late Neoproterozoic/Early Palaeozoic amalgamation of Gondwana. The SRM were recently (2011-2012) aerogeophysically investigated with a 5 km flight line spacing, covering a total area of similar to 140,000 km(2). The aeromagnetic data are correlated with ground-based magnetic susceptibility measurements and geological field data and allow to project tectonic terranes and individual structures into ice-covered areas. Magnetic anomalies and basement foliation trends are collinear in areas dominated by simple shear deformation, whereas an area of largescale refolding correlates with a subdued small-scale broken magnetic anomaly pattern. The latter area can be regarded as a distinct tectonic domain, the central Sor Rondane corridor. It magnetically separates the SRM into an eastern, a central, and a western portion. This subdivision is presumably related to late Pan-African extensional tectonics and suggests that such a tectonic regime may play a larger role than previously assumed. Voluminous late Pan-African granitoids, which are mainly undeformed, correlate with positive magnetic anomalies between +30 and +80 nT, while a strong magnetic high (+680 nT) near the granitic intrusion at Dufekfjellet is caused by a highly magnetised enigmatic body. The recently discovered prominent magnetic anomaly province of southeastern DML continues into the southern part of the Sor Rondane region, where only a few outcrops are exposed. Findings at these westernmost nunataks of the SRM indicate that the subdued magnetic anomaly pattern of this southeastern DML province is most likely caused by the predominance of metasedimentary rocks of yet unknown age. (C) 2014 Elsevier B.V. All rights reserved.</t>
  </si>
  <si>
    <t>[Mieth, Matthias; Jokat, Wilfried] Helmholtz Zentrum Polar &amp; Meeresforsch AWI, Alfred Wegener Inst, D-27568 Bremerhaven, Germany; [Jacobs, Joachim] Univ Bergen, Dept Earth Sci, N-5007 Bergen, Norway; [Ruppel, Antonia; Damaske, Detlef; Laeufer, Andreas] Fed Inst Geosci &amp; Nat Resources BGR, D-30655 Hannover, Germany</t>
  </si>
  <si>
    <t>Helmholtz Association; Alfred Wegener Institute, Helmholtz Centre for Polar &amp; Marine Research; University of Bergen</t>
  </si>
  <si>
    <t>Mieth, M (corresponding author), Helmholtz Zentrum Polar &amp; Meeresforsch AWI, Alfred Wegener Inst, Columbusstr, D-27568 Bremerhaven, Germany.</t>
  </si>
  <si>
    <t>Matthias.Mieth@awi.de</t>
  </si>
  <si>
    <t>Läufer, Andreas/ABC-1465-2020</t>
  </si>
  <si>
    <t>Läufer, Andreas/0000-0003-2219-0450; Ruppel, Antonia/0000-0001-5101-411X; Jokat, Wilfried/0000-0002-7793-5854</t>
  </si>
  <si>
    <t>NFR-NARE; Meltzer Fund; Deutsche Forschungsgemeinschaft [LA1080/9]</t>
  </si>
  <si>
    <t>NFR-NARE; Meltzer Fund; Deutsche Forschungsgemeinschaft(German Research Foundation (DFG))</t>
  </si>
  <si>
    <t>Land for logistic support Particularly, we would like to express our thanks to Alain Hubert and his team at the Belgian Princess Elisabeth station for the wonderful time there and support in the field. Many thanks go also to the crew of Sky Heli, Germany, who took the geological party safely to the field and back to the station. Last-not-least, we wish to thank the entire expedition team for cooperative fieldwork and stimulating discussions. J. Jacobs is indebted to BGR for the invitation to participate at GEAI and II and to AWI for providing polar clothing; support from NFR-NARE, and the Meltzer Fund during a research visit at AWI are gratefully acknowledged. This study was partly supported by the Deutsche Forschungsgemeinschaft (Grant LA1080/9 to A. Laufer) in the framework of the priority programme Antarctic Research with comparative investigations in Arctic ice areas.</t>
  </si>
  <si>
    <t>10.1016/j.precamres.2014.02.009</t>
  </si>
  <si>
    <t>AG0LM</t>
  </si>
  <si>
    <t>WOS:000335107000011</t>
  </si>
  <si>
    <t>Andersen, T</t>
  </si>
  <si>
    <t>Andersen, Tom</t>
  </si>
  <si>
    <t>The detrital zircon record: Supercontinents, parallel evolution Or coincidence?</t>
  </si>
  <si>
    <t>Detrital zircon; U-Pb; Lu-Hf; Continental evolution; Supercontinents</t>
  </si>
  <si>
    <t>PB ISOTOPE SYSTEMATICS; HF-ISOTOPE; U-PB; LU-HF; CRUSTAL EVOLUTION; CONTINENTAL-CRUST; SEDIMENTARY PROVENANCE; ANTARCTIC PROVENANCE; SOURCE CONSTRAINTS; SM-ND</t>
  </si>
  <si>
    <t>The interpretation of detrital zircon data is facing some important and potentially damaging inconsistencies that are commonly overlooked: combined U-Pb and Lu-Hf data from detrital zircon in sedimentary rocks have been used successfully to study global processes such as the extraction, growth and preservation of continental crust, suggesting generally similar patterns of evolution in different continents. Yet at the same time, such data are increasingly used to identify the source-rocks of individual clastic deposits, based on the implicit assumption that material from different source terranes carry distinct provenance signatures. For example, Precambrian detrital zircon age-fractions from late Mesoproterozoic to Recent sediments in Laurentia show patterns of U-Pb ages and initial Hf isotope composition indistinguishable from that of zircon from granitoids in Fennoscandia. This is perhaps not too surprising, as Fennoscandia and Laurentia have been near neighbours in three supercontinents (Nuna, Rodinia, Pangea). Transport and homogenization of clastic material in intracontinental basins and along a common continental margin would smooth out differences, and the two neighbouring continents may have closely parallel histories of internal growth. A stronger reason for concern is that Precambrian age fractions in detrital zircon suites from areas as distant as Australia and South Africa also show distribution patterns that cannot be distinguished with confidence from sources in Fennoscandia. These continents have not been near neighbours in post-Archaean supercontinents. Since exchange of detritus between such distant blocks is improbable, one is left with the alternative explanations of pronounced parallel evolution (perhaps related to the assembly of supercontinents in the geological past), or pure coincidence. Whatever the explanation: exchange, parallelism or coincidence, observations such as these challenge the main assumptions underlying the use of zircon as an indicator of sedimentary provenance: That a given age and initial Hf isotopic pattern of a population of detrital zircons can be unequivocally related to a specific first-generation source. (C) 2013 Elsevier B.V. All rights reserved.</t>
  </si>
  <si>
    <t>Univ Oslo, Dept Geosci, POB 1047 Blindern, N-0316 Oslo, Norway</t>
  </si>
  <si>
    <t>Andersen, T (corresponding author), Univ Oslo, Dept Geosci, POB 1047 Blindern, N-0316 Oslo, Norway.</t>
  </si>
  <si>
    <t>tom.andersen@geo.uio.no</t>
  </si>
  <si>
    <t>University of Oslo through the Smaforsk program of the Department of Geosciences</t>
  </si>
  <si>
    <t>Analytical work has been funded by the University of Oslo through the Smaforsk program of the Department of Geosciences. Thanks are due to Johan Petter Nystuen, Henning Dypvik, Torkil Rohr, Jarkko Lamminen and Magnus Kristoffersen for many thought-provoking discussions on the inner life of detrital zircons, and to Siri Simonsen, whose assistance in the lab has been vital for the establishment of the Fennoscandia database. The data compilation for this review was done during a visit to the Geology Division, SAEES, University of KwaZulu-Natal, Durban, South Africa. Thanks to Marlina Elburg, Mike Watkeys and their colleagues for hospitality, support and discussions. This is contribution no. 34 from the Isotope Geology Laboratory at the Department of Geosciences, University of Oslo. The manuscript has benefited from critical comments of two anonymous reviewers.</t>
  </si>
  <si>
    <t>10.1016/j.precamres.2013.10.013</t>
  </si>
  <si>
    <t>AG0LL</t>
  </si>
  <si>
    <t>WOS:000335106900018</t>
  </si>
  <si>
    <t>Choi, KS; Cha, YM; Kang, SD; Kim, HD; Kim, BJ</t>
  </si>
  <si>
    <t>Choi, Ki-Seon; Cha, Yu-Mi; Kang, Sung-Dae; Kim, Hae-Dong; Kim, Baek-Jo</t>
  </si>
  <si>
    <t>Influence of the Arctic Oscillation on the TC activity around Taiwan</t>
  </si>
  <si>
    <t>THEORETICAL AND APPLIED CLIMATOLOGY</t>
  </si>
  <si>
    <t>WESTERN NORTH PACIFIC; TROPICAL CYCLONE ACTIVITY; ANTARCTIC OSCILLATION; EXTRATROPICAL CIRCULATION; INTERANNUAL VARIABILITY; ANNULAR MODES; CLIMATE</t>
  </si>
  <si>
    <t>This study discovered that strong positive correlations exist between the frequency of tropical cyclones (TC) during the summer around Taiwan and the Arctic Oscillation (AO) during the preceding March to May period. In positive AO years, during the preceding spring to summer period, anomalous cyclone and anomalous anticyclone were strongly developed at low and middle latitudes, respectively. Because of such a distribution of pressure system, in Taiwan, Korea, and Japan during the positive AO years, anomalous southeasterlies, which play the role of anomalous steering flows in transferring TCs to these regions, were strengthened. On the other hand, in southern China and the Indochina Peninsula during the positive AO years, anomalous northwesterlies, which prevent the transfer of TCs to these regions, were strengthened. Moreover, such a distribution of pressure system strengthening during the positive AO years led TCs to occur, move, and recurve more eastward in the western North Pacific in positive AO years as compared with the negative AO years. Contrarily, during the negative AO years, TCs showed the tendency to pass over the South China Sea from the Philippines and move west toward southern China and the Indochina Peninsula. Eventually, the intensity of TCs in these years was lower than that of TCs in positive AO years due to the topographic effects from a high TC passage frequency in mainland China.</t>
  </si>
  <si>
    <t>[Choi, Ki-Seon; Cha, Yu-Mi; Kang, Sung-Dae] Korea Meteorol Adm, Natl Typhoon Ctr, Seoul, South Korea; [Kim, Hae-Dong] Keimyung Univ, Dept Environm Conservat, Taegu, South Korea; [Kim, Baek-Jo] Natl Inst Meteorol Res, Seoul, South Korea; [Kim, Hae-Dong] Keimyung Univ, Dept Environm Conservat, Taegu, South Korea</t>
  </si>
  <si>
    <t>Korea Meteorological Administration (KMA); Keimyung University; Keimyung University</t>
  </si>
  <si>
    <t>Kim, HD (corresponding author), Keimyung Univ, Dept Environm Conservat, Taegu, South Korea.</t>
  </si>
  <si>
    <t>khd@kmu.ac.kr</t>
  </si>
  <si>
    <t>SPRINGER WIEN</t>
  </si>
  <si>
    <t>WIEN</t>
  </si>
  <si>
    <t>SACHSENPLATZ 4-6, PO BOX 89, A-1201 WIEN, AUSTRIA</t>
  </si>
  <si>
    <t>0177-798X</t>
  </si>
  <si>
    <t>1434-4483</t>
  </si>
  <si>
    <t>THEOR APPL CLIMATOL</t>
  </si>
  <si>
    <t>Theor. Appl. Climatol.</t>
  </si>
  <si>
    <t>3-4</t>
  </si>
  <si>
    <t>10.1007/s00704-013-0983-0</t>
  </si>
  <si>
    <t>AG1CL</t>
  </si>
  <si>
    <t>WOS:000335152500024</t>
  </si>
  <si>
    <t>Li, YC; Xu, YF</t>
  </si>
  <si>
    <t>Li Yangchun; Xu Yongfu</t>
  </si>
  <si>
    <t>Formation and transport of intermediate water masses in a model of the Pacific Ocean</t>
  </si>
  <si>
    <t>intermediate water mass; Okhotsk Sea; isopycnal diffusivity; interior restoration</t>
  </si>
  <si>
    <t>GENERAL-CIRCULATION MODEL; TRACER TRANSPORTS; SIMULATED DISTRIBUTIONS; OKHOTSK SEA; PARAMETERIZATIONS; SENSITIVITY; MECHANISM; C-14</t>
  </si>
  <si>
    <t>A basin-wide ocean general circulation model of the Pacific Ocean was used to investigate how the interior restoration in the Okhotsk Sea and the isopycnal diffusion affect the circulation and intermediate water masses. Four numerical experiments were conducted, including a run with the same isopycnal and thickness diffusivity of 1.0x10(3) m(2)/s, a run employing the interior restoration of temperature and salinity in the Okhotsk Sea with a time scale of 3 months, a run that is the same as the first run except for the enhanced isopycnal mixing, and a final run with the combination of the restoration in the Okhotsk Sea and large isopycnal diffusivity. Simulated results show that the intermediate water masses reproduced in the first run are relatively weak. An increase in isopycnal diffusivity can improve the simulation of both Antarctic and North Pacific intermediate waters, mainly increasing the transport in the interior ocean, but inhibiting the outflow from the Okhotsk Sea. The interior restoration generates the reverse current from the observation in the Okhotsk Sea, whereas the simulation of the temperature and salinity is improved in the high latitude region of the Northern Hemisphere because of the reasonable source of the North Pacific Intermediate Water. A comparison of vertical profiles of temperature and salinity along 50 degrees N between the simulation and observations demonstrates that the vertical mixing in the source region of intermediate water masses is very important.</t>
  </si>
  <si>
    <t>[Li Yangchun; Xu Yongfu] Chinese Acad Sci, Inst Atmospher Phys, State Key Lab Atmospher Boundary Layer Phys &amp; Atm, Beijing 100029, Peoples R China</t>
  </si>
  <si>
    <t>Chinese Academy of Sciences; Institute of Atmospheric Physics, CAS</t>
  </si>
  <si>
    <t>Xu, YF (corresponding author), Chinese Acad Sci, Inst Atmospher Phys, State Key Lab Atmospher Boundary Layer Phys &amp; Atm, Beijing 100029, Peoples R China.</t>
  </si>
  <si>
    <t>xyf@mail.iap.ac.cn</t>
  </si>
  <si>
    <t>Li, Yangchun/AAG-7858-2020</t>
  </si>
  <si>
    <t>National Basic Research Program (973 program) of China [2010CB951802]; National Natural Science Foundation of China [41075091, 41105087, 40730106]</t>
  </si>
  <si>
    <t>National Basic Research Program (973 program) of China(National Basic Research Program of China); National Natural Science Foundation of China(National Natural Science Foundation of China (NSFC))</t>
  </si>
  <si>
    <t>Foundation item: The National Basic Research Program (973 program) of China under contract No. 2010CB951802; the National Natural Science Foundation of China under contract Nos 41075091, 41105087 and 40730106.</t>
  </si>
  <si>
    <t>10.1007/s13131-014-0480-z</t>
  </si>
  <si>
    <t>AF7MV</t>
  </si>
  <si>
    <t>WOS:000334900100002</t>
  </si>
  <si>
    <t>McColl, KA; Cooke, BD; Sunarto, A</t>
  </si>
  <si>
    <t>McColl, Kenneth A.; Cooke, Brian D.; Sunarto, Agus</t>
  </si>
  <si>
    <t>Viral biocontrol of invasive vertebrates: Lessons from the past applied to cyprinid herpesvirus-3 and carp (Cyprinus carpio) control in Australia</t>
  </si>
  <si>
    <t>BIOLOGICAL CONTROL</t>
  </si>
  <si>
    <t>Biological control; Vertebrate pests; Cyprinid herpesvirus-3; Feline panleukopenia; Myxomatosis; Rabbit hemorrhagic disease</t>
  </si>
  <si>
    <t>RABBIT HEMORRHAGIC-DISEASE; KOI HERPESVIRUS; COMMON CARP; CARASSIUS-AURATUS; ORYCTOLAGUS-CUNICULUS; BIOLOGICAL-CONTROL; HEMATOPOIETIC NECROSIS; LETHAL DISEASE; MYXOMA VIRUS; FERAL CATS</t>
  </si>
  <si>
    <t>This paper reviews successful and, briefly, unsuccessful viral biocontrol programs for invasive vertebrate pests to provide lessons for future programs, especially the potential use of cyprinid herpesvirus-3 to control carp in Australia. There have only been three major programs where viral pathogens have been used successfully against invasive vertebrate pests. Myxoma and rabbit hemorrhagic disease viruses were used to control rabbits in Australia, and feline panleukopenia virus helped eliminate cats from sub-Antarctic Marion Island. These programs have shown us that successful viral biocontrol programs for invasive species must include: a thorough understanding of the biology of the target species, and of the viral epidemiology; an integrated pest management program involving both the virus and other control methods; and, a post-release assessment of the ecological benefits of the program. The most important practical lessons identified in this review are: the greatest impact of viruses as biocontrol agents is in the first years following release; unsuspected cross-reactive viruses may confer protection on the target species; and, there may be age-or temperature-related resistance to the virus in the target species. Crown Copyright (C) 2014 Published by Elsevier Inc. All rights reserved.</t>
  </si>
  <si>
    <t>[McColl, Kenneth A.; Sunarto, Agus] CSIRO, Australian Anim Hlth Lab, Geelong, Vic 3220, Australia; [Cooke, Brian D.] Univ Canberra, Inst Appl Ecol, Canberra, ACT 2617, Australia</t>
  </si>
  <si>
    <t>Commonwealth Scientific &amp; Industrial Research Organisation (CSIRO); University of Canberra</t>
  </si>
  <si>
    <t>McColl, KA (corresponding author), CSIRO, Australian Anim Hlth Lab, PO Bag 24, Geelong, Vic 3220, Australia.</t>
  </si>
  <si>
    <t>Kenneth.mccoll@csiro.au; brian.cooke@canberra.edu.au; agus.sunarto@csiro.au</t>
  </si>
  <si>
    <t>Sunarto, Agus/AAO-1228-2020; Sunarto, Agus/H-3471-2013</t>
  </si>
  <si>
    <t>Sunarto, Agus/0000-0001-8845-1006; Cooke, Brian/0000-0001-7430-1824</t>
  </si>
  <si>
    <t>Invasive Animals Cooperative Research Centre (IA-CRC)</t>
  </si>
  <si>
    <t>Invasive Animals Cooperative Research Centre (IA-CRC)(Australian GovernmentDepartment of Industry, Innovation and ScienceCooperative Research Centres (CRC) Programme)</t>
  </si>
  <si>
    <t>We wish to thank the Invasive Animals Cooperative Research Centre (IA-CRC) for partially funding an investigation of CyHV-3 as a potential biocontrol agent of carp in Australia. We also thank Wayne Fulton (who drove the initial development of a national carp control program), Dr. Dean Gilligan (for valuable comments on the manuscript) and Kylie Hall (all of the IA-CRC), and Dr. Mark Crane (AAHL Fish Diseases Lab) for their support. Dr. Harvey Westbury, formerly at AAHL, and a valued mentor to KMcC, made an unwitting intellectual contribution to the CyHV-3 work through his dedicated work on RHD. Space constraints precluded citation of all relevant literature.</t>
  </si>
  <si>
    <t>1049-9644</t>
  </si>
  <si>
    <t>1090-2112</t>
  </si>
  <si>
    <t>BIOL CONTROL</t>
  </si>
  <si>
    <t>Biol. Control</t>
  </si>
  <si>
    <t>10.1016/j.biocontrol.2014.02.014</t>
  </si>
  <si>
    <t>Biotechnology &amp; Applied Microbiology; Entomology</t>
  </si>
  <si>
    <t>AF6UH</t>
  </si>
  <si>
    <t>WOS:000334849600014</t>
  </si>
  <si>
    <t>Albrecht, T; Levermann, A</t>
  </si>
  <si>
    <t>Albrecht, Torsten; Levermann, Anders</t>
  </si>
  <si>
    <t>Spontaneous ice-front retreat caused by disintegration of adjacent ice shelf in Antarctica</t>
  </si>
  <si>
    <t>Antarctica; Larsen Ice Shelf; glaciology; numerical ice modeling; sea level; iceberg calving</t>
  </si>
  <si>
    <t>SEA-LEVEL RISE; SURFACE MASS-BALANCE; CLIMATE MODEL; SHEET; STABILITY; PENINSULA; PATTERNS; COLLAPSE; TRENDS; LAW</t>
  </si>
  <si>
    <t>Antarctic ice-discharge constitutes the largest uncertainty in future sea-level projections. Floating ice shelves, fringing most of Antarctica, exert retentive forces onto the ice flow. While abrupt ice-shelf retreat has been observed, it is generally considered a localized phenomenon. Here we show that the disintegration of an ice shelf may induce the spontaneous retreat of its neighbor. As an example, we reproduce the spontaneous but gradual retreat of the Larsen B ice front as observed after the disintegration of the adjacent Larsen A ice shelf. We show that the Larsen A collapse yields a change in spreading rate in Larsen B via their connecting ice channels and thereby causes a retreat of the ice front to its observed position of the year 2000, prior to its collapse. This mechanism might be particularly relevant for the role of East Antarctica and the Antarctic Peninsula in future sea level. (C) 2014 Elsevier B.V. All rights reserved.</t>
  </si>
  <si>
    <t>[Albrecht, Torsten; Levermann, Anders] Potsdam Inst Climate Impact Res, Potsdam, Germany; [Albrecht, Torsten; Levermann, Anders] Univ Potsdam, Inst Phys &amp; Astron, Potsdam, Germany</t>
  </si>
  <si>
    <t>Potsdam Institut fur Klimafolgenforschung; University of Potsdam</t>
  </si>
  <si>
    <t>Albrecht, T (corresponding author), Potsdam Inst Climate Impact Res PIK, Potsdam, Germany.</t>
  </si>
  <si>
    <t>torsten.albrecht@pik-potsdam.de</t>
  </si>
  <si>
    <t>Levermann, Anders/G-4666-2011; albrecht, torsten/J-8259-2019</t>
  </si>
  <si>
    <t>Levermann, Anders/0000-0003-4432-4704; albrecht, torsten/0000-0001-7459-2860</t>
  </si>
  <si>
    <t>NASA [NNX09AJ38C, NNX13AM16G, NNX13AK27G]; German National Merit Foundation (Studienstiftung des deutschen Volkes)</t>
  </si>
  <si>
    <t>NASA(National Aeronautics &amp; Space Administration (NASA)); German National Merit Foundation (Studienstiftung des deutschen Volkes)</t>
  </si>
  <si>
    <t>Model development at the University of Alaska, Fairbanks, USA was supported by the NASA grants NNX09AJ38C, NNX13AM16G, and NNX13AK27G. T.A. was funded by the German National Merit Foundation (Studienstiftung des deutschen Volkes).</t>
  </si>
  <si>
    <t>10.1016/j.epsl.2014.02.034</t>
  </si>
  <si>
    <t>AG0KG</t>
  </si>
  <si>
    <t>WOS:000335103800004</t>
  </si>
  <si>
    <t>Moussallam, Y; Oppenheimer, C; Scaillet, B; Gaillard, F; Kyle, P; Peters, N; Hartley, M; Berlo, K; Donovan, A</t>
  </si>
  <si>
    <t>Moussallam, Yves; Oppenheimer, Clive; Scaillet, Bruno; Gaillard, Fabrice; Kyle, Philip; Peters, Nial; Hartley, Margaret; Berlo, Kim; Donovan, Amy</t>
  </si>
  <si>
    <t>Tracking the changing oxidation state of Erebus magmas, from mantle to surface, driven by magma ascent and degassing</t>
  </si>
  <si>
    <t>oxygen fugacity; sulfur; degassing; XANES; melt inclusions; CO2</t>
  </si>
  <si>
    <t>OXYGEN FUGACITY; SILICATE LIQUIDS; SULFUR; EVOLUTION; EMISSIONS; ERUPTIONS; VOLCANO; HISTORY; GLASSES; MELTS</t>
  </si>
  <si>
    <t>The conventional view holds that the oxidation state of a mantle-derived degassed magma reflects its source. During magma ascent and degassing the oxidation state is thought to follow a redox buffer. While this view has been challenged by petrological data, geochemical models and volcanic gas measurements, the fingerprints of such redox changes and their driving forces have not hitherto been captured by an integrated study. Here, we track the redox evolution of an alkaline magmatic suite at Erebus volcano, Antarctica, from the mantle to the surface, using X-ray absorption near-edge structure (XANES) spectroscopy at the iron and sulphur K-edges. We find that strong reduction of Fe and S dissolved in the melt accompanies magma ascent. Using a model of gas-melt chemical equilibria, we show that sulphur degassing is the driving force behind this evolutionary trend, which spans a wide compositional and depth range. Our results explain puzzling shifts in the oxidation state of gases emitted from Erebus volcano, and indicate that, where sulphur degassing occurs, the oxidation states of degassed volcanic rocks may not reflect their mantle source or co-eruptive gas phase. This calls for caution when inferring the oxidation state of the upper mantle from extrusive rocks and a possible re-assessment of the contribution of volcanic degassing to the early Earth's atmosphere and oceans. The relationship between magma redox conditions and pressure (depth) emphasises the value of measuring redox couples in gases emitted from volcanoes for the purposes of operational forecasting. (C) 2014 Elsevier B.V. All rights reserved.</t>
  </si>
  <si>
    <t>[Moussallam, Yves; Oppenheimer, Clive; Peters, Nial; Donovan, Amy] Univ Cambridge, Dept Geog, Cambridge CB2 3EN, England; [Scaillet, Bruno; Gaillard, Fabrice] CNRS Univ Orleans BRGM, UMR 7327, ISTO, F-45071 Orleans 2, France; [Kyle, Philip] New Mexico Inst Min &amp; Technol, Dept Earth &amp; Environm Sci, Socorro, NM 87801 USA; [Hartley, Margaret] Univ Cambridge, Dept Earth Sci, Cambridge CB2 3EQ, England; [Berlo, Kim] Univ Oxford, Dept Earth Sci, Oxford OX1 3AN, England</t>
  </si>
  <si>
    <t>University of Cambridge; Bureau de Recherches Geologiques et Minieres (BRGM); Centre National de la Recherche Scientifique (CNRS); Universite de Orleans; New Mexico Institute of Mining Technology; University of Cambridge; University of Oxford</t>
  </si>
  <si>
    <t>Moussallam, Y (corresponding author), Univ Cambridge, Dept Geog, Downing Pl, Cambridge CB2 3EN, England.</t>
  </si>
  <si>
    <t>ym286@cam.ac.uk</t>
  </si>
  <si>
    <t>Scaillet, Bruno/A-5846-2012; Gaillard, Fabrice/H-1308-2012; Hartley, Margaret/HCI-4271-2022; Oppenheimer, Clive/G-9881-2013</t>
  </si>
  <si>
    <t>Hartley, Margaret/0000-0002-2698-8622; Oppenheimer, Clive/0000-0003-4506-7260; Scaillet, Bruno/0000-0003-1561-0226; Peters, Nial/0000-0001-6817-6262; Gaillard, Fabrice/0000-0002-4443-8253</t>
  </si>
  <si>
    <t>University of Cambridge Home and EU Scholarship; Department of Geography, University of Cambridge.; NSF; United States Antarctic Program [ANTI 142083]; European Research Council (ERC) [279790]; Office of Polar Programs (OPP); Directorate For Geosciences [1142083] Funding Source: National Science Foundation</t>
  </si>
  <si>
    <t>University of Cambridge Home and EU Scholarship; Department of Geography, University of Cambridge.(University of Cambridge); NSF(National Science Foundation (NSF)); United States Antarctic Program; European Research Council (ERC)(European Research Council (ERC)Spanish Government); Office of Polar Programs (OPP); Directorate For Geosciences(National Science Foundation (NSF)NSF - Directorate for Geosciences (GEO))</t>
  </si>
  <si>
    <t>This work would not have been possible without the meticulous preparation of the MI samples by Al Eschenbacher while a student at NM Tech. We thank the Diamond Light Source for access to beamline 118 (proposal number SP8219-1) that contributed to the results presented here and Tina Geraki and Konstantin Ignatyev for their help. Y.M. acknowledges support from the University of Cambridge Home and EU Scholarship Scheme and from the Philip Lake and William Vaughan Lewis funds of the Department of Geography, University of Cambridge. C.O. and P.K. acknowledge support from the NSF and United States Antarctic Program (grant ANTI 142083). F.G. acknowledges the European Research Council for funding support (ERC grant number 279790). We are most grateful to the two reviewers of the manuscript, Nicole Metrich and Elizabeth Cottrell, for their insightful comments on the manuscript.</t>
  </si>
  <si>
    <t>10.1016/j.epsl.2014.02.055</t>
  </si>
  <si>
    <t>WOS:000335103800022</t>
  </si>
  <si>
    <t>Karsh, KL; Trull, TW; Sigman, DM; Thompson, PA; Granger, J</t>
  </si>
  <si>
    <t>Karsh, K. L.; Trull, T. W.; Sigman, D. M.; Thompson, P. A.; Granger, J.</t>
  </si>
  <si>
    <t>The contributions of nitrate uptake and efflux to isotope fractionation during algal nitrate assimilation</t>
  </si>
  <si>
    <t>ARTIFICIAL SEAWATER MEDIUM; REDUCTASE-ACTIVITY; THALASSIOSIRA-WEISSFLOGII; INORGANIC NITROGEN; SINKING PARTICLES; OXYGEN ISOTOPES; MARINE DIATOMS; SOUTHERN-OCEAN; NITRITE; TRANSPORT</t>
  </si>
  <si>
    <t>In order to strengthen environmental application of nitrate N and O isotopes, we measured the N and O isotopic fractionation associated with cellular nitrate uptake and efflux in the nitrate-assimilating marine diatom Thalassiosira weissflogii. We isolated nitrate uptake and efflux from nitrate reduction by growing the cells in the presence of tungsten, which substitutes for molybdenum in assimilatory nitrate reductase, yielding an inactive enzyme. After growth on ammonium and then N starvation, cells were exposed to nitrate. Numerical models fit to the evolution of intracellular nitrate concentration and N and O isotopic composition yielded distinct N isotope effects ((15)epsilon) for nitrate uptake and nitrate efflux (2.0 +/- 0.3 parts per thousand and 1.2 +/- 0.4 parts per thousand, respectively). The O isotope effects ((18)epsilon) for nitrate uptake and nitrate efflux were indistinguishable (2.8 +/- 0.6 parts per thousand), yielding a ratio of O to N isotopic fractionation for uptake of 1.4 +/- 0.4 and for efflux of 2.3 +/- 0.9. The (15)epsilon for nitrate uptake can account for at most 40% of the organism-level N isotope effect ((15)epsilon(org)) measured in laboratory studies of T. weissflogii and in the open ocean (typically 5 parts per thousand or greater). This observation supports previous evidence that most isotope fractionation during nitrate assimilation is due to intracellular nitrate reduction, with nitrate efflux allowing the signal to be communicated to the environment. An O to N fractionation ratio ((18)epsilon(org): (15)epsilon(org)) of similar to 1 has been measured for nitrate assimilation in algal cultures and linked to the N and O isotope effects of nitrate reductase. Our results suggest that the ratios of O to N fractionation for both nitrate uptake and efflux may be distinct from a ratio of 1, to a degree that could cause the net (18)epsilon(org): (15)epsilon(org) to rise appreciably above 1 when (15)epsilon(org) is low (e.g., yielding a ratio of 1.1 when (15)epsilon(org) is 5 parts per thousand). However, field and culture studies have consistently measured nearly equivalent fractionation of N and O isotopes in association with low isotope effects, calling for isotopic studies of nitrate transport by other phytoplankton strains. (C) 2013 Elsevier Ltd. All rights reserved.</t>
  </si>
  <si>
    <t>[Karsh, K. L.; Sigman, D. M.] Princeton Univ, Dept Geosci, Princeton, NJ 08544 USA; [Karsh, K. L.; Trull, T. W.] Univ Tasmania, Inst Marine &amp; Antarctic Studies, Hobart, Tas, Australia; [Karsh, K. L.; Trull, T. W.] Univ Tasmania, Antarctic Climate Ecosyst Cooperat Res Ctr, Hobart, Tas 7001, Australia; [Karsh, K. L.; Trull, T. W.; Thompson, P. A.] CSIRO Marine &amp; Atmospher Res, Hobart, Tas 7001, Australia; [Granger, J.] Univ Connecticut, Dept Marine Sci, Groton, CT 06340 USA</t>
  </si>
  <si>
    <t>Princeton University; University of Tasmania; University of Tasmania; Antarctic Climate &amp; Ecosystems Cooperative Research Centre (ACE CRC); Commonwealth Scientific &amp; Industrial Research Organisation (CSIRO); University of Connecticut</t>
  </si>
  <si>
    <t>Karsh, KL (corresponding author), CSIRO Marine &amp; Atmospher Res, GPO Box 1538, Hobart, Tas 7001, Australia.</t>
  </si>
  <si>
    <t>Kristen.Karsh@utas.edu.au</t>
  </si>
  <si>
    <t>Sigman, Daniel M./IYJ-2613-2023; Sigman, Daniel M./A-2649-2008; Trull, Tom W/B-7028-2014; Thompson, Peter/A-2361-2012</t>
  </si>
  <si>
    <t>Sigman, Daniel M./0000-0002-7923-1973; Thompson, Peter/0000-0002-9504-5433</t>
  </si>
  <si>
    <t>University of Tasmania Postgraduate Scholarship; Antarctic Climate &amp; Ecosystems Cooperative Research Centre (ACE CRC); U.S. NSF [OCE-0447570, OPP-0453680]</t>
  </si>
  <si>
    <t>University of Tasmania Postgraduate Scholarship; Antarctic Climate &amp; Ecosystems Cooperative Research Centre (ACE CRC)(Australian GovernmentDepartment of Industry, Innovation and ScienceCooperative Research Centres (CRC) Programme); U.S. NSF(National Science Foundation (NSF))</t>
  </si>
  <si>
    <t>We thank Y. Wang A. Weigand and D. Davies for assistance with isotope analyses and the staff of the CSIRO Algal Culture Facility in Hobart, Australia for providing expert advice and the use of their facilities. We thank Benjamin Brunner and an anonymous reviewer for comments that improved the manuscript significantly. This work was funded by a University of Tasmania Postgraduate Scholarship awarded to K.L.K., the Antarctic Climate &amp; Ecosystems Cooperative Research Centre (ACE CRC) 'Ocean Control of CO2' program, and by U.S. NSF grants OCE-0447570 and OPP-0453680 to D.M.S.</t>
  </si>
  <si>
    <t>10.1016/j.gca.2013.09.030</t>
  </si>
  <si>
    <t>AF6NP</t>
  </si>
  <si>
    <t>WOS:000334832100022</t>
  </si>
  <si>
    <t>Wharton, DA</t>
  </si>
  <si>
    <t>Wharton, David A.</t>
  </si>
  <si>
    <t>Ionic regulation in the Antarctic nematode Panagrolaimus davidi, measured using electron probe X-ray microanalysis</t>
  </si>
  <si>
    <t>JOURNAL OF COMPARATIVE PHYSIOLOGY B-BIOCHEMICAL SYSTEMIC AND ENVIRONMENTAL PHYSIOLOGY</t>
  </si>
  <si>
    <t>Ionic regulation; X-ray microanalysis; Pseudocoelomic fluid; Antarctic; Nematode</t>
  </si>
  <si>
    <t>AIRWAY SURFACE LIQUID; CAENORHABDITIS-ELEGANS; TERRESTRIAL NEMATODES; OSMOREGULATION; PHYSIOLOGY; TOLERANCE</t>
  </si>
  <si>
    <t>The element composition of the pseudocoelomic fluid of the Antarctic nematode Panagrolaimus davidi was analysed by electron probe X-ray microanalysis after absorbing the fluid into Sephadex G-25 beads, and after producing calibration curves by analysing various concentrations of elements of interest absorbed into beads. The nematodes maintain higher concentrations of sodium and potassium in their pseudocoelomic fluid than in the external medium but lower concentrations of magnesium and calcium. When external concentrations of specific ions were elevated there was evidence for the regulation of internal concentrations of sodium, potassium, magnesium and chlorine. The time course of changes in response to exposure to elevated levels of KCl shows an increase in internal concentrations of potassium and chlorine up to 2 h after exposure, followed by a decline. This is consistent with a model of ionic regulation proposed for Caenorhabditis elegans which suggests that high concentrations of ionic osmolytes are replaced by compatible organic osmolytes.</t>
  </si>
  <si>
    <t>Univ Otago, Dept Zool, Dunedin, New Zealand</t>
  </si>
  <si>
    <t>Wharton, DA (corresponding author), Univ Otago, Dept Zool, POB 56, Dunedin, New Zealand.</t>
  </si>
  <si>
    <t>david.wharton@otago.ac.nz</t>
  </si>
  <si>
    <t>Wharton, David/0000-0001-6369-4984</t>
  </si>
  <si>
    <t>University of Otago [ORG 0111-0312]</t>
  </si>
  <si>
    <t>I would like to acknowledge the Otago Centre for Electron Microscopy for access to their facilities, Liz Girvan and Karen Judge for technical assistance and the financial support of an University of Otago Research Grant (ORG 0111-0312).</t>
  </si>
  <si>
    <t>10.1007/s00360-014-0818-z</t>
  </si>
  <si>
    <t>AF1UH</t>
  </si>
  <si>
    <t>WOS:000334498900001</t>
  </si>
  <si>
    <t>Furbino, LE; Godinho, VM; Santiago, IF; Pellizari, FM; Alves, TMA; Zani, CL; Junior, PAS; Romanha, AJ; Carvalho, AGO; Gil, LHVG; Rosa, CA; Minnis, AM; Rosa, LH</t>
  </si>
  <si>
    <t>Furbino, Laura E.; Godinho, Valeria M.; Santiago, Iara F.; Pellizari, Franciane M.; Alves, Tania M. A.; Zani, Carlos L.; Junior, Policarpo A. S.; Romanha, Alvaro J.; Carvalho, Amanda G. O.; Gil, Laura H. V. G.; Rosa, Carlos A.; Minnis, Andrew M.; Rosa, Luiz H.</t>
  </si>
  <si>
    <t>Diversity Patterns, Ecology and Biological Activities of Fungal Communities Associated with the Endemic Macroalgae Across the Antarctic Peninsula</t>
  </si>
  <si>
    <t>MARINE MACROALGAE; GEOMYCES; PENICILLIUM; ASCOMYCETE; DESV.; NOV.</t>
  </si>
  <si>
    <t>We surveyed diversity patterns and engaged in bioprospecting for bioactive compounds of fungi associated with the endemic macroalgae, Monostroma hariotii and Pyropia endiviifolia, in Antarctica. A total of 239 fungal isolates were obtained, which were identified to represent 48 taxa and 18 genera using molecular methods. The fungal communities consisted of endemic, indigenous and cold-adapted cosmopolitan taxa, which displayed high diversity and richness, but low dominance indices. The extracts of endemic and cold-adapted fungi displayed biological activities and may represent sources of promising prototype molecules to develop drugs. Our results suggest that macroalgae along the marine Antarctic Peninsula provide additional niches where fungal taxa can survive and coexist with their host in the extreme conditions. We hypothesise that the dynamics of richness and dominance among endemic, indigenous and cold-adapted cosmopolitan fungal taxa might be used to understand and model the influence of climate change on the maritime Antarctic mycota.</t>
  </si>
  <si>
    <t>[Furbino, Laura E.; Godinho, Valeria M.; Santiago, Iara F.; Rosa, Carlos A.; Rosa, Luiz H.] Univ Fed Minas Gerais, Dept Microbiol, BR-31270901 Belo Horizonte, MG, Brazil; [Pellizari, Franciane M.] Univ Estadual Parana, Lab Ficol &amp; Qualidade Agua Mar, Paranagua, PR, Brazil; [Alves, Tania M. A.; Zani, Carlos L.] Fiocruz MS, Ctr Pesquisas Rene Rachou, Lab Quim Prod Nat, Belo Horizonte, MG, Brazil; [Junior, Policarpo A. S.; Romanha, Alvaro J.] Fiocruz MS, Ctr Pesquisas Rene Rachou, Lab Parasitol Celular &amp; Mol, Belo Horizonte, MG, Brazil; [Romanha, Alvaro J.] Univ Fed Santa Catarina, BR-88040900 Florianopolis, SC, Brazil; [Carvalho, Amanda G. O.; Gil, Laura H. V. G.] Fiocruz MS, Ctr Pesquisas Aggeu Magalhaes, Dept Virol &amp; Terapia Expt, Recife, PE, Brazil; [Carvalho, Amanda G. O.] Univ Fed Pernambuco, Dept Genet, Recife, PE, Brazil; [Minnis, Andrew M.] US Forest Serv, Ctr Forest Mycol Res, No Res Stn, Madison, WI USA</t>
  </si>
  <si>
    <t>Universidade Federal de Minas Gerais; Fundacao Oswaldo Cruz; Fundacao Oswaldo Cruz; Universidade Federal de Santa Catarina (UFSC); Fundacao Oswaldo Cruz; Universidade Federal de Pernambuco; United States Department of Agriculture (USDA); United States Forest Service</t>
  </si>
  <si>
    <t>Rosa, LH (corresponding author), Univ Fed Minas Gerais, Dept Microbiol, POB 486, BR-31270901 Belo Horizonte, MG, Brazil.</t>
  </si>
  <si>
    <t>lhrosa@icb.ufmg.br</t>
  </si>
  <si>
    <t>Alves, Tania Maria A/B-4814-2009; Zani, Carlos Leomar/ABE-3936-2021; Pellizzari, Franciane M./JLL-6907-2023; Gil, Laura Helena Vega Gonzales/AAX-5319-2021; Zani, Carlos/A-9658-2008</t>
  </si>
  <si>
    <t>Gil, Laura Helena Vega Gonzales/0000-0002-8796-6080; Zani, Carlos/0000-0003-1859-177X; Almeida Alves, Tania Maria/0000-0002-0582-3968; Pellizzari, Franciane/0000-0003-1877-2570</t>
  </si>
  <si>
    <t>Conselho Nacional de Desenvolvimento Cientifico e Tecnologico (CNPq) [Processes PROANTAR 557030/2009-9, Universal 471721/2013-1, PROANTAR 407230/2013-0]; Fundacao de Amparo a Pesquisa do Estado de Minas Gerais (FAPEMIG) [Process Universal 0050-13]; Financiadora de Estudos e Projetos [FINEP 2084/07]; Program for Technological Development of Tools for Health-PDTIS-FIOCRUZ; US Forest Service; Northern Research Station; Inter-Agency from the US Fish and Wildlife Service [F11RG00184]</t>
  </si>
  <si>
    <t>Conselho Nacional de Desenvolvimento Cientifico e Tecnologico (CNPq)(Conselho Nacional de Desenvolvimento Cientifico e Tecnologico (CNPQ)); Fundacao de Amparo a Pesquisa do Estado de Minas Gerais (FAPEMIG)(Fundacao de Amparo a Pesquisa do Estado de Minas Gerais (FAPEMIG)); Financiadora de Estudos e Projetos(Financiadora de Inovacao e Pesquisa (Finep)); Program for Technological Development of Tools for Health-PDTIS-FIOCRUZ; US Forest Service(United States Department of Agriculture (USDA)United States Forest Service); Northern Research Station(United States Department of Agriculture (USDA)United States Forest Service); Inter-Agency from the US Fish and Wildlife Service</t>
  </si>
  <si>
    <t>We acknowledge the financial support from Conselho Nacional de Desenvolvimento Cientifico e Tecnologico (CNPq), Processes PROANTAR 557030/2009-9, Universal 471721/2013-1 and PROANTAR 407230/2013-0, Fundacao de Amparo a Pesquisa do Estado de Minas Gerais (FAPEMIG), Process Universal 0050-13 and the Financiadora de Estudos e Projetos (FINEP 2084/07), the Program for Technological Development of Tools for Health-PDTIS-FIOCRUZ. A. M. Minnis received financial support from the US Forest Service, Northern Research Station and the Inter-Agency Agreement F11RG00184 grant from the US Fish and Wildlife Service. The results of this study are part of the Master Science degree of LE Furbino within the Programa of Pos-Graduacao in Biotecnologia of UFOP and the Pos-Doctoral of VM Godinho of CNPq under supervision of LH Rosa.</t>
  </si>
  <si>
    <t>10.1007/s00248-014-0374-9</t>
  </si>
  <si>
    <t>AF1SX</t>
  </si>
  <si>
    <t>WOS:000334495000005</t>
  </si>
  <si>
    <t>Peng, JB; Chen, LT; Zhang, QY</t>
  </si>
  <si>
    <t>Peng Jingbei; Chen Lieting; Zhang Qingyun</t>
  </si>
  <si>
    <t>The relationship between the El Nino/La Nina cycle and the transition chains of four atmospheric oscillations. Part II: The relationship and a new approach to the prediction of El Nino</t>
  </si>
  <si>
    <t>ADVANCES IN ATMOSPHERIC SCIENCES</t>
  </si>
  <si>
    <t>the atmospheric oscillations; the oscillation transition; El Nino/La Nina cycle; El Nino prediction</t>
  </si>
  <si>
    <t>SEA-SURFACE TEMPERATURE; PACIFIC; MODEL</t>
  </si>
  <si>
    <t>The authors explored the connection and transition chains of the Northern Oscillation (NO) and the North Pacific Oscillation (NPO), the Southern Oscillation (SO), and the Antarctic Oscillation (AAO) on the interannual timescale in a companion paper. In this study, the connection between the transition chains of the four oscillations (the NO and NPO, the SO and AAO) and the El Nio/La Nia cycle were examined. It was found that during the transitions of the four oscillations, alternate anticyclonic/cyclonic correlation centers propagated from the Western Pacific to the Eastern Pacific along both sides of the equator. Between the anticyclonic/cyclonic correlation centers, the zonal wind anomalies also moved eastwardly, favoring the advection of sea surface temperature anomalies from the tropical Western Pacific to the Eastern Pacific. When the anticyclonic anomalies arrived in the Eastern Pacific, the positive phase of NO/SO and La Nia were established and vice versa. Thus, in 4-6 years, with an entire transition chain of the four oscillations, an El Nio/La Nia cycle completed. The eastward propagation of the covarying anomalies of the sea level pressure, zonal wind, and sea surface temperature was critical to the transition chains of the four oscillations and the cycle of El Nio/La Nia. Based on their close link, a new empirical prediction method of the timing of El Nio by the transition chains of the four oscillations was proposed. The assessment provided confidence in the ability of the new method to supply information regarding the long-term variations of the ocean and atmosphere in the tropical Pacific.</t>
  </si>
  <si>
    <t>[Peng Jingbei; Chen Lieting; Zhang Qingyun] Chinese Acad Sci, Inst Atmospher Phys, ICCES, Beijing 100029, Peoples R China</t>
  </si>
  <si>
    <t>Peng, JB (corresponding author), Chinese Acad Sci, Inst Atmospher Phys, ICCES, Beijing 100029, Peoples R China.</t>
  </si>
  <si>
    <t>pengjingbei@mail.iap.ac.cn</t>
  </si>
  <si>
    <t>National Key Technologies R&amp;D Program of China [2009BAC51B02]; National Basic Research Program of China [2012CB957803]</t>
  </si>
  <si>
    <t>National Key Technologies R&amp;D Program of China(National Key Technology R&amp;D Program); National Basic Research Program of China(National Basic Research Program of China)</t>
  </si>
  <si>
    <t>The authors are grateful to Professor JI Liren, Professor SUN Shuqing, and two anonymous reviewers' constructive suggestions, which improved the manuscript substantially. This work was supported by the National Key Technologies R&amp;D Program of China (Grant No. 2009BAC51B02) and the National Basic Research Program of China (Grant NO. 2012CB957803).</t>
  </si>
  <si>
    <t>0256-1530</t>
  </si>
  <si>
    <t>1861-9533</t>
  </si>
  <si>
    <t>ADV ATMOS SCI</t>
  </si>
  <si>
    <t>Adv. Atmos. Sci.</t>
  </si>
  <si>
    <t>10.1007/s00376-013-2279-9</t>
  </si>
  <si>
    <t>AE7MB</t>
  </si>
  <si>
    <t>WOS:000334181000014</t>
  </si>
  <si>
    <t>Dietrich, M; Lobato, E; Boulinier, T; McCoy, KD</t>
  </si>
  <si>
    <t>Dietrich, Muriel; Lobato, Elisa; Boulinier, Thierry; McCoy, Karen D.</t>
  </si>
  <si>
    <t>An experimental test of host specialization in a ubiquitous polar ectoparasite: a role for adaptation?</t>
  </si>
  <si>
    <t>Rissa tridactyla; Ixodes uriae; transmission ecology; transplantation experiment; host-race formation; fitness trade-offs; adaptive evolution; parasite biodiversity</t>
  </si>
  <si>
    <t>IXODES-URIAE ACARI; SEABIRD TICK; ANTARCTIC PENINSULA; GENETIC-STRUCTURE; TRADE-OFFS; PARASITE; SPECIFICITY; EVOLUTION; RACES; POPULATIONS</t>
  </si>
  <si>
    <t>The evolution of host specificity is considered to be an essential mechanism driving parasite diversity. It may be governed by adaptive constraints that lead to host-dependent fitness trade-offs. Alternatively, specificity may arise via transmission constraints that isolate parasite populations, without necessarily involving adaptation per se. Here, we ask whether the repeated observation of host-associated genetic races across the worldwide distribution of the seabird ectoparasite Ixodes uriae is associated with host adaptation. We conducted a field-based experiment to test for adaptive specialisation in host races of I.uriae. We transferred unengorged ticks of two life stages (nymphs and adults) originating from three host species (black-legged kittiwake, common guillemot and Atlantic puffin) onto young kittiwake nestlings and followed attraction and attachment rates, engorgement times and feeding success of the transplanted ticks. All ticks were also typed genetically to match exploitation patterns with genetic differences among races. Ticks from atypical hosts were significantly less attracted to nestlings than ticks from the typical host, and showed lower feeding success and higher mortality. The degree of host specificity matched patterns of neutral genetic variation among races, with puffin ticks being more specific than guillemot ticks. Differences in specificity were also apparent among tick life stages, suggesting that nymphal ticks may be less discriminating of host type than adult ticks. Our results indicate that the genetic divergence previously observed among sympatric I.uriae host races is at least partially linked to adaptive specialisation to the host species and not simply to host-mediated transmission. They also suggest that the adaptation process may evolve differently in different life stages based on trade-offs with physiological constraints. The identification of the selective forces acting in host specialization will now be necessary to better characterize these patterns and to understand how transmission interacts with the adaptation process to generate parasite biodiversity.</t>
  </si>
  <si>
    <t>[Dietrich, Muriel; McCoy, Karen D.] Ctr IRD, UMR CNRS UR IRD UM1 UM2 5290 224, F-34394 Montpellier, France; [Lobato, Elisa; Boulinier, Thierry] Ctr Ecol Fonct &amp; Evolut, UMR CNRS 5175, F-34293 Montpellier, France; CRVOI GIP CYROI, La Reunion, France; Centro InvestigacAo Biodiversidade Recursos Genet, CIBIO, VairAo, Portugal</t>
  </si>
  <si>
    <t>Universite de Montpellier; Institut de Recherche pour le Developpement (IRD); Universite PSL; Ecole Pratique des Hautes Etudes (EPHE); Institut Agro; Montpellier SupAgro; CIRAD; Centre National de la Recherche Scientifique (CNRS); Institut de Recherche pour le Developpement (IRD); Universite Paul-Valery; Universite de Montpellier</t>
  </si>
  <si>
    <t>Dietrich, M (corresponding author), CRVOI GIP CYROI, 2 Rue Maxime Riviere,BP 80005, F-97491 St Clotilde, Reunion, France.</t>
  </si>
  <si>
    <t>muriel.dietrich@gmail.com</t>
  </si>
  <si>
    <t>dietrich, muriel/A-6430-2015; McCoy, Karen D/F-7061-2012</t>
  </si>
  <si>
    <t>Dietrich, Muriel/0000-0002-2665-7970; McCoy, Karen D/0000-0002-8972-3808; BOULINIER, Thierry/0000-0002-5898-7667</t>
  </si>
  <si>
    <t>Norwegian Animal Research Authority [FDU-ID2654]; French Polar Institute (IPEV) [333]; Agence Nationale de la Recherche [ANR-06-JCJC-0095-01]; Spanish Ministry of Science; French Ministry for National Education and Research; Agence Nationale de la Recherche (ANR) [ANR-06-JCJC-0095] Funding Source: Agence Nationale de la Recherche (ANR)</t>
  </si>
  <si>
    <t>Norwegian Animal Research Authority; French Polar Institute (IPEV); Agence Nationale de la Recherche(Agence Nationale de la Recherche (ANR)); Spanish Ministry of Science(Spanish Government); French Ministry for National Education and Research; Agence Nationale de la Recherche (ANR)(Agence Nationale de la Recherche (ANR))</t>
  </si>
  <si>
    <t>We would like to thank R. Barrett, A. Brun, V. Noel and E. Vaumourin for their help with fieldwork. Thanks to C. Lebarbenchon and J. Vezilier for advice on statistical analyses. J. Andrade and the members of the working group 'Tiques et Maladies a Tiques' (GDR REID) provided insightful discussions. We thank two anonymous referees for comments on the previous version of the article. The permit to manipulate kittiwakes was granted by the Norwegian Animal Research Authority (FDU-ID2654). Genetic data used in this study were partly produced using technical facilities of the IRF119 'Montpellier Environnement Biodiversite'. Financial support was provided by the French Polar Institute (IPEV, programme no. 333) and the Agence Nationale de la Recherche (ANR-06-JCJC-0095-01). E.L. was supported by a postdoctoral fellowship from the Spanish Ministry of Science. MD was supported by a fellowship from the French Ministry for National Education and Research.</t>
  </si>
  <si>
    <t>10.1111/1365-2656.12170</t>
  </si>
  <si>
    <t>AE8YR</t>
  </si>
  <si>
    <t>WOS:000334289500006</t>
  </si>
  <si>
    <t>Ponte, RM; Piecuch, CG</t>
  </si>
  <si>
    <t>Ponte, Rui M.; Piecuch, Christopher G.</t>
  </si>
  <si>
    <t>Interannual Bottom Pressure Signals in the Australian-Antarctic and Bellingshausen Basins</t>
  </si>
  <si>
    <t>Variability; Sea level; Interannual variability; Large-scale motions; Circulation/ Dynamics; Geographic location/entity; Oceanic variability; Southern Ocean; Ocean dynamics; Atm/Ocean Structure/ Phenomena</t>
  </si>
  <si>
    <t>SEA-LEVEL VARIABILITY; GLOBAL OCEAN; SOUTHEAST PACIFIC; PART I; MODEL; CIRCULATION; RESONANCE; ALTIMETRY; GRAVITY; SURFACE</t>
  </si>
  <si>
    <t>Analyses of large-scale (&gt;750 km) ocean bottom pressure p(b) fields, derived from the Gravity Recovery and Climate Experiment (GRACE) and from an Estimating the Circulation &amp; Climate of the Ocean (ECCO) state estimate, reveal enhanced interannual variability, partially connected to the Antarctic Oscillation, in regions of the Australian-Antarctic Basin and the Bellingshausen Basin, with p(b) magnitudes comparable to those of sea level and good correlation between the GRACE and ECCO p(b) series. Consistent with the theory of Gill and Niiler, the patterns of stronger p(b) variability are partly related to enhanced local wind curl forcing and weakened gradients in H/f, where H is ocean depth and f is the Coriolis parameter. Despite weaker H/f gradients, motions against them are sufficiently strong to play a role in balancing the local wind input. Topographic effects are as or more important than changes in f. Additionally, and contrary to the dominance of barotropic processes at subannual time scales, baroclinic effects are not negligible when balancing wind input at periods of a few years. Results highlight the emerging capability to accurately observe and estimate interannual changes in large-scale p(b) over the Southern Ocean, with implications for the interpretation of low-frequency variability in sea level in terms of steric height and heat content.</t>
  </si>
  <si>
    <t>[Ponte, Rui M.; Piecuch, Christopher G.] Atmospher &amp; Environm Res Inc, Lexington, MA 02421 USA</t>
  </si>
  <si>
    <t>Atmospheric &amp; Environmental Research</t>
  </si>
  <si>
    <t>Ponte, RM (corresponding author), Atmospher &amp; Environm Res Inc, 131 Hartwell Ave, Lexington, MA 02421 USA.</t>
  </si>
  <si>
    <t>rponte@aer.com</t>
  </si>
  <si>
    <t>Ponte, Rui/AAE-9824-2020</t>
  </si>
  <si>
    <t>NASA's Solid Earth Natural Hazards program through GRACE Grant [NNX12AJ93G]; NSF Grant [OCE-0961507]</t>
  </si>
  <si>
    <t>NASA's Solid Earth Natural Hazards program through GRACE Grant; NSF Grant(National Science Foundation (NSF))</t>
  </si>
  <si>
    <t>This research has been funded by NASA's Solid Earth Natural Hazards program through GRACE Grant NNX12AJ93G and by NSF Grant OCE-0961507. Main support for the ECCO project is provided by NASA's Physical Oceanography program. We thank K. Quinn (AER) for postprocessing the GRACE data and two anonymous reviewers for helpful comments.</t>
  </si>
  <si>
    <t>10.1175/JPO-D-13-0223.1</t>
  </si>
  <si>
    <t>AF6HO</t>
  </si>
  <si>
    <t>WOS:000334815500011</t>
  </si>
  <si>
    <t>Espejo, W; Celis, JE; González-Acuña, D; Jara, S; Barra, R</t>
  </si>
  <si>
    <t>Espejo, Winfred; Celis, Jose E.; Gonzalez-Acuna, Daniel; Jara, Solange; Barra, Ricardo</t>
  </si>
  <si>
    <t>Concentration of trace metals in excrements of two species of penguins from different locations of the Antarctic Peninsula</t>
  </si>
  <si>
    <t>Heavy metals; Seabirds; Excreta; Gentoo; Chinstrap; Guano; Marine pollution; Antarctica</t>
  </si>
  <si>
    <t>GENTOO PENGUINS; CONTAMINATION; SEDIMENTS; ELEMENTS; LEAD; PORPHYRINS; POLLUTION; FEATHERS; CADMIUM; MERCURY</t>
  </si>
  <si>
    <t>The presence of metals in Antarctica is becoming an issue that needs to be more investigated as human presence is increasing in the region, especially in the Antarctic Peninsula, where most of the polar animals, scientific bases and tourists are concentrated. Penguins are endemic species of Antarctica situated at the top of food web and are useful sentinels of pollution. To improve data of trace metal contamination in the Antarctic Peninsula region, concentrations of Cd, Pb, As, Cu and Zn in fresh excrement of penguins were determined by atomic absorption. Samples were collected in several locations during the 2011/2012 austral summer: eight sites (O'Higgins Station, Yankee Harbour, Mikkelsen Harbor, Danco Island, Gonzalez Videla Base, Yelcho Station and Brown Station) from gentoo penguin (Pygoscelis papua) colonies and four locations (Hydrurga Rocks, Cape Shirreff, Narebski Point and Kopaitic Island) from chinstrap penguin (Pygoscelis antarctica) colonies. Data showed that gentoo penguin colonies had higher levels of metals (mu g g(-1) dw) like Pb, Cu and Zn at locations such as O'Higgins (2.89 for Pb, 199.95 for Cu and 379.99 for Zn) and Gonzalez Videla (2.74 for Pb and 222.51 for Cu). Levels of Cd in excreta of chinstrap penguins were higher at Narebski Point (3.13 mu g g(-1)). The levels of Pb, As, Cd, Cu and Zn were similar or even higher to those reported in excreta of the same species by previous studies at Antarctica. Data suggest that metals ingested by these two penguin species feeding in the sea end up in terrestrial ecosystems.</t>
  </si>
  <si>
    <t>[Espejo, Winfred; Celis, Jose E.; Gonzalez-Acuna, Daniel] Univ Concepcion, Fac Ciencias Vet, Chillan, Chile; [Jara, Solange; Barra, Ricardo] Univ Concepcion, Ctr Ciencias Ambientales EULA Chile, Unidad Sistemas Acuat, Concepcion, Chile</t>
  </si>
  <si>
    <t>Universidad de Concepcion; Universidad de Concepcion</t>
  </si>
  <si>
    <t>Celis, JE (corresponding author), Univ Concepcion, Fac Ciencias Vet, Casilla 537, Chillan, Chile.</t>
  </si>
  <si>
    <t>jcelis@udec.cl</t>
  </si>
  <si>
    <t>CELIS, JOSE/AAP-6048-2021; Barra, Ricardo O./A-5543-2009; Espejo, Winfred/AAO-7150-2020</t>
  </si>
  <si>
    <t>Barra, Ricardo O./0000-0002-1567-7722; CELIS, JOSE E./0000-0002-2458-1239; Espejo, Winfred/0000-0002-3753-2006</t>
  </si>
  <si>
    <t>INACH [T 18-09, T 27-10]; Comision Chilena de Investigacion Cientifica y Tecnologica [1110719]; Direccion de Investigacion de la Universidad de Concepcion [211.154.023-1.0]</t>
  </si>
  <si>
    <t>INACH; Comision Chilena de Investigacion Cientifica y Tecnologica; Direccion de Investigacion de la Universidad de Concepcion</t>
  </si>
  <si>
    <t>Many thanks are due to the Chilean polar base O'Higgins, the Instituto Antartico Chileno, and the Chilean polar base Gabriel Gonzalez Videla for providing logistic support. We also thank the personnel of the Laboratorio de Quimica (Universidad de Concepcion, EULA-Chile) for their analytical support, and also Dr. Mario Briones for all the statistical analyses. This study has been supported by project INACH T 18-09 and T 27-10, by the Comision Chilena de Investigacion Cientifica y Tecnologica (project FONDECYT 1110719) and by the Direccion de Investigacion de la Universidad de Concepcion through project 211.154.023-1.0. Finally, many thanks are due to Peter D. Lewis for his support on the manuscript translation from Spanish to English.</t>
  </si>
  <si>
    <t>10.1007/s00300-014-1468-z</t>
  </si>
  <si>
    <t>AE7JC</t>
  </si>
  <si>
    <t>WOS:000334172600008</t>
  </si>
  <si>
    <t>Rengifo-Herrera, C; Ferre, I; Ortega-Mora, LM; Rojo-Montejo, S; García-Moreno, FT; García-Párraga, D; García-Peña, FJ; Pereira-Bueno, J; Pedraza-Díaz, S</t>
  </si>
  <si>
    <t>Rengifo-Herrera, Claudia; Ferre, Ignacio; Miguel Ortega-Mora, Luis; Rojo-Montejo, Silvia; Tomas Garcia-Moreno, Francisco; Garcia-Parraga, Daniel; Javier Garcia-Pena, Francisco; Pereira-Bueno, Juana; Pedraza-Diaz, Susana</t>
  </si>
  <si>
    <t>Helminth parasites found in faecal samples of phocids from the Antarctic Peninsula</t>
  </si>
  <si>
    <t>Anisakidae; Metastrongyloidea; Diphyllobothriidae; Leptonychotes weddellii; Mirounga leonina; Hydrurga leptonyx</t>
  </si>
  <si>
    <t>CONTRACAECUM-OSCULATUM NEMATODA; GENETIC-RELATIONSHIPS; ANISAKID NEMATODES; PHOCASCARIS HOST; WEDDELL SEAL; FUR SEALS; ASCARIDOIDEA; PSEUDOTERRANOVA; PHYLOGENY; DUJARDIN</t>
  </si>
  <si>
    <t>Information on helminth parasites in Antarctic phocids is scarce and fragmented. Anisakidae nematodes and Diphyllobothriidae cestodes have been reported in Antarctic and subantarctic phocids, although the prevalence and health significance remain unclear. In the present study, the presence of helminth parasites in faeces of Leptonychotes weddellii, Hydrurga leptonyx and Mirounga leonina has been investigated. Faecal samples were collected from different locations of the Antarctic Peninsula. Macroscopical inspection and standard flotation and migration techniques were used for faecal examination. Eggs, larvae and adult parasites of nematodes and cestodes were found in 76.9 % of samples analysed. Positive samples were recorded from all locations surveyed and species investigated. The prevalence was 71.3 % for M. leonina, 95.4 % for L. weddellii and 100 % for H. leptonyx. Anisakidae (eggs and worms), Metastrongyloidea (larvae) and Diphyllobothriidae (eggs) were identified in M. leonina and L. weddellii. Metastrongyloidea (larvae) and Diphyllobothriidae (eggs) were found in H. leptonyx. Molecular characterisation of some of the adult parasites found was useful for the identification of Anisakis simplex and Pseudoterranova sp. in M. leonina, and Contracaecum sp., Contracaecum osculatum, and Pseudoterranova sp. in L. weddellii.</t>
  </si>
  <si>
    <t>[Rengifo-Herrera, Claudia; Ferre, Ignacio; Miguel Ortega-Mora, Luis; Rojo-Montejo, Silvia; Pedraza-Diaz, Susana] Univ Complutense Madrid, Fac Vet Sci, Dept Anim Hlth, SALUVET, E-28040 Madrid, Spain; [Tomas Garcia-Moreno, Francisco] Inspecc Gen Sanidad Def, Apoyo Vet, Madrid 28047, Spain; [Garcia-Parraga, Daniel] Ciudad Artes &amp; Ciencia, Oceanog, Valencia 46013, Spain; [Javier Garcia-Pena, Francisco] Minist Agr Alimentac &amp; Medio Ambiente, Lab Cent Vet Algete, Madrid 28110, Spain; [Pereira-Bueno, Juana] Univ Leon, Fac Vet, Dept Anim Hlth, E-24071 Leon, Spain</t>
  </si>
  <si>
    <t>Complutense University of Madrid; Universidad de Leon</t>
  </si>
  <si>
    <t>Rengifo-Herrera, C (corresponding author), Univ Complutense Madrid, Fac Vet Sci, Dept Anim Hlth, SALUVET, Ciudad Univ S-N, E-28040 Madrid, Spain.</t>
  </si>
  <si>
    <t>crengifo@vet.ucm.es</t>
  </si>
  <si>
    <t>Pedraza-Diaz, Susana/HGB-3199-2022; Rengifo-Herrera, Claudia C/F-7621-2014; Ferre, Ignacio/F-5448-2016; Ortega-Mora, Luis Miguel/AFT-0684-2022; Pedraza-Diaz, Susana/F-3988-2018</t>
  </si>
  <si>
    <t>Ferre, Ignacio/0000-0001-5402-6626; Ortega-Mora, Luis Miguel/0000-0002-4986-6783; Garcia Parraga, Daniel/0000-0002-3335-5831; Pedraza-Diaz, Susana/0000-0001-9401-6473; Garcia-Pena, Francisco Javier/0000-0002-2899-2860</t>
  </si>
  <si>
    <t>Spanish Ministry of Science and Innovation [CGL-2004-22025-E/ANT, CGL-2005-25073-E/ANT, CTM2008-00570]; SeaWorld &amp; Bush Gardens Conservation Fund; IFARHU-SE-NACYT; University of Panama</t>
  </si>
  <si>
    <t>Spanish Ministry of Science and Innovation(Spanish Government); SeaWorld &amp; Bush Gardens Conservation Fund; IFARHU-SE-NACYT; University of Panama</t>
  </si>
  <si>
    <t>This work was funded by the Spanish Ministry of Science and Innovation (CGL-2004-22025-E/ANT, CGL-2005-25073-E/ANT and CTM2008-00570) and the SeaWorld &amp; Bush Gardens Conservation Fund. CRH is funded by the IFARHU-SE-NACYT and the University of Panama. We would like to thank the military personnel at the Spanish Antarctic Base Gabriel de Castilla'' for their help and assistance and the Marine Technology Unit (CSIC), the Spanish Navy's Oceanographic Research Ship Las Palmas'' and the Unidad de Tecnologia Maritima (UTM, CSIC) for logistics and transportation. We also express our gratitude to J. Castro-Urda, T. Alvaro-Alvarez y J. Coello-Perez for their invaluable help in the sample collection.</t>
  </si>
  <si>
    <t>10.1007/s00300-014-1469-y</t>
  </si>
  <si>
    <t>WOS:000334172600009</t>
  </si>
  <si>
    <t>Ryan, PG; Bourgeois, K; Dromzée, S; Dilley, BJ</t>
  </si>
  <si>
    <t>Ryan, Peter G.; Bourgeois, Karen; Dromzee, Sylvain; Dilley, Ben J.</t>
  </si>
  <si>
    <t>The occurrence of two bill morphs of prions Pachyptila vittata on Gough Island</t>
  </si>
  <si>
    <t>Allochronous speciation; Broad-billed prion; Gough Island; Pachyptila; Resource polymorphism; Tristan da Cunha</t>
  </si>
  <si>
    <t>INDIAN-OCEAN; BURROWING PETRELS; SEABIRD; POPULATIONS; SPECIATION; EVOLUTION; BIOLOGY; AZORES</t>
  </si>
  <si>
    <t>Prions Pachyptila are abundant seabirds in the Southern Ocean that have been used to infer environmental change, but this relies on an understanding of their morphological diversity. Species limits among prions are largely defined by the size and structure of their bills. The broad-billed prion P. vittata, which breeds at temperate islands in the central South Atlantic Ocean and around New Zealand, is the largest species with adult bill widths averaging 21-22 mm. We report local differences in bill sizes on Gough Island, with typical adults breeding in some areas and narrower-billed birds in other areas (average bill width 18-19 mm, although at one site there was a second mode at bill widths of 16-17 mm). The narrow-billed birds have slightly shorter bills, heads and wings (averaging 1-2 % smaller than typical adult broad-billed prions), but the difference in bill width is much more marked (15 %). The small-billed birds differ from typical broad-billed prions in having blue colouration in the upper mandible and are similar in size to MacGillivray's prion P. [salvini/vittata] macgillivrayi from Amsterdam and St Paul islands in the temperate Indian Ocean. The occurrence of two prion morphs on Gough Island raises intriguing questions about their ecology and systematics. Small-billed birds breed 3 months later than large-billed birds, suggesting that they are a separate species, not an example of bill polymorphism.</t>
  </si>
  <si>
    <t>[Ryan, Peter G.; Bourgeois, Karen; Dromzee, Sylvain; Dilley, Ben J.] Univ Cape Town, Percy FitzPatrick Inst, DST NRF Ctr Excellence, ZA-7701 Rondebosch, South Africa; [Bourgeois, Karen; Dromzee, Sylvain] Royal Soc Protect Birds, Sandy SG19 2DL, Beds, England</t>
  </si>
  <si>
    <t>Ryan, PG (corresponding author), Univ Cape Town, Percy FitzPatrick Inst, DST NRF Ctr Excellence, ZA-7701 Rondebosch, South Africa.</t>
  </si>
  <si>
    <t>Ryan, Peter/0000-0002-3356-2056; Bourgeois, Karen/0000-0003-1195-1015</t>
  </si>
  <si>
    <t>South African National Antarctic Programme; UK Overseas Territories Environment Programme; Darwin Fund</t>
  </si>
  <si>
    <t>We thank Delia Davies, Bani van der Merwe and Liz Webster for assistance in the field, Bruce Dyer and Ross Wanless for additional data, and Martim Melo and Rob Ronconi for use of photographs of prions from Inaccessible Island. Trevor Glass and Richard Cuthbert supported this research project, and permission to conduct research on Gough Island was granted by Tristan's Conservation Department. Funding and logistic support was obtained from the South African National Antarctic Programme, the UK Overseas Territories Environment Programme and Darwin Fund, through grants to the Royal Society for the Protection of Birds.</t>
  </si>
  <si>
    <t>10.1007/s00300-014-1473-2</t>
  </si>
  <si>
    <t>WOS:000334172600013</t>
  </si>
  <si>
    <t>Pérez, CA; Aravena, JC; Silva, WA; Enríquez, JM; Fariña, JM; Armesto, JJ</t>
  </si>
  <si>
    <t>Perez, Cecilia A.; Aravena, Juan C.; Silva, Wladimir A.; Enriquez, Juan M.; Farina, Jose M.; Armesto, Juan J.</t>
  </si>
  <si>
    <t>Ecosystem development in short-term postglacial chronosequences: N and P limitation in glacier forelands from Santa Ines Island, Magellan Strait</t>
  </si>
  <si>
    <t>AUSTRAL ECOLOGY</t>
  </si>
  <si>
    <t>primary succession; Nothofagus forest; N:P ratio; sub-Antarctic forest; Gunnera magellanica; C:N ratio</t>
  </si>
  <si>
    <t>TEMPERATE RAIN-FOREST; PRIMARY SUCCESSION; NITROGEN-FIXATION; SOIL; PHOSPHORUS; BAY; PLANT; STOICHIOMETRY; DEGLACIATION; DELTA-N-15</t>
  </si>
  <si>
    <t>Glacier foreland moraines provide an ideal model to examine the patterns of ecosystem development and the evolution of nitrogen and phosphorous limitation over successional time. In this paper, we focus on a 400-year soil chronosequence in the glacier forelands of Santa Ines Island in the Magellan Strait, southern Chile by examining forest development on phosphorus (P)-poor substrates in a uniquely unpolluted region of the world. Results show a steady increase in tree basal area and a humped trend in tree species richness over four centuries of stand development. The increase in basal area suggests that the late successional tree species were more efficient nutrient users than earlier successional ones. Total contents of carbon (C) and nitrogen (N) in soils increased during the chronosequence, reaching an asymptote in late succession. The net increases in soil C : N, C : P and N : P ratios observed over successional time suggest that nutrient limitation is maximal in 400-year-old substrates. Foliar C : N and C : P ratios also increased over time to reach an asymptote in old-growth stages, following soil stoichiometric relationships; however the foliar N-to-P ratio remained constant throughout the chronosequence. Biological N fixation was greater in early postglacial succession, associated with the presence of the symbiotic N-fixer Gunnera magellanica. Declining trends of delta N-15 in surface soils through the 400-year chronosequence are evidence of decreasing N losses in old-growth forests. In synthesis, glacier foreland chronosequences at this high South American latitude provide evidence for increasing efficiency of N and P use in the ecosystem, with the replacement of shade-intolerant pioneers by more efficient, shade-tolerant tree species. This pattern of ecosystem development produces a constant foliar N : P ratio, regardless of variation in soil N-to-P ratio over four centuries.</t>
  </si>
  <si>
    <t>[Perez, Cecilia A.; Farina, Jose M.; Armesto, Juan J.] Pontificia Univ Catolica Chile, Dept Ecol, Santiago 6513677, Chile; [Perez, Cecilia A.; Silva, Wladimir A.; Armesto, Juan J.] IEB, Santiago, Chile; [Enriquez, Juan M.] Univ Magallanes, Punta Arenas, Chile</t>
  </si>
  <si>
    <t>Pontificia Universidad Catolica de Chile; Universidad de Magallanes</t>
  </si>
  <si>
    <t>Pérez, CA (corresponding author), Pontificia Univ Catolica Chile, Dept Ecol, Alameda 340, Santiago 6513677, Chile.</t>
  </si>
  <si>
    <t>cperez@bio.puc.cl</t>
  </si>
  <si>
    <t>Armesto, Juan J/G-6467-2016; Aravena, Juan-Carlos/D-5687-2013</t>
  </si>
  <si>
    <t>Fondecyt [1090135, 1080320]; Fondecyt-Fondap [1501-0001]; Millennium Scientific Initiative [P05-002]; Conicyt [PFB-23]; Directorate For Geosciences [1138881] Funding Source: National Science Foundation; ICER; Directorate For Geosciences [1128040] Funding Source: National Science Foundation</t>
  </si>
  <si>
    <t>Fondecyt(Comision Nacional de Investigacion Cientifica y Tecnologica (CONICYT)CONICYT FONDECYT); Fondecyt-Fondap(Comision Nacional de Investigacion Cientifica y Tecnologica (CONICYT)CONICYT FONDECYTCONICYT FONDAP); Millennium Scientific Initiative; Conicyt(Comision Nacional de Investigacion Cientifica y Tecnologica (CONICYT)); Directorate For Geosciences(National Science Foundation (NSF)NSF - Directorate for Geosciences (GEO)); ICER; Directorate For Geosciences(National Science Foundation (NSF)NSF - Directorate for Geosciences (GEO))</t>
  </si>
  <si>
    <t>We are grateful for the financial support of these studies by Fondecyt 1090135 (2009), Fondecyt 1080320, Fondecyt-Fondap 1501-0001 (to CASEB, Pontificia Universidad Catolica de Chile), and P05-002, from Millennium Scientific Initiative, and PFB-23 from Conicyt (both to the Institute of Ecology and Biodiversity).</t>
  </si>
  <si>
    <t>1442-9985</t>
  </si>
  <si>
    <t>1442-9993</t>
  </si>
  <si>
    <t>AUSTRAL ECOL</t>
  </si>
  <si>
    <t>Austral Ecol.</t>
  </si>
  <si>
    <t>10.1111/aec.12078</t>
  </si>
  <si>
    <t>AE5HX</t>
  </si>
  <si>
    <t>WOS:000334019500004</t>
  </si>
  <si>
    <t>Nie, YG; Liu, XD; Emslie, SD</t>
  </si>
  <si>
    <t>Nie, Yaguang; Liu, Xiaodong; Emslie, Steven D.</t>
  </si>
  <si>
    <t>Distribution and sources of rare earth elements in ornithogenic sediments from the Ross Sea region, Antarctica</t>
  </si>
  <si>
    <t>MICROCHEMICAL JOURNAL</t>
  </si>
  <si>
    <t>Rare earth elements; Geochemical behavior; Omithogenic sediments; Ross Sea region; Adelie penguin</t>
  </si>
  <si>
    <t>KING-GEORGE ISLAND; TRACE-ELEMENTS; PENGUIN; GEOCHEMISTRY; SOILS; PALEOECOLOGY; POPULATION; RECORD; CORES</t>
  </si>
  <si>
    <t>Concentrations of rare earth elements (REEs) were determined in three ornithogenic sediment profiles excavated at active Adelie penguin (Pygoscelis adeliae) colonies in McMurdo Sound, Ross Sea, Antarctica. The distribution of REEs in each profile fluctuated with depth. REEs measured in environmental media (including bedrock, guano, and algae) and analysis on the correlations of Sigma REE-lithological elements and Sigma REE-bio-elements in the profiles indicated that sedimentary REEs were mainly from weathered bedrock in this area, and the non-crustal biogenetic REEs from guano and algae were minor. Further discussion on the slopes and Ce and Eu anomalies of chondrite-normalized REE patterns indicated that a mixing process of weathered bedrock, guano and algae was the main controlling factor for the fluctuations of REEs with depth in the sediments. An end-member equation was developed to calculate the proportion of REEs from the three constituents in the sediments. The calculation functioned well in estimating bedrock-derived REEs and the magnitude of ornithogenic influence in different profiles. In general, REEs in the ornithogenic sediments showed anti bio-element patterns and thus can be used as an additional proxy to reconstruct historical penguin populations. (C) 2014 Elsevier B.V. All rights reserved.</t>
  </si>
  <si>
    <t>[Nie, Yaguang; Liu, Xiaodong] Univ Sci &amp; Technol China, Inst Polar Environm, Sch Earth &amp; Space Sci, Hefei 230026, Anhui, Peoples R China; [Emslie, Steven D.] Univ N Carolina, Dept Biol &amp; Marine Biol, Wilmington, NC 28403 USA</t>
  </si>
  <si>
    <t>Chinese Academy of Sciences; University of Science &amp; Technology of China, CAS; University of North Carolina; University of North Carolina Wilmington</t>
  </si>
  <si>
    <t>Liu, XD (corresponding author), Univ Sci &amp; Technol China, Inst Polar Environm, Sch Earth &amp; Space Sci, Hefei 230026, Anhui, Peoples R China.</t>
  </si>
  <si>
    <t>ycx@ustc.edu.cn</t>
  </si>
  <si>
    <t>National Natural Science Foundation of China [41076123, 41376124]; Chinese Polar Environment Comprehensive Investigation &amp; Assessment Programmes [CHINARE2013-04-04-09]; NSF [ANT 0739575]; Office of Polar Programs (OPP); Directorate For Geosciences [0739575] Funding Source: National Science Foundation</t>
  </si>
  <si>
    <t>National Natural Science Foundation of China(National Natural Science Foundation of China (NSFC)); Chinese Polar Environment Comprehensive Investigation &amp; Assessment Programmes; NSF(National Science Foundation (NSF)); Office of Polar Programs (OPP); Directorate For Geosciences(National Science Foundation (NSF)NSF - Directorate for Geosciences (GEO))</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</si>
  <si>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We are especially grateful to Prof. Liguang Sun for his valuable support This study was supported by the National Natural Science Foundation of China (Grant Nos. 41076123 and 41376124), Chinese Polar Environment Comprehensive Investigation &amp; Assessment Programmes (CHINARE2013-04-04-09) and NSF Grant ANT 0739575.</t>
  </si>
  <si>
    <t>0026-265X</t>
  </si>
  <si>
    <t>1095-9149</t>
  </si>
  <si>
    <t>MICROCHEM J</t>
  </si>
  <si>
    <t>Microchem J.</t>
  </si>
  <si>
    <t>10.1016/j.microc.2014.01.010</t>
  </si>
  <si>
    <t>Chemistry, Analytical</t>
  </si>
  <si>
    <t>AD8DD</t>
  </si>
  <si>
    <t>WOS:000333495800034</t>
  </si>
  <si>
    <t>Chandran, A; Collins, RL; Harvey, VL</t>
  </si>
  <si>
    <t>Chandran, A.; Collins, R. L.; Harvey, V. L.</t>
  </si>
  <si>
    <t>Stratosphere-mesosphere coupling during stratospheric sudden warming events</t>
  </si>
  <si>
    <t>Stratospheric sudden warming; Stratosphere- mesosphere coupling; Wave-mean flow interaction; SSW climatology; Southern Hemisphere; SSW</t>
  </si>
  <si>
    <t>ELEVATED STRATOPAUSE EVENTS; POLAR WINTER STRATOPAUSE; SOUTHERN-HEMISPHERE; INTERANNUAL VARIABILITY; PLANETARY-WAVES; MIDDLE; CLIMATOLOGY; VORTEX; OZONE; CIRCULATION</t>
  </si>
  <si>
    <t>In this review article we summarize recent results in the coupling of the stratosphere mesosphere during stratospheric sudden warming (SSW) events. We focus on the role of planetary and gravity waves in driving the middle atmosphere circulation and illustrate the stratosphere mesosphere coupling during undisturbed wintertime circulation, during an SSW event, and after an SSW event during the formation of an elevated stratopause using simulations of past Arctic and Antarctic winters from the Specified Dynamics version of the Whole Atmosphere Community Climate Model (SD-WACCM). We illustrate the transition of the polar stratopause from being a gravity wave driven phenomena to a planetary wave driven phenomena during SSW events and its subsequent reestablishment and control by gravity waves. We also examine the synoptic structure of the stratosphere, mesosphere, and lower thermosphere using SD-WACCM data fields that show the structure of the vortex during specific dynamical events in both hemispheres. We illustrate the longitudinal asymmetry in the thermal structure in the stratosphere and mesosphere driven by differences in circulation over the polar cap regions during an SSW event. We complement this analysis of the middle atmosphere circulation with a classification of both the Arctic and Antarctic winters since 1979 into major, minor, elevated stratopause or quiet winters based on the level of disturbance using the Modern Era-Retrospective Analysis for Research and Applications (MERRA) reanalysis data. From the MERRA data we find that the combined occurrences of both major and minor warmings in the Arctic have remained constant over the past three decades while we find a minor increase in their occurrences in the Antarctic. (C) 2014 COSPAR. Published by Elsevier Ltd. All rights reserved.</t>
  </si>
  <si>
    <t>[Chandran, A.; Collins, R. L.] Univ Alaska Fairbanks, Inst Geophys, Fairbanks, AK 99775 USA; [Collins, R. L.] Univ Alaska Fairbanks, Dept Atmospher Sci, Fairbanks, AK 99775 USA; [Harvey, V. L.] Univ Colorado, Lab Atmospher &amp; Space Phys, Boulder, CO 80309 USA</t>
  </si>
  <si>
    <t>University of Alaska System; University of Alaska Fairbanks; University of Alaska System; University of Alaska Fairbanks; University of Colorado System; University of Colorado Boulder</t>
  </si>
  <si>
    <t>Chandran, A (corresponding author), Univ Alaska Fairbanks, Inst Geophys, Fairbanks, AK 99775 USA.</t>
  </si>
  <si>
    <t>achandran@alaska.edu</t>
  </si>
  <si>
    <t>; HARVEY, V LYNN/M-3995-2017</t>
  </si>
  <si>
    <t>Collins, Richard/0000-0001-7055-1228; HARVEY, V LYNN/0000-0002-7928-0804</t>
  </si>
  <si>
    <t>United States National Science Foundation (NSF) [ARC 1107498]; NASA LWS [NNX10AQ54G]; NSF CEDAR [AGS 0940124]; Office of Polar Programs (OPP); Directorate For Geosciences [1107498] Funding Source: National Science Foundation</t>
  </si>
  <si>
    <t>United States National Science Foundation (NSF)(National Science Foundation (NSF)); NASA LWS(National Aeronautics &amp; Space Administration (NASA)); NSF CEDAR(National Science Foundation (NSF)); Office of Polar Programs (OPP); Directorate For Geosciences(National Science Foundation (NSF)NSF - Directorate for Geosciences (GEO))</t>
  </si>
  <si>
    <t>The authors thank D.E. Kinnison for the SD-WACCM runs, R.R. Garcia and D.R. Marsh for helpful discussions. The authors acknowledge support from the United States National Science Foundation (NSF) under Grant ARC 1107498. V.L.H. acknowledges support from Grants NASA LWS NNX10AQ54G and NSF CEDAR AGS 0940124. AC conducted this work as a participant in the visiting scientist program at the National Center for Atmospheric Research (NCAR), which is sponsored by NSF. The Community Earth System Model (CESM) is supported by NSF and the Office of Science of the US Department of Energy. Computing resources were provided by NCAR's Climate Simulation Laboratory, sponsored by NSF and other agencies. We would like to thank two anonymous reviewers for their constructive comments, which has resulted in a significantly improved manuscript.</t>
  </si>
  <si>
    <t>10.1016/j.asr.2014.02.005</t>
  </si>
  <si>
    <t>AG0LA</t>
  </si>
  <si>
    <t>WOS:000335105800001</t>
  </si>
  <si>
    <t>Dorji, T; Moe, SR; Klein, JA; Totland, O</t>
  </si>
  <si>
    <t>Dorji, Tsechoe; Moe, Stein R.; Klein, Julia A.; Totland, Orjan</t>
  </si>
  <si>
    <t>Plant Species Richness, Evenness, and Composition along Environmental Gradients in an Alpine Meadow Grazing Ecosystem in Central Tibet, China</t>
  </si>
  <si>
    <t>ELEVATIONAL GRADIENT; PATTERNS; DYNAMICS; BIODIVERSITY; COMMUNITIES; VEGETATION; DIVERSITY; MECHANISMS; PLATEAU; HABITAT</t>
  </si>
  <si>
    <t>Plant community properties such as species richness, evenness, and composition vary along environmental gradients. Arid and semi-arid ecosystems, such as the central Tibetan Plateau, are thought to be sensitive to changes in temperature and water availability, and also influenced by a long history of herbivore grazing. We used linear mixed effect models and Canonical Correspondence Analysis to explore how plant community properties varied along gradients of elevation, soil moisture, grazing intensity, solar radiation, ground surface roughness (ground concavity), and pika abundance in an alpine meadow ecosystem in central Tibet. We found that species richness increased with elevation. Species evenness increased with soil moisture at lower elevation, but decreased with soil moisture at higher elevation. Species composition was significantly associated with all environmental variables except solar radiation. The abundance of the dominant plant species, K. pygmaea, which is driven primarily by soil moisture, was also an important variable. We conclude that open patches (habitat), associated with elevation, number of pika burrows and surface roughness, and soil moisture and its effects on K pygmaea were the most important environmental variables creating variation in plant community properties across this landscape.</t>
  </si>
  <si>
    <t>[Dorji, Tsechoe; Moe, Stein R.; Totland, Orjan] Norwegian Univ Life Sci, Dept Ecol &amp; Nat Resource Management, NO-1432 As, Norway; [Dorji, Tsechoe] Chinese Acad Sci, Inst Tibetan Plateau Res, Key Lab Alpine Ecol &amp; Biodivers, Lhasa 86000, Tibet Autonomou, Peoples R China; [Klein, Julia A.] Colorado State Univ, Dept Ecosyst Sci &amp; Sustainabil, Ft Collins, CO 80523 USA</t>
  </si>
  <si>
    <t>Norwegian University of Life Sciences; Chinese Academy of Sciences; Institute of Tibetan Plateau Research, CAS; Colorado State University</t>
  </si>
  <si>
    <t>Dorji, T (corresponding author), Chinese Acad Sci, Inst Tibetan Plateau Res, Key Lab Alpine Ecol &amp; Biodivers, Lhasa 86000, Tibet Autonomou, Peoples R China.</t>
  </si>
  <si>
    <t>tsechoedoiji@itpcas.ac.cn</t>
  </si>
  <si>
    <t>Moe, Stein R./G-1507-2011</t>
  </si>
  <si>
    <t>Moe, Stein R./0000-0003-1005-3192; Dorji, Tsechoe/0000-0003-3863-0748</t>
  </si>
  <si>
    <t>10.1657/1938-4246-46.2.308</t>
  </si>
  <si>
    <t>WOS:000336778500002</t>
  </si>
  <si>
    <t>Lesica, P</t>
  </si>
  <si>
    <t>Lesica, Peter</t>
  </si>
  <si>
    <t>Arctic-Alpine Plants Decline over Two Decades in Glacier National Park, Montana, USA</t>
  </si>
  <si>
    <t>CLIMATE-CHANGE; LONG-TERM; RECENT INCREASES; VASCULAR PLANTS; RESPONSES; VEGETATION; COMMUNITY; TUNDRA; RESPIRATION; PATTERNS</t>
  </si>
  <si>
    <t>Climate-based models predict global warming will cause mountain plants to migrate upward with local extirpation of species currently restricted to the highest elevations. Alpine monitoring studies have generally documented changes in alpine plant distributions consistent with these predictions; however, relatively few such studies have been reported from North America. I estimated canopy cover in 71 permanent microplots at two alpine moist-turf sites in Glacier National Park, Montana, U.S.A., three times between 1988 and 2011. Mean annual and summer temperatures were approximately 0.6 and 0.7 degrees C higher than the previous four decades, respectively. Plants more restricted to high elevations declined more than species with a broader elevational amplitude during this time. Dicots were more likely to have declined than monocots. These data support predictions and provide information that may help refine climate-envelope models.</t>
  </si>
  <si>
    <t>Univ Montana, Div Biol Sci, Missoula, MT 59812 USA</t>
  </si>
  <si>
    <t>University of Montana System; University of Montana</t>
  </si>
  <si>
    <t>Lesica, P (corresponding author), Univ Montana, Div Biol Sci, Missoula, MT 59812 USA.</t>
  </si>
  <si>
    <t>peter.lesica@mso.umt.edu</t>
  </si>
  <si>
    <t>U.S. National Park Service</t>
  </si>
  <si>
    <t>Kathy Ahlenslager, Teri Allendorf, Jennifer Asebrook, Levi Besaw, Tara Carolin, Ann DeBolt, Pete Del Zotto, Jennifer Hintz, Laurie Kurth, Bruce McCune, and Diane Taylor assisted in the field. Rober Pal provided helpful comments on the manuscript. This study was funded by the U.S. National Park Service.</t>
  </si>
  <si>
    <t>10.1657/1938-4246-46.2.327</t>
  </si>
  <si>
    <t>WOS:000336778500003</t>
  </si>
  <si>
    <t>Navarro, EJ; Martín-Español, A; Lapazaran, JJ; Grabiec, M; Otero, J; Vasilenko, EV; Puczko, D</t>
  </si>
  <si>
    <t>Navarro, E. J.; Martin-Espanol, A.; Lapazaran, J. J.; Grabiec, M.; Otero, J.; Vasilenko, E. V.; Puczko, D.</t>
  </si>
  <si>
    <t>Ice Volume Estimates from Ground-Penetrating Radar Surveys, Wedel Jarlsberg Land Glaciers, Svalbard</t>
  </si>
  <si>
    <t>RECONCILED ESTIMATE; HANSBREEN; SPITSBERGEN; THICKNESS</t>
  </si>
  <si>
    <t>We present ground-penetrating radar (GPR)-based volume calculations, with associated error estimates, for eight glaciers on Wedel Jarlsberg Land, southwestern Spitsbergen, Svalbard, and compare them with those obtained from volume-area scaling relationships. The volume estimates are based upon GPR ice-thickness data collected during the period 2004-2013. The total area and volume of the ensemble are 502.91 +/- 18.60 km(2) and 91.91 +/- 3.12 km(3), respectively. The individual areas, volumes, and average ice thickness lie within 0.37-140.99 km(2), 0.01-31.98 km(3), and 28-227 m, respectively, with a maximum recorded ice thickness of 619 13 m on Austre Torellbreen. To estimate the ice volume of unsurveyed tributary glaciers, we combine polynomial cross-sections with a function providing the best fit to the measured ice thickness along the center line of a collection of 22 surveyed tributaries. For the time-to-depth conversion of GPR data, we test the use of a glacierwide constant radio-wave velocity chosen on the basis of local or regional common midpoint measurements, versus the use of distinct velocities for the firn, cold ice, and temperate ice layers, concluding that the corresponding volume calculations agree with each other within their error bounds.</t>
  </si>
  <si>
    <t>[Navarro, E. J.; Martin-Espanol, A.; Lapazaran, J. J.; Otero, J.] Univ Politecn Madrid, Dept Appl Math, ETSI Telecomunicac, E-28040 Madrid, Spain; [Grabiec, M.] Univ Silesia, Fac Earth Sci, PL-41200 Sosnowiec, Poland; [Vasilenko, E. V.] Acad Sci Uzbek, Inst Ind Res Akadempribor, Tashkent 100123, Uzbekistan; [Puczko, D.] Polish Acad Sci, Inst Geophys, PL-01452 Warsaw, Poland</t>
  </si>
  <si>
    <t>Universidad Politecnica de Madrid; University of Silesia in Katowice; Academy of Sciences of Uzbekistan; Polish Academy of Sciences; Institute of Geophysics of the Polish Academy of Sciences</t>
  </si>
  <si>
    <t>Navarro, EJ (corresponding author), Univ Politecn Madrid, Dept Appl Math, ETSI Telecomunicac, Av Complutense 30, E-28040 Madrid, Spain.</t>
  </si>
  <si>
    <t>francisco.navarro@upm.es</t>
  </si>
  <si>
    <t>Otero, Jaime/L-6521-2014; Navarro, Francisco/L-2941-2014; Vasilenko, Evgeny/ABH-7433-2020; Lapazaran, Javier Jesus/L-7362-2014</t>
  </si>
  <si>
    <t>Otero, Jaime/0000-0002-3518-7763; Navarro, Francisco/0000-0002-5147-0067; Martin, Alba/0000-0001-9495-9092; Lapazaran, Javier Jesus/0000-0003-1820-4960</t>
  </si>
  <si>
    <t>Spanish EuroResearch Programme (PolarCLIMATE-SvalGlac) [EUI2009-04096]; Spanish National Plan for RD [CGL2005-05483, CTM2008-05878, CTM2011-28980]; Polish National Centre for RD [NCBiR/PolarCLIMATE-2009/2-2/2010]; Polish Ministry of Science and Higher Education [IPY/269/2006, N N306 094939]; Polish-Norwegian funding through the AWAKE [PNRF-22-AI-1/07]; European Union [226375, ice2sea, 47]</t>
  </si>
  <si>
    <t>Spanish EuroResearch Programme (PolarCLIMATE-SvalGlac); Spanish National Plan for RD; Polish National Centre for RD; Polish Ministry of Science and Higher Education(Ministry of Science and Higher Education, Poland); Polish-Norwegian funding through the AWAKE; European Union(European Union (EU))</t>
  </si>
  <si>
    <t>This research was supported by grant EUI2009-04096 (PolarCLIMATE-SvalGlac) from the Spanish EuroResearch Programme; grants CGL2005-05483, CTM2008-05878, and CTM2011-28980 from the Spanish National Plan for R &amp; D; grant NCBiR/PolarCLIMATE-2009/2-2/2010 from the Polish National Centre for R &amp; D; grants IPY/269/2006 and N N306 094939 from the Polish Ministry of Science and Higher Education; Polish-Norwegian funding through the AWAKE (PNRF-22-AI-1/07) project; and the ice2sea programme from the European Union 7th Framework Programme, grant number 226375, ice2sea contribution number 47. Satellite imagery used in this paper were available from ASTER (c) METI and NASA (2005), for August 2004 and July 2006, and from SPOT-5 (c) CNES (2008), for August 2008, distribution Spot Image S.A., all rights reserved. The paper was greatly improved by the comments and suggestions by Reinhard Drews and two anonymous reviewers. We also thank the associate editor, Jacob Clement Yde, for his efforts in improving the quality of the paper.</t>
  </si>
  <si>
    <t>10.1657/1938-4246-46.2.394</t>
  </si>
  <si>
    <t>WOS:000336778500010</t>
  </si>
  <si>
    <t>Senfeldr, M; Treml, V; Madera, P; Volarík, D</t>
  </si>
  <si>
    <t>Senfeldr, Martin; Treml, Vaclav; Madera, Petr; Volarik, Daniel</t>
  </si>
  <si>
    <t>Effects of Prostrate Dwarf Pine on Norway Spruce Clonal Groups in the Treeline Ecotone of the Hruby Jesenik Mountains, Czech Republic</t>
  </si>
  <si>
    <t>KRKONOSE MOUNTAINS; ALPINE TIMBERLINE; CLIMATE-CHANGE; PICEA-ABIES; SUB-ALPINE; FACILITATION; DYNAMICS; LINE; COMPETITION; VEGETATION</t>
  </si>
  <si>
    <t>Global temperature increase would seem likely to result in general upwards shifts of altitudinal margins of tree stands. However, range expansion of trees could be significantly affected by both negative and positive interactions with alpine shrubs in existing treeline ecotones. We examined the effects of dwarf pine (Pinus mugo) shrubs on the vegetative propagation and height growth of Norway spruce (Picea abies) trees in the treeline ecotone of the Hruby Jesenik Mountains, Czech Republic. Here, the non-native dwarf pine was planted above timberline during the 19th and 20th-centuries. In the treeline ecotone, vegetative propagation is important both for generation of clonal groups from seed-originated individuals and for persistence of such stands. We found that increasing density of dwarf pine stands strongly reduced vegetative propagation of spruce, as shown by the spruce clonal groups surrounded by dense pine having fewer layering branches and ramets than such groups outside pine stands. This has likely resulted from competitive pressure of pine causing decreased spruce layering mainly through mechanical damage and shading. In contrast, dense pine stands increased spruce height growth, presumably by providing shelter against wind and/or browsing. Our results indicate that interactions of prostrate dwarf pine and Norway spruce clonal groups include both competitive and facilitative components, which probably change in importance along climatic stress gradients.</t>
  </si>
  <si>
    <t>[Senfeldr, Martin; Madera, Petr; Volarik, Daniel] Mendel Univ Brno, Dept Forest Bot Dendrol &amp; Geobiocoenol, Brno 61300, Czech Republic; [Treml, Vaclav] Charles Univ Prague, Dept Phys Geog &amp; Geoecol, Prague 12843, Czech Republic</t>
  </si>
  <si>
    <t>Mendel University in Brno; Charles University Prague</t>
  </si>
  <si>
    <t>Senfeldr, M (corresponding author), Mendel Univ Brno, Dept Forest Bot Dendrol &amp; Geobiocoenol, Zemedelska 3, Brno 61300, Czech Republic.</t>
  </si>
  <si>
    <t>martin.senfeldr@mendelu.cz</t>
  </si>
  <si>
    <t>Maděra, Petr/C-1392-2014; Volařík, Daniel/E-5891-2014; Šenfeldr, Martin/C-1897-2014; Treml, Vaclav/A-7508-2009</t>
  </si>
  <si>
    <t>Volařík, Daniel/0000-0002-3682-2992; Šenfeldr, Martin/0000-0002-8314-6632; Treml, Vaclav/0000-0001-5067-3308</t>
  </si>
  <si>
    <t>Internal Grant Agency of the Faculty of Forestry and WoodTechnology at Mendel University in Brno [38/2010]; European Union and the state budget of the Czech Republic [CZ.1.07/2.3.00/20.0004]; [GA CR P504/11/P557]</t>
  </si>
  <si>
    <t>Internal Grant Agency of the Faculty of Forestry and WoodTechnology at Mendel University in Brno; European Union and the state budget of the Czech Republic;</t>
  </si>
  <si>
    <t>This paper was supported by the Internal Grant Agency of the Faculty of Forestry and WoodTechnology at Mendel University in Brno (projects 38/2010) and by the project for creation and development of a multidisciplinary landscape team (no. CZ.1.07/2.3.00/20.0004), with financial contribution from the European Union and the state budget of the Czech Republic. V. Treml was supported by project GA CR P504/11/P557. The authors wish to thank J. Rosenthal for improving the English. Additionally, we are grateful to T. Kyncl for initial suggestions and help in the field.</t>
  </si>
  <si>
    <t>10.1657/1938-4246-46.2.430</t>
  </si>
  <si>
    <t>WOS:000336778500013</t>
  </si>
  <si>
    <t>Chen, RS; Song, YX; Kang, ES; Han, CT; Liu, JF; Yang, Y; Qing, WW; Liu, ZW</t>
  </si>
  <si>
    <t>Chen, R. S.; Song, Y. X.; Kang, E. S.; Han, C. T.; Liu, J. F.; Yang, Y.; Qing, W. W.; Liu, Z. W.</t>
  </si>
  <si>
    <t>A Cryosphere-Hydrology Observation System in a Small Alpine Watershed in the Qilian Mountains of China and Its Meteorological Gradient</t>
  </si>
  <si>
    <t>AIR-TEMPERATURE; PRECIPITATION GRADIENTS; CLIMATE-CHANGE; RIVER-BASIN; LAPSE RATES; ALTITUDE; TOPOGRAPHY; MODEL; SIMULATION; ATMOSPHERE</t>
  </si>
  <si>
    <t>The unavailability of sufficient data at higher elevations causes many uncertainties in research on cold regions. This study considers a cryosphere-hydrology observation system established in 2008 at the Hulu small alpine watershed in the Qilian Mountains of Northwest China. The altitudinal gradient of weather factors is analyzed using data from the Hulu watershed and routine stations located in the Heihe upstream. The data presented here provide the following knowledge of mountain meteorology at elevations from 3367 m to 4166 m/4248 m in the Qilian Mountains: (1) the yearly precipitation altitude relationship is linear in regions below 4248 m in the Heihe upstream, where the precipitation gradient increased marginally from 1960 to 2011; (2) the yearly air temperature lapse rate (TLR) is weaker at higher elevations (&gt;3000 m), and the seasonal TLR became more divergent between winter and summer half-years from 1960 to 2011 (yearly mean 5.6 degrees C km(-1)); (3) in the Hulu watershed, the LRs of water vapor pressure and absolute humidity are higher in warm seasons with yearly means of 1.1 hpa km(-1) and 0.84 g km(-1), respectively, and the maximum relative humidity value is found at elevations between 3500 and 3700 m in the Heihe upstream; (4) the long-term existence of snow increases the albedo to yearly means of 0.22, 0.30, 0.35, and 0.27 in areas of grassland, meadow, marshy meadow, and alpine desert in the Hulu watershed, respectively. The relationship between monthly net radiation and soil surface temperature (Ts) is linear, and the mean Ts LR was about 7.5 degrees C km(-1) from July 2009 to September 2011.</t>
  </si>
  <si>
    <t>[Chen, R. S.; Song, Y. X.; Kang, E. S.; Han, C. T.; Liu, J. F.; Yang, Y.; Qing, W. W.; Liu, Z. W.] Chinese Acad Sci, Cold &amp; Arid Reg Environm &amp; Engn Res Inst, Qilian Alpine Ecol &amp; Hydrol Res Stn, Key Lab Inland River Ecohydrol, Lanzhou 730000, Peoples R China</t>
  </si>
  <si>
    <t>Chen, RS (corresponding author), Chinese Acad Sci, Cold &amp; Arid Reg Environm &amp; Engn Res Inst, Qilian Alpine Ecol &amp; Hydrol Res Stn, Key Lab Inland River Ecohydrol, 320 Donggang West Rd, Lanzhou 730000, Peoples R China.</t>
  </si>
  <si>
    <t>crs2008@lzb.ac.cn</t>
  </si>
  <si>
    <t>Liu, Betty231#/L-7374-2019</t>
  </si>
  <si>
    <t>Liu, Betty231#/0000-0002-2791-9653</t>
  </si>
  <si>
    <t>National Natural Sciences Foundation of China [91025011, 41222001, 91125013, 91025001]</t>
  </si>
  <si>
    <t>National Natural Sciences Foundation of China(National Natural Science Foundation of China (NSFC))</t>
  </si>
  <si>
    <t>This paper is principally supported by the National Natural Sciences Foundation of China (grant numbers 91025011, 41222001, 91125013, and 91025001).</t>
  </si>
  <si>
    <t>10.1657/1938-4246-46.2.505</t>
  </si>
  <si>
    <t>WOS:000336778500018</t>
  </si>
  <si>
    <t>Bird, TJ; Bates, AE; Lefcheck, JS; Hill, NA; Thomson, RJ; Edgar, GJ; Stuart-Smith, RD; Wotherspoon, S; Krkosek, M; Stuart-Smith, JF; Pecl, GT; Barrett, N; Frusher, S</t>
  </si>
  <si>
    <t>Bird, Tomas J.; Bates, Amanda E.; Lefcheck, Jonathan S.; Hill, Nicole A.; Thomson, Russell J.; Edgar, Graham J.; Stuart-Smith, Rick D.; Wotherspoon, Simon; Krkosek, Martin; Stuart-Smith, Jemina F.; Pecl, Gretta T.; Barrett, Neville; Frusher, Stewart</t>
  </si>
  <si>
    <t>Statistical solutions for error and bias in global citizen science datasets</t>
  </si>
  <si>
    <t>Volunteer data; Statistical analysis; Experimental design; Linear models; Additive models; Species distribution models; Biodiversity; Reef life survey</t>
  </si>
  <si>
    <t>SPECIES DISTRIBUTIONS; DISTRIBUTION MODELS; DIVERSITY; BIODIVERSITY; REGRESSION; ABUNDANCE; CONSEQUENCES; RELIABILITY; VOLUNTEERS; PREDICTION</t>
  </si>
  <si>
    <t>Networks of citizen scientists (CS) have the potential to observe biodiversity and species distributions at global scales. Yet the adoption of such datasets in conservation science may be hindered by a perception that the data are of low quality. This perception likely stems from the propensity of data generated by CS to contain greater levels of variability (e.g., measurement error) or bias (e.g., spatio-temporal clustering) in comparison to data collected by scientists or instruments. Modern analytical approaches can account for many types of error and bias typical of CS datasets. It is possible to (1) describe how pseudo-replication in sampling influences the overall variability in response data using mixed-effects modeling, (2) integrate data to explicitly model the sampling process and account for bias using a hierarchical modeling framework, and (3) examine the relative influence of many different or related explanatory factors using machine learning tools. Information from these modeling approaches can be used to predict species distributions and to estimate biodiversity. Even so, achieving the full potential from CS projects requires meta-data describing the sampling process, reference data to allow for standardization, and insightful modeling suitable to the question of interest. (C) 2013 Elsevier Ltd. All rights reserved.</t>
  </si>
  <si>
    <t>[Bird, Tomas J.] Univ Melbourne, Sch Bot, Parkville, Vic 3010, Australia; [Bird, Tomas J.; Bates, Amanda E.; Hill, Nicole A.; Thomson, Russell J.; Edgar, Graham J.; Stuart-Smith, Rick D.; Wotherspoon, Simon; Stuart-Smith, Jemina F.; Pecl, Gretta T.; Barrett, Neville; Frusher, Stewart] Univ Tasmania, Inst Marine &amp; Antarctic Studies, Hobart, Tas 7001, Australia; [Lefcheck, Jonathan S.] Virginia Inst Marine Sci, Coll William &amp; Mary, Gloucester Point, VA 23062 USA; [Krkosek, Martin] Univ Toronto, Ramsay Wright Zool Labs, Dept Ecol &amp; Evolutionary Biol, Toronto, ON M5S 3G5, Canada</t>
  </si>
  <si>
    <t>University of Melbourne; University of Tasmania; William &amp; Mary; Virginia Institute of Marine Science; University of Toronto</t>
  </si>
  <si>
    <t>Bird, TJ (corresponding author), Univ Melbourne, Sch Bot, Parkville, Vic 3010, Australia.</t>
  </si>
  <si>
    <t>tbird@student.unimelb.edu.au</t>
  </si>
  <si>
    <t>Pecl, Gretta/D-7267-2011; Edgar, Graham/AAY-3797-2020; Bates, Amanda E./ABD-6874-2021; Hill, Nicole/AAI-7323-2021; Stuart-Smith, Rick/I-5214-2019; Wotherspoon, Simon J/B-2390-2013; Lefcheck, Jonathan/H-8768-2019; Edgar, Graham/C-8341-2013; Stuart-Smith, Rick D/M-1829-2013; Thomson, Russell/H-5653-2012; Barrett, Neville/J-7593-2014; Frusher, Stewart/G-5117-2014</t>
  </si>
  <si>
    <t>Pecl, Gretta/0000-0003-0192-4339; Edgar, Graham/0000-0003-0833-9001; Bates, Amanda E./0000-0002-0198-4537; Hill, Nicole/0000-0001-9329-6717; Stuart-Smith, Rick/0000-0002-8874-0083; Wotherspoon, Simon J/0000-0002-6947-4445; Lefcheck, Jonathan/0000-0002-8787-1786; Edgar, Graham/0000-0003-0833-9001; Stuart-Smith, Rick D/0000-0002-8874-0083; Thomson, Russell/0000-0003-4949-4120; Barrett, Neville/0000-0002-6167-1356; Frusher, Stewart/0000-0003-2493-3676</t>
  </si>
  <si>
    <t>Australian Research Council Linkage doctoral fellowship; Australian Research Council Centre for Excellence in Environmental Decisions; Fisheries Research Development Corporation; National Climate Change Adaptation Facility; Australian National Network in Marine Science; former Commonwealth Environment Research Facilities Program; Marine Biodiversity Hub; Australian Government's National Environmental Research Program</t>
  </si>
  <si>
    <t>Australian Research Council Linkage doctoral fellowship(Australian Research Council); Australian Research Council Centre for Excellence in Environmental Decisions(Australian Research Council); Fisheries Research Development Corporation; National Climate Change Adaptation Facility; Australian National Network in Marine Science; former Commonwealth Environment Research Facilities Program; Marine Biodiversity Hub; Australian Government's National Environmental Research Program(Australian Government)</t>
  </si>
  <si>
    <t>T.J.B. was supported by an Australian Research Council Linkage doctoral fellowship and the Australian Research Council Centre for Excellence in Environmental Decisions. Salary for A.E.B was by the Fisheries Research Development Corporation, the National Climate Change Adaptation Facility, and the Australian National Network in Marine Science (a collaborative funding initiative between James Cook University, the University of Tasmania, and the University of Western Australia). Development of the RLS dataset was supported by the former Commonwealth Environment Research Facilities Program, while analyses of this dataset were supported by the Marine Biodiversity Hub, a collaborative partnership supported through the Australian Government's National Environmental Research Program. In addition, we thank the many Reef Life Survey volunteers who contributed their time and energy to collecting these data, as well as several anonymous reviewers for their thoughtful comments.</t>
  </si>
  <si>
    <t>10.1016/j.biocon.2013.07.037</t>
  </si>
  <si>
    <t>AI4ZB</t>
  </si>
  <si>
    <t>WOS:000336874100017</t>
  </si>
  <si>
    <t>Desprez, M; Harcourt, R; Hindell, MA; Cubaynes, S; Gimenez, O; McMahon, CR</t>
  </si>
  <si>
    <t>Desprez, Marine; Harcourt, Robert; Hindell, Mark A.; Cubaynes, Sarah; Gimenez, Olivier; McMahon, Clive R.</t>
  </si>
  <si>
    <t>Age-specific cost of first reproduction in female southern elephant seals</t>
  </si>
  <si>
    <t>primiparity; survival; life history; Mirounga leonina; capture-mark-recapture; demography</t>
  </si>
  <si>
    <t>SURVIVAL; GROWTH</t>
  </si>
  <si>
    <t>When to commence breeding is a crucial life-history decision that may be the most important determinant of an individual's lifetime reproductive output and can have major consequences on population dynamics. The age at which individuals first reproduce is an important factor influencing the intensity of potential costs (e.g. reduced survival) involved in the first breeding event. However, quantifying age-related variation in the cost of first reproduction in wild animals remains challenging because of the difficulty in reliably recording the first breeding event. Here, using a multi-event capture-recapture model that accounts for both imperfect detection and uncertainty in the breeding status on an 18-year dataset involving 6637 individuals, we estimated age and state-specific survival of female elephant seals (Mirounga leonina) in the declining Macquarie Island population. We detected a clear cost of first reproduction on survival. This cost was higher for both younger first-time breeders and older first-time breeders compared with females recruiting at age four, the overall mean age at first reproduction. Neither earlier primiparity nor delaying primiparity appear to confer any evolutionary advantage, rather the optimal strategy seems to be to start breeding at a single age, 4 years.</t>
  </si>
  <si>
    <t>[Desprez, Marine; Harcourt, Robert] Macquarie Univ, Dept Biol Sci, Marine Predator Res Grp, N Ryde, NSW 2109, Australia; [Hindell, Mark A.; McMahon, Clive R.] Univ Tasmania, Inst Marine &amp; Antarctic Studies, Hobart, Tas 7001, Australia; [Cubaynes, Sarah] Univ Oxford, Dept Zool, Oxford OX1 3PS, England; [Gimenez, Olivier] Ctr Ecol Fonct &amp; Evolut, UMR 5175, F-34293 Montpellier 5, France; [McMahon, Clive R.] Sydney Inst Marine Sci, Mosman, NSW 2088, Australia</t>
  </si>
  <si>
    <t>Macquarie University; University of Tasmania; University of Oxford;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Sydney Institute of Marine Science</t>
  </si>
  <si>
    <t>Desprez, M (corresponding author), Macquarie Univ, Dept Biol Sci, Marine Predator Res Grp, N Ryde, NSW 2109, Australia.</t>
  </si>
  <si>
    <t>marine.desprez@mq.edu.au</t>
  </si>
  <si>
    <t>Hindell, Mark A/K-1131-2013; Gimenez, Olivier/G-4281-2010; McMahon, Clive R/D-5713-2013; Desprez, Marine/I-8054-2014; Cubaynes, Sarah/JOK-5811-2023</t>
  </si>
  <si>
    <t>McMahon, Clive R/0000-0001-5241-8917; Hindell, Mark/0000-0002-7823-7185; Harcourt, Robert/0000-0003-4666-2934; Gimenez, Olivier/0000-0001-7001-5142</t>
  </si>
  <si>
    <t>International Macquarie University Research Excellence Scholarship; NERC</t>
  </si>
  <si>
    <t>International Macquarie University Research Excellence Scholarship; NERC(UK Research &amp; Innovation (UKRI)Natural Environment Research Council (NERC))</t>
  </si>
  <si>
    <t>M.D. is supported by an International Macquarie University Research Excellence Scholarship. S.C. acknowledges NERC for funding.</t>
  </si>
  <si>
    <t>10.1098/rsbl.2014.0264</t>
  </si>
  <si>
    <t>AI3SW</t>
  </si>
  <si>
    <t>WOS:000336783500017</t>
  </si>
  <si>
    <t>Wadley, MR; Jickells, TD; Heywood, KJ</t>
  </si>
  <si>
    <t>Wadley, Martin R.; Jickells, Timothy D.; Heywood, Karen J.</t>
  </si>
  <si>
    <t>The role of iron sources and transport for Southern Ocean productivity</t>
  </si>
  <si>
    <t>Iron; Southern Ocean; Model; Productivity; Icebergs; Sediments</t>
  </si>
  <si>
    <t>ANTARCTIC POLAR FRONT; DISSOLVED IRON; PHYTOPLANKTON BLOOMS; SPATIAL-DISTRIBUTION; SURFACE WATERS; SCOTIA SEA; ROSS SEA; LIMITATION; WEDDELL; FERTILIZATION</t>
  </si>
  <si>
    <t>Iron has been found to limit primary productivity in high nutrient, low chlorophyll regions of the oceans, including the Southern Ocean. Here we assess the relative magnitudes and geographical distributions of the sources of iron (sedimentary, atmospheric, icebergs and sea ice) to the Southern Ocean, and their impact on productivity. We present an iron cycling model, based on the assumptions of iron and light limitation of primary production, which is embedded in an eddy resolving ocean general circulation model. We find that the injection depth of the various iron inputs determines their availability for driving production because dissolved iron may be scavenged prior to it entering the illuminated mixed layer where it can drive primary production. The model suggests that production is predominantly regulated by sediment-derived iron sources rather than icebergs, sea ice or atmospheric dust. We note non-linear response in productivity to changes in the strength of one or more iron sources due to scavenging. Sea ice influences productivity by modifying the timing of iron supply to the euphotic zone. We also show that in the Scotia Sea the majority of productivity is driven by sediment-sourced iron from the Antarctic Peninsula, with additional local hotspots driven by island sources. (c) 2014 Elsevier Ltd. All rights reserved.</t>
  </si>
  <si>
    <t>[Wadley, Martin R.; Jickells, Timothy D.; Heywood, Karen J.] Univ E Anglia, Sch Environm Sci, Ctr Ocean &amp; Atmospher Sci, Norwich NR4 7TJ, Norfolk, England</t>
  </si>
  <si>
    <t>University of East Anglia</t>
  </si>
  <si>
    <t>Jickells, TD (corresponding author), Univ E Anglia, Sch Environm Sci, Ctr Ocean &amp; Atmospher Sci, Norwich Res Pk, Norwich NR4 7TJ, Norfolk, England.</t>
  </si>
  <si>
    <t>T.Jickells@uea.ac.uk</t>
  </si>
  <si>
    <t>Heywood, Karen/L-1757-2016</t>
  </si>
  <si>
    <t>NERC Antarctic Funding Initiative [NE/C50633X/1 - ADELIE]; Research Computing Science at the University of East Anglia; Natural Environment Research Council [NE/C50633X/1] Funding Source: researchfish; NERC [NE/C50633X/1] Funding Source: UKRI</t>
  </si>
  <si>
    <t>NERC Antarctic Funding Initiative(UK Research &amp; Innovation (UKRI)Natural Environment Research Council (NERC)); Research Computing Science at the University of East Anglia; Natural Environment Research Council(UK Research &amp; Innovation (UKRI)Natural Environment Research Council (NERC)); NERC(UK Research &amp; Innovation (UKRI)Natural Environment Research Council (NERC))</t>
  </si>
  <si>
    <t>The research presented in this paper was funded by the NERC Antarctic Funding Initiative (Grant NE/C50633X/1 - ADELIE). The model integrations were carried out on the High Performance Computing Cluster supported by Research Computing Science at the University of East Anglia. We thank the four reviewers and the editor for their helpful and constructive comments that have greatly improved this paper.</t>
  </si>
  <si>
    <t>10.1016/j.dsr.2014.02.003</t>
  </si>
  <si>
    <t>AG2ZU</t>
  </si>
  <si>
    <t>WOS:000335286400009</t>
  </si>
  <si>
    <t>Convey, P; Chown, SL; Clarke, A; Barnes, DKA; Bokhorst, S; Cummings, V; Ducklow, HW; Frati, F; Green, TGA; Gordon, S; Griffiths, HJ; Howard-Williams, C; Huiskes, AHL; Laybourn-Parry, J; Lyons, WB; McMinn, A; Morley, SA; Peck, LS; Quesada, A; Robinson, SA; Schiaparelli, S; Wall, DH</t>
  </si>
  <si>
    <t>Convey, Peter; Chown, Steven L.; Clarke, Andrew; Barnes, David K. A.; Bokhorst, Stef; Cummings, Vonda; Ducklow, Hugh W.; Frati, Francesco; Green, T. G. Allan; Gordon, Shulamit; Griffiths, Huw J.; Howard-Williams, Clive; Huiskes, Ad H. L.; Laybourn-Parry, Johanna; Lyons, W. Berry; McMinn, Andrew; Morley, Simon A.; Peck, Lloyd S.; Quesada, Antonio; Robinson, Sharon A.; Schiaparelli, Stefano; Wall, Diana H.</t>
  </si>
  <si>
    <t>The spatial structure of Antarctic biodiversity</t>
  </si>
  <si>
    <t>ECOLOGICAL MONOGRAPHS</t>
  </si>
  <si>
    <t>environmental gradients; adaptation; biogeography; terrestrial environments; spatial scale and variation; historical contingency; marine</t>
  </si>
  <si>
    <t>MCMURDO DRY VALLEYS; SCALLOP ADAMUSSIUM-COLBECKI; SOUTHERN VICTORIA LAND; POPULATION GENETIC-STRUCTURE; REGIONAL CLIMATE-CHANGE; LICHEN GROWTH-RATES; KING GEORGE ISLAND; SHALLOW-WATER SITE; MOSS-TURF HABITAT; SEA-LEVEL CHANGE</t>
  </si>
  <si>
    <t>Patterns of environmental spatial structure lie at the heart of the most fundamental and familiar patterns of diversity on Earth. Antarctica contains some of the strongest environmental gradients on the planet and therefore provides an ideal study ground to test hypotheses on the relevance of environmental variability for biodiversity. To answer the pivotal question, How does spatial variation in physical and biological environmental properties across the Antarctic drive biodiversity? we have synthesized current knowledge on environmental variability across terrestrial, freshwater, and marine Antarctic biomes and related this to the observed biotic patterns. The most important physical driver of Antarctic terrestrial communities is the availability of liquid water, itself driven by solar irradiance intensity. Patterns of biota distribution are further strongly influenced by the historical development of any given location or region, and by geographical barriers. In freshwater ecosystems, free water is also crucial, with further important influences from salinity, nutrient availability, oxygenation, and characteristics of ice cover and extent. In the marine biome there does not appear to be one major driving force, with the exception of the oceanographic boundary of the Polar Front. At smaller spatial scales, ice cover, ice scour, and salinity gradients are clearly important determinants of diversity at habitat and community level. Stochastic and extreme events remain an important driving force in all environments, particularly in the context of local extinction and colonization or recolonization, as well as that of temporal environmental variability. Our synthesis demonstrates that the Antarctic continent and surrounding oceans provide an ideal study ground to develop new biogeographical models, including life history and physiological traits, and to address questions regarding biological responses to environmental variability and change.</t>
  </si>
  <si>
    <t>[Convey, Peter; Clarke, Andrew; Barnes, David K. A.; Griffiths, Huw J.; Morley, Simon A.; Peck, Lloyd S.] British Antarctic Survey, Nat Environm Res Council, Cambridge CB3 0ET, England; [Convey, Peter] Univ Malaya, Natl Antarctic Res Ctr, Kuala Lumpur 50603, Malaysia; [Chown, Steven L.] Monash Univ, Sch Biol Sci, Clayton, Vic 3800, Australia; [Bokhorst, Stef] Swedish Univ Agr Sci, Dept Forest Ecol &amp; Management, SE-90183 Umea, Sweden; [Cummings, Vonda] Natl Inst Water &amp; Atmospher Res, Wellington 6241, New Zealand; [Ducklow, Hugh W.] Lamont Doherty Earth Observ, Palisades, NY 10964 USA; [Frati, Francesco] Univ Siena, Dept Life Sci, I-53100 Siena, Italy; [Green, T. G. Allan] Univ Waikato, Dept Biol Sci, Hamilton, New Zealand; [Gordon, Shulamit] Antarctica New Zealand, Christchurch 8140, New Zealand; [Howard-Williams, Clive] Natl Inst Water &amp; Atmospher Res, Christchurch 8440, New Zealand; [Huiskes, Ad H. L.] Netherlands Inst Ecol NIOO KNAW, Unit Polar Ecol, NL-4400 AC Yerseke, Netherlands; [Laybourn-Parry, Johanna] Univ Bristol, Sch Geog Sci, Bristol Glaciol Ctr, Bristol BS8 1SS, Avon, England; [Lyons, W. Berry] Ohio State Univ, Sch Earth Sci, Byrd Polar Res Ctr, Columbus, OH 43210 USA; [McMinn, Andrew] Univ Tasmania, Inst Marine &amp; Antarctic Studies, Hobart, Tas 7001, Australia; [Quesada, Antonio] Univ Autonoma Madrid, Dept Biol, E-28049 Madrid, Spain; [Robinson, Sharon A.] Univ Wollongong, Inst Conservat Biol, Wollongong, NSW 2522, Australia; [Schiaparelli, Stefano] Univ Genoa, Dipartimento Sci Terra Ambiente &amp; Vita DISTAV, I-16132 Genoa, Italy; [Wall, Diana H.] Colorado State Univ, Dept Biol, Ft Collins, CO 80523 USA; [Wall, Diana H.] Colorado State Univ, Nat Resource Ecol Lab, Ft Collins, CO 80523 USA</t>
  </si>
  <si>
    <t>UK Research &amp; Innovation (UKRI); Natural Environment Research Council (NERC); NERC British Antarctic Survey; Universiti Malaya; Monash University; Swedish University of Agricultural Sciences; National Institute of Water &amp; Atmospheric Research (NIWA) - New Zealand; Columbia University; University of Siena; University of Waikato; National Institute of Water &amp; Atmospheric Research (NIWA) - New Zealand; Royal Netherlands Academy of Arts &amp; Sciences; Netherlands Institute of Ecology (NIOO-KNAW); University of Bristol; University System of Ohio; Ohio State University; University of Tasmania; Autonomous University of Madrid; University of Wollongong; University of Genoa; Colorado State University; Colorado State University</t>
  </si>
  <si>
    <t>Convey, P (corresponding author), British Antarctic Survey, Nat Environm Res Council, Madingley Rd, Cambridge CB3 0ET, England.</t>
  </si>
  <si>
    <t>pcon@bas.ac.uk</t>
  </si>
  <si>
    <t>Bokhorst, Stef/D-1858-2009; Convey, Peter/AAV-5728-2020; Griffiths, Huw J/D-4234-2009; Robinson, Sharon/B-2683-2008; Wall, Diana H/F-5491-2011; Schiaparelli, Stefano/AAI-4024-2020; Chown, Steven/ABD-7646-2021; McMinn, Andrew/A-9910-2008; Chown, Steven/H-3347-2011; Quesada, Antonio/L-2430-2013</t>
  </si>
  <si>
    <t>Convey, Peter/0000-0001-8497-9903; Griffiths, Huw J/0000-0003-1764-223X; Robinson, Sharon/0000-0002-7130-9617; Schiaparelli, Stefano/0000-0002-0137-3605; Chown, Steven/0000-0001-6069-5105; Quesada, Antonio/0000-0002-8913-5993; Bokhorst, Stef/0000-0003-0184-1162; Cummings, Vonda/0000-0003-1076-3995; Howard-Williams, Clive/0000-0002-8323-6806</t>
  </si>
  <si>
    <t>U.S. NSF [ANT-0823101]; Directorate For Geosciences; Office of Polar Programs (OPP) [1440435] Funding Source: National Science Foundation; Division Of Polar Programs; Directorate For Geosciences [1344502] Funding Source: National Science Foundation; Office of Polar Programs (OPP); Directorate For Geosciences [1115245] Funding Source: National Science Foundation; Natural Environment Research Council [bas0100025, bas0100026] Funding Source: researchfish; NERC [bas0100025, bas0100026] Funding Source: UKRI</t>
  </si>
  <si>
    <t>U.S. NSF(National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</si>
  <si>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The authors thank an anonymous reviewer and D. M. Bergstrom for their helpful comments on a previous version. We are grateful to K. Linse for providing Fig. 2E. This synthesis emerged from a workshop sponsored by the Scientific Committee on Antarctic Research Evolution and Biodiversity in Antarctica program, to which it contributes. British Antarctic Survey authors are members of the Institute's Ecosystems and Environmental Change and Evolution research programs. H. Ducklow was supported by U.S. NSF Award ANT-0823101. This paper is Census of Antarctic Marine Life (CAML) contribution No. 86.</t>
  </si>
  <si>
    <t>0012-9615</t>
  </si>
  <si>
    <t>1557-7015</t>
  </si>
  <si>
    <t>ECOL MONOGR</t>
  </si>
  <si>
    <t>Ecol. Monogr.</t>
  </si>
  <si>
    <t>10.1890/12-2216.1</t>
  </si>
  <si>
    <t>AH1DJ</t>
  </si>
  <si>
    <t>Green Submitted, Bronze, Green Published</t>
  </si>
  <si>
    <t>WOS:000335859700002</t>
  </si>
  <si>
    <t>De Maayer, P; Anderson, D; Cary, C; Cowan, DA</t>
  </si>
  <si>
    <t>De Maayer, Pieter; Anderson, Dominique; Cary, Craig; Cowan, Don A.</t>
  </si>
  <si>
    <t>Some like it cold: understanding the survival strategies of psychrophiles</t>
  </si>
  <si>
    <t>EMBO REPORTS</t>
  </si>
  <si>
    <t>metagenomics; psychrophile; omic technologies; molecular adaptations; genomics</t>
  </si>
  <si>
    <t>SEA-ICE; COLWELLIA-PSYCHRERYTHRAEA; GENOME SEQUENCE; MOLECULAR-BASIS; LOW-TEMPERATURE; SHOCK RESPONSE; ADAPTATION; BACTERIUM; POLAR; MICROORGANISMS</t>
  </si>
  <si>
    <t>Much of the Earth's surface, both marine and terrestrial, is either periodically or permanently cold. Although habitats that are largely or continuously frozen are generally considered to be inhospitable to life, psychrophilic organisms have managed to survive in these environments. This is attributed to their innate adaptive capacity to cope with cold and its associated stresses. Here, we review the various environmental, physiological and molecular adaptations that psychrophilic microorganisms use to thrive under adverse conditions. We also discuss the impact of modern omic technologies in developing an improved understanding of these adaptations, highlighting recent work in this growing field.</t>
  </si>
  <si>
    <t>[De Maayer, Pieter; Cowan, Don A.] Univ Pretoria, Dept Genet, Ctr Microbial Ecol &amp; Genom, ZA-0002 Pretoria, South Africa; [Anderson, Dominique] Univ Western Cape, Dept Biotechnol, Inst Microbial Biotechnol &amp; Metagen, Cape Town, South Africa; [Cary, Craig] Univ Waikato, Int Ctr Terr Antarctic Res, Hamilton, New Zealand</t>
  </si>
  <si>
    <t>University of Pretoria; University of the Western Cape; University of Waikato</t>
  </si>
  <si>
    <t>Cowan, DA (corresponding author), Univ Pretoria, Dept Genet, Ctr Microbial Ecol &amp; Genom, ZA-0002 Pretoria, South Africa.</t>
  </si>
  <si>
    <t>Don.Cowan@up.ac.za</t>
  </si>
  <si>
    <t>Cowan, Donald A/E-3991-2012; De Maayer, Pieter/AAC-2732-2020; De Maayer, Pieter/A-9281-2010; Anderson, Dominique/JDR-9952-2023</t>
  </si>
  <si>
    <t>Cowan, Donald A/0000-0001-8059-861X; Anderson, Dominique/0000-0002-4337-8009; Cary, Stephen/0000-0002-2876-2387; De Maayer, Pieter/0000-0001-8550-642X</t>
  </si>
  <si>
    <t>1469-221X</t>
  </si>
  <si>
    <t>1469-3178</t>
  </si>
  <si>
    <t>EMBO REP</t>
  </si>
  <si>
    <t>EMBO Rep.</t>
  </si>
  <si>
    <t>10.1002/embr.201338170</t>
  </si>
  <si>
    <t>Biochemistry &amp; Molecular Biology; Cell Biology</t>
  </si>
  <si>
    <t>AG7EC</t>
  </si>
  <si>
    <t>WOS:000335579900016</t>
  </si>
  <si>
    <t>Couto, N; Fritt-Rasmussen, J; Jensen, PE; Hojrup, M; Rodrigo, AP; Ribeiro, AB</t>
  </si>
  <si>
    <t>Couto, Nazare; Fritt-Rasmussen, Janne; Jensen, Pernille E.; Hojrup, Mads; Rodrigo, Ana P.; Ribeiro, Alexandra B.</t>
  </si>
  <si>
    <t>Suitability of oil bioremediation in an Artic soil using surplus heating from an incineration facility</t>
  </si>
  <si>
    <t>ENVIRONMENTAL SCIENCE AND POLLUTION RESEARCH</t>
  </si>
  <si>
    <t>Arctic; Bioremediation; Biostimulation; Oil contamination; Surplus heat</t>
  </si>
  <si>
    <t>CONTAMINATED ANTARCTIC SOIL; PETROLEUM-HYDROCARBONS; COLD ENVIRONMENTS; ARCTIC SOILS; SITE; REMEDIATION; SPILLS; BIODEGRADATION; BIOSTIMULATION; TEMPERATURE</t>
  </si>
  <si>
    <t>A 168-day period field study, carried out in Sisimiut, Greenland, assessed the potential to enhance soil remediation with the surplus heating from an incineration facility. This approach searches a feasible ex situ remediation process that could be extended throughout the year with low costs. Individual and synergistic effects of biostimulation were also tested, in parallel. An interim evaluation at the end of the first 42 days showed that biostimulation and active heating, as separate treatments, enhanced petroleum hydrocarbon (PHC) removal compared to natural attenuation. The coupling of both technologies was even more effective, corroborating the benefits of both techniques in a remediation strategy. However, between day 42 and day 168, there was an opposite remediation trend with all treatments suggesting a stabilization except for natural attenuation, where PHC values continued to decrease. This enforces the self-purification capacity of the system, even at low temperatures. Coupling biostimulation with active heating was the best approach for PHC removal, namely for a short period of time (42 days). The proposed remediation scheme can be considered a reliable option for faster PHC removal with low maintenance and using waste heating from an incineration facility.</t>
  </si>
  <si>
    <t>[Couto, Nazare; Ribeiro, Alexandra B.] Univ Nova Lisboa, Fac Ciencias &amp; Tecnol, CENSE, Dept Ciencias &amp; Engn Ambiente, Caparica, Portugal; [Fritt-Rasmussen, Janne; Jensen, Pernille E.; Hojrup, Mads; Rodrigo, Ana P.] Tech Univ Denmark, Dept Civil Engn, DK-2800 Lyngby, Denmark; [Fritt-Rasmussen, Janne] Aarhus Univ, Arctic Res Ctr, Dept Biosci, Roskilde, Denmark; [Rodrigo, Ana P.] Univ Nova Lisboa, Fac Ciencias &amp; Tecnol, Dept Ciencias &amp; Engn Ambiente, Caparica, Portugal</t>
  </si>
  <si>
    <t>Universidade Nova de Lisboa; Technical University of Denmark; Aarhus University; Universidade Nova de Lisboa</t>
  </si>
  <si>
    <t>Couto, N (corresponding author), Univ Nova Lisboa, Fac Ciencias &amp; Tecnol, CENSE, Dept Ciencias &amp; Engn Ambiente, Caparica, Portugal.</t>
  </si>
  <si>
    <t>md.couto@fct.unl.pt</t>
  </si>
  <si>
    <t>Fritt-Rasmussen, Janne/GWC-7568-2022; Jensen, Pernille Erland Erland/A-1560-2011; Ribeiro, Alexandra B./B-3336-2012; Rodrigo, Ana P./AFO-0323-2022; Fritt-Rasmussen, Janne/HSB-7567-2023; Fritt-Rasmussen, Janne/AHD-0296-2022; Couto, Nazaré/D-3011-2014; Rodrigo, Ana P./T-3916-2017</t>
  </si>
  <si>
    <t>Jensen, Pernille Erland Erland/0000-0003-4718-1630; Ribeiro, Alexandra B./0000-0002-5606-3591; Fritt-Rasmussen, Janne/0000-0002-6496-8032; Couto, Nazaré/0000-0002-2911-6432; Rodrigo, Ana P./0000-0001-9310-4447</t>
  </si>
  <si>
    <t>Fundacao para a Ciencia e a Tecnologia [SFRH/BPD/81122/2011]; Fundação para a Ciência e a Tecnologia [SFRH/BPD/81122/2011] Funding Source: FCT</t>
  </si>
  <si>
    <t>Fundacao para a Ciencia e a Tecnologia(Fundacao para a Ciencia e a Tecnologia (FCT)); Fundação para a Ciência e a Tecnologia(Fundacao para a Ciencia e a Tecnologia (FCT))</t>
  </si>
  <si>
    <t>The authors would like to thank Malene Gronvold for the laboratorial support and analysis as well as Sisimut incineration plant in Greenland. Nazare Couto also thanks Fundacao para a Ciencia e a Tecnologia for her Post-Doc fellowship (SFRH/BPD/81122/2011) and Caixa Geral de Depositos for a mobility action in the scope of the New Generation of Polar Scientists Program.</t>
  </si>
  <si>
    <t>0944-1344</t>
  </si>
  <si>
    <t>1614-7499</t>
  </si>
  <si>
    <t>ENVIRON SCI POLLUT R</t>
  </si>
  <si>
    <t>Environ. Sci. Pollut. Res.</t>
  </si>
  <si>
    <t>10.1007/s11356-013-2466-3</t>
  </si>
  <si>
    <t>AF4LS</t>
  </si>
  <si>
    <t>WOS:000334684700045</t>
  </si>
  <si>
    <t>Leith, P; O'Toole, K; Haward, M; Coffey, B; Rees, C; Ogier, E</t>
  </si>
  <si>
    <t>Leith, Peat; O'Toole, Kevin; Haward, Marcus; Coffey, Brian; Rees, Chris; Ogier, Emily</t>
  </si>
  <si>
    <t>Analysis of operating environments: A diagnostic model for linking science, society and policy for sustainability</t>
  </si>
  <si>
    <t>ENVIRONMENTAL SCIENCE &amp; POLICY</t>
  </si>
  <si>
    <t>Science policy; Research outcomes; Environmental governance; Coastal zone management; Values; Problem structuring</t>
  </si>
  <si>
    <t>KNOWLEDGE SYSTEMS; MANAGEMENT; PARTICIPATION; VICTORIA</t>
  </si>
  <si>
    <t>Through analysis of the dynamics between science and decision-making, we argue that diagnosing fit-for purpose approaches to linking science and decision-making may be possible. Such diagnosis should enable identification of appropriate processes, institutions, objects (e.g. tools, information products) and relationships that can facilitate outcomes. We begin the paper by unsettling the traditional constructions that science must distance itself from debates about values and what is at stake, and so from policy making. Then, drawing from mixed methods case studies in coastal South-eastern Australia, we describe how scientific research has had a bearing on decisions affecting society and the environment. These analyses suggest that the willingness and capacity of research organisations, programmes or projects to actively reflect on and participate in the evolution of the 'operating environment' for their research is integral to their ability to inform outcomes through science. (C) 2014 Elsevier Ltd. All rights reserved.</t>
  </si>
  <si>
    <t>[Leith, Peat; Haward, Marcus; Rees, Chris; Ogier, Emily] Univ Tasmania, Inst Marine &amp; Antarctic Studies, Hobart, Tas 7001, Australia; [Leith, Peat] Univ Tasmania, Tasmanian Inst Agr, Hobart, Tas 7001, Australia; [O'Toole, Kevin] Deakin Univ, Sch Humanities &amp; Social Sci, Warrnambool, Vic, Australia; [Coffey, Brian] Deakin Univ, Alfred Deakin Res Inst, Burwood, Vic, Australia</t>
  </si>
  <si>
    <t>University of Tasmania; University of Tasmania; Deakin University; Deakin University</t>
  </si>
  <si>
    <t>Leith, P (corresponding author), Univ Tasmania, Tasmanian Inst Agr, Private Bag 98, Hobart, Tas 7001, Australia.</t>
  </si>
  <si>
    <t>Peat.Leith@utas.edu.au; kevin.otoole@dealdn.edu.au; Marcus.Haward@utas.edu.au; brian.coffey@deakin.edu.au; Chris.Rees@utas.edu.au; Emily.Ogier@utas.edu.au</t>
  </si>
  <si>
    <t>Leith, Peat/ABB-2829-2021; Haward, Marcus/G-3369-2014</t>
  </si>
  <si>
    <t>Ogier, Emily/0000-0001-6157-5279; Haward, Marcus/0000-0003-4775-0864</t>
  </si>
  <si>
    <t>CSIRO Coastal Collaboration Cluster; CSIRO Flagship Collaboration Fund</t>
  </si>
  <si>
    <t>CSIRO Coastal Collaboration Cluster; CSIRO Flagship Collaboration Fund(Commonwealth Scientific &amp; Industrial Research Organisation (CSIRO))</t>
  </si>
  <si>
    <t>This research was supported by the CSIRO Coastal Collaboration Cluster with funding from the CSIRO Flagship Collaboration Fund. We thank all participants in the case study research.</t>
  </si>
  <si>
    <t>1462-9011</t>
  </si>
  <si>
    <t>1873-6416</t>
  </si>
  <si>
    <t>ENVIRON SCI POLICY</t>
  </si>
  <si>
    <t>Environ. Sci. Policy</t>
  </si>
  <si>
    <t>10.1016/j.envsci.2014.01.001</t>
  </si>
  <si>
    <t>AI5ZF</t>
  </si>
  <si>
    <t>WOS:000336948800015</t>
  </si>
  <si>
    <t>Stern, AA; Holland, DM; Holland, PR; Jenkins, A; Sommeria, J</t>
  </si>
  <si>
    <t>Stern, A. A.; Holland, D. M.; Holland, P. R.; Jenkins, A.; Sommeria, J.</t>
  </si>
  <si>
    <t>The effect of geometry on ice shelf ocean cavity ventilation: a laboratory experiment</t>
  </si>
  <si>
    <t>EXPERIMENTS IN FLUIDS</t>
  </si>
  <si>
    <t>WATER MASS MODIFICATION; ROTATING FLUID; THERMOHALINE CIRCULATION; CONTINENTAL-SHELF; GRAVITY CURRENTS; SLOPING BOTTOM; ROSS SEA; ANTARCTICA; BENEATH; MODEL</t>
  </si>
  <si>
    <t>A laboratory experiment is constructed to simulate the density-driven circulation under an idealized Antarctic ice shelf and to investigate the flux of dense and freshwater in and out of the ice shelf cavity. Our results confirm that the ice front can act as a dynamic barrier that partially inhibits fluid from entering or exiting the ice shelf cavity, away from two wall-trapped boundary currents. This barrier results in a density jump across the ice front and in the creation of a zonal current which runs parallel to the ice front. However despite the barrier imposed by the ice front, there is still a significant amount of exchange of water in and out of the cavity. This exchange takes place through two dense and fresh gravity plumes which are constrained to flow along the sides of the domain by the Coriolis force. The flux through the gravity plumes and strength of the dynamic barrier are shown to be sensitive to changes in the ice shelf geometry and changes in the buoyancy fluxes which drive the flow.</t>
  </si>
  <si>
    <t>[Stern, A. A.; Holland, D. M.] NYU, Courant Inst Math Sci, New York, NY 10012 USA; [Holland, P. R.; Jenkins, A.] British Antarctic Survey, Cambridge CB3 0ET, England; [Sommeria, J.] Univ Grenoble Alpes, LEGI, CNRS, F-38000 Grenoble, France</t>
  </si>
  <si>
    <t>New York University; UK Research &amp; Innovation (UKRI); Natural Environment Research Council (NERC); NERC British Antarctic Survey; Communaute Universite Grenoble Alpes; Institut National Polytechnique de Grenoble; Universite Grenoble Alpes (UGA); Centre National de la Recherche Scientifique (CNRS)</t>
  </si>
  <si>
    <t>Stern, AA (corresponding author), NYU, Courant Inst Math Sci, 251 Mercer St, New York, NY 10012 USA.</t>
  </si>
  <si>
    <t>sternalon@gmail.com</t>
  </si>
  <si>
    <t>Jenkins, Adrian/IUN-2406-2023; Holland, Paul R/G-2796-2012</t>
  </si>
  <si>
    <t>Jenkins, Adrian/0000-0002-9117-0616</t>
  </si>
  <si>
    <t>NSF from the Antarctic Integrated System Science (AISS) program of the USA National Science Foundation (NSF) [ANT-1144504, ANT-0732869]; Center for Sea Level Change (CSLC) of New York University Abu Dhabi [G1204]; European Community's Sixth Framework Programme through the Integrated Infrastructure Initiative HYDRALAB III [022441 (RII3)]; NERC [bas0100028] Funding Source: UKRI; Natural Environment Research Council [bas0100028] Funding Source: researchfish</t>
  </si>
  <si>
    <t>NSF from the Antarctic Integrated System Science (AISS) program of the USA National Science Foundation (NSF)(National Science Foundation (NSF)NSF - Directorate for Geosciences (GEO)); Center for Sea Level Change (CSLC) of New York University Abu Dhabi; European Community's Sixth Framework Programme through the Integrated Infrastructure Initiative HYDRALAB III; NERC(UK Research &amp; Innovation (UKRI)Natural Environment Research Council (NERC)); Natural Environment Research Council(UK Research &amp; Innovation (UKRI)Natural Environment Research Council (NERC))</t>
  </si>
  <si>
    <t>A. Stern and D, Holland were supported from NSF grants ANT-1144504 and ANT-0732869, both from the Antarctic Integrated System Science (AISS) program of the USA National Science Foundation (NSF), as well as the Center for Sea Level Change (CSLC) of New York University Abu Dhabi Grant G1204. The technical assistance of Henri Didelle and Samuel Viboud is highly valued. The experimental campaign was supported by the European Community's Sixth Framework Programme through the Integrated Infrastructure Initiative HYDRALAB III, Contract no. 022441 (RII3).</t>
  </si>
  <si>
    <t>0723-4864</t>
  </si>
  <si>
    <t>1432-1114</t>
  </si>
  <si>
    <t>EXP FLUIDS</t>
  </si>
  <si>
    <t>Exp. Fluids</t>
  </si>
  <si>
    <t>10.1007/s00348-014-1719-3</t>
  </si>
  <si>
    <t>Engineering, Mechanical; Mechanics</t>
  </si>
  <si>
    <t>Engineering; Mechanics</t>
  </si>
  <si>
    <t>AH8TH</t>
  </si>
  <si>
    <t>WOS:000336410600002</t>
  </si>
  <si>
    <t>Koo, H; Basu, MK; Crowley, M; Aislabie, J; Bej, AK</t>
  </si>
  <si>
    <t>Koo, Hyunmin; Basu, Malay K.; Crowley, Michael; Aislabie, Jackie; Bej, Asim K.</t>
  </si>
  <si>
    <t>Draft Genome Sequence of Pseudomonas sp. Strain Ant30-3, a Psychrotolerant Bacterium with Biodegradative Attribute Isolated from Antarctica</t>
  </si>
  <si>
    <t>Pseudomonas sp. strain Ant30-3, isolated from fuel-contaminated Antarctic soil, exhibited distinctive psychrotolerant attributes and the potential for degrading aromatic hydrocarbon compounds at cold temperatures. We report here the 6.14-Mb draft genome of Ant30-3, which will provide insights into the genomic basis for the psychrotolerant and biodegradative properties of this bacterium.</t>
  </si>
  <si>
    <t>[Koo, Hyunmin; Bej, Asim K.] Univ Alabama Birmingham, Dept Biol, Birmingham, AL 35294 USA; [Basu, Malay K.] Univ Alabama Birmingham, Dept Pathol, Pathol Informat, Birmingham, AL 35294 USA; [Crowley, Michael] Univ Alabama Birmingham, Heflin Ctr Genom Sci, Birmingham, AL USA; [Aislabie, Jackie] Landcare Res, Hamilton, New Zealand</t>
  </si>
  <si>
    <t>University of Alabama System; University of Alabama Birmingham; University of Alabama System; University of Alabama Birmingham; University of Alabama System; University of Alabama Birmingham; Landcare Research - New Zealand</t>
  </si>
  <si>
    <t>Koo, Hyunmin/0000-0001-6630-2165</t>
  </si>
  <si>
    <t>UAB Department of Biology; Ministry of Business Innovation and Employment, New Zealand</t>
  </si>
  <si>
    <t>UAB Department of Biology; Ministry of Business Innovation and Employment, New Zealand(New Zealand Ministry of Business, Innovation and Employment (MBIE))</t>
  </si>
  <si>
    <t>We thank Eddy Kim for technical assistance, Steven Austad from the UAB Department of Biology for funding, the UAB Heflin Center for Genomic Sciences for the next-generation sequencing, John Osborne and Travis Ptacek for assisting with the submission of the WGS files to NCBI, and Katherine D. V. Hughes and Matthew Pace of UAB CAS IT for computer support.; J.A. thanks the Ministry of Business Innovation and Employment, New Zealand, for funding and Antarctica New Zealand for field and logistics support.</t>
  </si>
  <si>
    <t>e00522-14</t>
  </si>
  <si>
    <t>10.1128/genomeA.00522-14</t>
  </si>
  <si>
    <t>VI1CR</t>
  </si>
  <si>
    <t>WOS:000460596700107</t>
  </si>
  <si>
    <t>Raspopov, OM; Demina, IM; Meshcheryakov, VV</t>
  </si>
  <si>
    <t>Raspopov, O. M.; Demina, I. M.; Meshcheryakov, V. V.</t>
  </si>
  <si>
    <t>First geomagnetic measurements in the Antarctic region</t>
  </si>
  <si>
    <t>SECULAR VARIATION; FIELD</t>
  </si>
  <si>
    <t>Based on data from literature and archival sources, we have further processed and analyzed the results of geomagnetic measurements made during the 1772-1775 Second World Expedition by James Cook and the 1819-1821 overseas Antarctic Expedition by Russian mariners Bellingshausen and Lazarev. Comparison with the GUFM historical model showed that there are systematic differences in the spatial structure of both the declination and its secular variation. The results obtained can serve as a basis for the construction of regional models of the geomagnetic field for the Antarctic region.</t>
  </si>
  <si>
    <t>[Raspopov, O. M.; Demina, I. M.; Meshcheryakov, V. V.] Russian Acad Sci, NV Pushkov Inst Terr Magnetism Ionosphere &amp; Radio, St Petersburg Branch, St Petersburg 191023, Russia</t>
  </si>
  <si>
    <t>dim@izmiran.spb.ru</t>
  </si>
  <si>
    <t>10.1134/S0016793214030128</t>
  </si>
  <si>
    <t>AI7HZ</t>
  </si>
  <si>
    <t>WOS:000337058500001</t>
  </si>
  <si>
    <t>Bates, AE; Pecl, GT; Frusher, S; Hobday, AJ; Wernberg, T; Smale, DA; Sunday, JM; Hill, NA; Dulvy, NK; Colwell, RK; Holbrook, NJ; Fulton, EA; Slawinski, D; Feng, M; Edgar, GJ; Radford, BT; Thompson, PA; Watson, RA</t>
  </si>
  <si>
    <t>Bates, Amanda E.; Pecl, Gretta T.; Frusher, Stewart; Hobday, Alistair J.; Wernberg, Thomas; Smale, Dan A.; Sunday, Jennifer M.; Hill, Nicole A.; Dulvy, Nicholas K.; Colwell, Robert K.; Holbrook, Neil J.; Fulton, Elizabeth A.; Slawinski, Dirk; Feng, Ming; Edgar, Graham J.; Radford, Ben T.; Thompson, Peter A.; Watson, Reg A.</t>
  </si>
  <si>
    <t>Defining and observing stages of climate-mediated range shifts in marine systems</t>
  </si>
  <si>
    <t>GLOBAL ENVIRONMENTAL CHANGE-HUMAN AND POLICY DIMENSIONS</t>
  </si>
  <si>
    <t>Species redistribution; Attribution; Prediction; Biogeography; Warming; Abundance-occupancy relationship</t>
  </si>
  <si>
    <t>DISTRIBUTIONAL SHIFTS; INTERTIDAL ORGANISMS; DESIGNING OCCUPANCY; MACOMA-BALTHICA; MYTILUS-EDULIS; CHANGE IMPACTS; NORTH-SEA; OCEAN; TEMPERATURE; COMMUNITY</t>
  </si>
  <si>
    <t>Climate change is transforming the structure of biological communities through the geographic extension and contraction of species' ranges. Range edges are naturally dynamic, and shifts in the location of range edges occur at different rates and are driven by different mechanisms. This leads to challenges when seeking to generalize responses among taxa and across systems. We focus on warming-related range shifts in marine systems to describe extensions and contractions as stages. Range extensions occur as a sequence of (1) arrival, (2) population increase, and (3) persistence. By contrast, range contractions occur progressively as (1) performance decline, (2) population decrease and (3) local extinction. This stage-based framework can be broadly applied to geographic shifts in any species, life-history stage, or population subset. Ideally the probability of transitioning through progressive range shift stages could be estimated from empirical understanding of the various factors influencing range shift rates. Nevertheless, abundance and occupancy data at the spatial resolution required to quantify range shifts are often unavailable and we suggest the pragmatic solution of considering observations of range shifts within a confidence framework incorporating the type, amount and quality of data. We use case studies to illustrate how diverse evidence sources can be used to stage range extensions and contractions and assign confidence that an observed range shift stage has been reached. We then evaluate the utility of trait-based risk (invasion) and vulnerability (extinction) frameworks for application in a range shift context and find inadequacies, indicating an important area for development. We further consider factors that influence rates of extension and contraction of range edges in marine habitats. Finally, we suggest approaches required to increase our capacity to observe and predict geographic range shifts under climate change. (C) 2014 Elsevier Ltd. All rights reserved.</t>
  </si>
  <si>
    <t>[Bates, Amanda E.; Pecl, Gretta T.; Frusher, Stewart; Holbrook, Neil J.; Edgar, Graham J.; Watson, Reg A.] Univ Tasmania, Inst Marine &amp; Antarctic Studies, Hobart, Tas 7001, Australia; [Bates, Amanda E.] Univ Southampton, Natl Oceanog Ctr Southampton, Southampton SO14 3ZH, Hants, England; [Hobday, Alistair J.; Fulton, Elizabeth A.] CSIRO Marine &amp; Atmospher Res, Climate Adaptat Flagship, Hobart, Tas 7001, Australia; [Wernberg, Thomas; Smale, Dan A.; Radford, Ben T.] Univ Western Australia, UWA Oceans Inst, Crawley, WA 6009, Australia; [Wernberg, Thomas] Univ Western Australia, Sch Plant Biol, Crawley, WA 6009, Australia; [Wernberg, Thomas; Radford, Ben T.] Australian Inst Marine Sci, Crawley, WA 6009, Australia; [Smale, Dan A.] Marine Biol Assoc UK, Plymouth PL1 2PB, Devon, England; [Sunday, Jennifer M.; Dulvy, Nicholas K.] Simon Fraser Univ, Dept Biol Sci, Earth Ocean Res Grp, Burnaby, BC V5A 1S6, Canada; [Sunday, Jennifer M.] Univ British Columbia, Biodivers Res Ctr, Vancouver, BC V6T 1Z4, Canada; [Colwell, Robert K.] Univ Connecticut, Dept Ecol &amp; Evolutionary Biol, Storrs, CT 06269 USA; [Colwell, Robert K.] Univ Colorado, Museum Nat Hist, Boulder, CO 80309 USA; [Slawinski, Dirk; Feng, Ming] CSIRO, Wealth Oceans Natl Res Flagship, Floreat, WA 6014, Australia; [Slawinski, Dirk; Feng, Ming] CSIRO Marine &amp; Atmospher Res, Floreat, WA 6014, Australia; [Radford, Ben T.] Univ Western Australia, Sch Earth &amp; Environm, Crawley, WA 6009, Australia; [Thompson, Peter A.] CSIRO Marine &amp; Atmospher Res, Wealth Oceans Natl Res Flagship, Hobart, Tas 7001, Australia</t>
  </si>
  <si>
    <t>University of Tasmania; University of Southampton; NERC National Oceanography Centre; Commonwealth Scientific &amp; Industrial Research Organisation (CSIRO); University of Western Australia; University of Western Australia; Australian Institute of Marine Science; Marine Biological Association United Kingdom; Simon Fraser University; University of British Columbia; University of Connecticut; University of Colorado System; University of Colorado Boulder; Commonwealth Scientific &amp; Industrial Research Organisation (CSIRO); Commonwealth Scientific &amp; Industrial Research Organisation (CSIRO); University of Western Australia; Commonwealth Scientific &amp; Industrial Research Organisation (CSIRO)</t>
  </si>
  <si>
    <t>Bates, AE (corresponding author), Univ Southampton, Natl Oceanog Ctr Southampton, Southampton SO14 3ZH, Hants, England.</t>
  </si>
  <si>
    <t>A.E.Bates@soton.ac.uk</t>
  </si>
  <si>
    <t>Feng, Ming/F-5411-2010; Wernberg, Thomas/B-4172-2010; Smale, Dan A/B-3240-2011; Edgar, Graham/C-8341-2013; Hobday, Alistair/A-1460-2012; Edgar, Graham/AAY-3797-2020; Fulton, Beth/A-2871-2008; Smale, Daniel/Y-2909-2019; Bates, Amanda E./ABD-6874-2021; Dulvy, Nicholas/I-2895-2012; Pecl, Gretta/D-7267-2011; Fulton, Beth/AAJ-1398-2021; Hill, Nicole/AAI-7323-2021; Colwell, Robert K/C-7276-2015; Sunday, Jennifer/ABE-7396-2020; Watson, Reg A/F-4850-2012; Frusher, Stewart/G-5117-2014; Thompson, Peter/A-2361-2012; Holbrook, Neil/M-7544-2013; Slawinski, Dirk/C-6186-2013</t>
  </si>
  <si>
    <t>Wernberg, Thomas/0000-0003-1185-9745; Edgar, Graham/0000-0003-0833-9001; Edgar, Graham/0000-0003-0833-9001; Smale, Daniel/0000-0003-4157-541X; Bates, Amanda E./0000-0002-0198-4537; Dulvy, Nicholas/0000-0002-4295-9725; Pecl, Gretta/0000-0003-0192-4339; Fulton, Beth/0000-0002-5904-7917; Hill, Nicole/0000-0001-9329-6717; Watson, Reg A/0000-0001-7201-8865; Frusher, Stewart/0000-0003-2493-3676; Thompson, Peter/0000-0002-9504-5433; Holbrook, Neil/0000-0002-3523-6254; Slawinski, Dirk/0000-0003-2358-446X</t>
  </si>
  <si>
    <t>Australian National Network in Marine Science; Australian Research Council (ARC) [FT110100174, LP100200122]; NSERC</t>
  </si>
  <si>
    <t>Australian National Network in Marine Science; Australian Research Council (ARC)(Australian Research Council); NSERC(Natural Sciences and Engineering Research Council of Canada (NSERC))</t>
  </si>
  <si>
    <t>The Australian National Network in Marine Science, a collaborative funding initiative between James Cook University, The University of Tasmania, and The University of Western Australia, supported this study. T.W. was supported by an Australian Research Council (ARC) Future Fellowship (FT110100174). J.S. was supported by the NSERC Michael Smith Foreign Study Supplements Program, and G.J.E. by ARC Grant LP100200122. We thank T.J. Bird for comments on manuscript drafts and to A. Cooper, R. stuart-Smith and A. Slotwinski, who kindly provide images.</t>
  </si>
  <si>
    <t>0959-3780</t>
  </si>
  <si>
    <t>1872-9495</t>
  </si>
  <si>
    <t>GLOBAL ENVIRON CHANG</t>
  </si>
  <si>
    <t>Glob. Environ. Change-Human Policy Dimens.</t>
  </si>
  <si>
    <t>10.1016/j.gloenvcha.2014.03.009</t>
  </si>
  <si>
    <t>Environmental Sciences; Environmental Studies; Geography</t>
  </si>
  <si>
    <t>Environmental Sciences &amp; Ecology; Geography</t>
  </si>
  <si>
    <t>AJ7DY</t>
  </si>
  <si>
    <t>WOS:000337858600004</t>
  </si>
  <si>
    <t>Jacques, FMB; Shi, GL; Li, HM; Wang, WM</t>
  </si>
  <si>
    <t>Jacques, Frederic M. B.; Shi, Gongle; Li, Haomin; Wang, Weiming</t>
  </si>
  <si>
    <t>An early-middle Eocene Antarctic summer monsoon: Evidence of 'fossil climates'</t>
  </si>
  <si>
    <t>Antarctic; Eocene; Monsoon; Leaf physiognomy; Palaeoclimate</t>
  </si>
  <si>
    <t>KING GEORGE ISLAND; ATMOSPHERIC CO2; EARLY TERTIARY; TERRESTRIAL PALEOCLIMATE; MODEL SENSITIVITY; VALDIVIAN ANDES; ICE-SHEET; PENINSULA; FLORAS; RECONSTRUCTIONS</t>
  </si>
  <si>
    <t>A warmer and mostly ice-free South polar region prevailed during the early-middle Eocene, indicative of a low latitudinal temperature gradient. Climatic models mostly fail to reconstruct such a low gradient, demonstrating our poor understanding of the mechanisms involved in heat transfer. Here we describe a new phenomenon that shaped the southern high latitude climate during the early-middle Eocene: the Antarctic summer monsoon. Our palaeoclimatic reconstruction is based on 25 morphotypes of fossil dicotyledonous leaves from the early-middle Eocene fossil leaf assemblage of Fossil Hill from King George Island, the Antarctic Peninsula. We use a novel CLAMP (Climate Leaf Analysis Multivariate Program) calibration which includes new climatic parameters that allow us to characterise better the seasonality in precipitation. Our reconstruction indicates a warm humid temperate climate with strong seasonality in temperature and precipitation. Seasonality in precipitation indicates a rainfall rate of 6.4 +/- 1.30 mm/day during summer (summer daily rate of precipitation; SDR) and a summer precipitation representing more than 603 +/- 828% of annual rainfall (ratio of summer precipitation; RSP), which fulfils the definition of a summer monsoon in the modern world. This implies a seasonal alternation of high- and low-pressure systems over Antarctica during the early-middle Eocene. Such a climate regime would have impacted upon global atmospheric circulation and heat transfer. This climatic regime presents a challenge for climatic models and their ability to reconstruct accurately palaeoclimates at high southern latitudes and thereby understand latitudinal heat transfer in a 'greenhouse Earth' regime. (C) 2012 International Association for Gondwana Research. Published by Elsevier B.V. All rights reserved.</t>
  </si>
  <si>
    <t>[Jacques, Frederic M. B.; Shi, Gongle; Li, Haomin; Wang, Weiming] Chinese Acad Sci, Nanjing Inst Geol &amp; Palaeontol, State Key Lab Palaeobiol &amp; Stratig, Nanjing 210008, Jiangsu, Peoples R China; [Jacques, Frederic M. B.] Chinese Acad Sci, Xishuangbanna Trop Bot Garden, Key Lab Trop Forest Ecol, Mengla 666303, Yunnan, Peoples R China</t>
  </si>
  <si>
    <t>Chinese Academy of Sciences; Chinese Academy of Sciences; Xishuangbanna Tropical Botanical Garden, CAS</t>
  </si>
  <si>
    <t>Li, HM (corresponding author), Chinese Acad Sci, Nanjing Inst Geol &amp; Palaeontol, State Key Lab Palaeobiol &amp; Stratig, 39 East Beijing Rd, Nanjing 210008, Jiangsu, Peoples R China.</t>
  </si>
  <si>
    <t>Jacques@xtbg.org.cn; glshi@nigpas.ac.cn; hmli@nigpas.ac.cn; wmwang@nigpas.ac.cn</t>
  </si>
  <si>
    <t>Shi, Gongle/E-3840-2012; Jacques, Frederic MB/G-5009-2011</t>
  </si>
  <si>
    <t>Shi, Gongle/0000-0003-3374-6637;</t>
  </si>
  <si>
    <t>973 programme of MOST of China [2012CB821900]; CAS Young Scientists Fellowship [2009YB1-13]; NSFC Research Fellowship for International Young Scientists [41150110108]; State Key Laboratory of Palaeobiology and Stratigraphy [Y126090208]; National Natural Science Foundation of China [41206173]</t>
  </si>
  <si>
    <t>973 programme of MOST of China; CAS Young Scientists Fellowship; NSFC Research Fellowship for International Young Scientists; State Key Laboratory of Palaeobiology and Stratigraphy; National Natural Science Foundation of China(National Natural Science Foundation of China (NSFC))</t>
  </si>
  <si>
    <t>We thank R.A. Spicer and T. Torres for discussions, V. Teodoridis for comments on the manuscript, T.E.V. Spicer for editing the English, and D.L. Dilcher for suggesting the idea of 'fossil climates'. This work was supported partly by a 973 programme of MOST of China (2012CB821900), CAS Young Scientists Fellowship (2009YB1-13) and NSFC Research Fellowship for International Young Scientists (41150110108) to F.M.B. Jacques, and the State Key Laboratory of Palaeobiology and Stratigraphy (Y126090208) and the National Natural Science Foundation of China (41206173) to G.L. Shi.</t>
  </si>
  <si>
    <t>10.1016/j.gr.2012.08.007</t>
  </si>
  <si>
    <t>WOS:000347279400010</t>
  </si>
  <si>
    <t>Turner, D; Lucieer, A; Wallace, L</t>
  </si>
  <si>
    <t>Turner, Darren; Lucieer, Arko; Wallace, Luke</t>
  </si>
  <si>
    <t>Direct Georeferencing of Ultrahigh-Resolution UAV Imagery</t>
  </si>
  <si>
    <t>Remote sensing; unmanned aerial vehicles (UAVs)</t>
  </si>
  <si>
    <t>UNMANNED AERIAL VEHICLE; CLASSIFICATION; ACQUISITION; CROP</t>
  </si>
  <si>
    <t>Micro-unmanned aerial vehicles often collect a large amount of images when mapping an area at an ultrahigh resolution. A direct georeferencing technique potentially eliminates the need for ground control points. In this paper, we developed a camera-global positioning system (GPS) module to allow the synchronization of camera exposure with the airframe's position as recorded by a GPS with 10-20-cm accuracy. Lever arm corrections were applied to the camera positions to account for the positional difference between the GPS antenna and the camera center. Image selection algorithms were implemented to eliminate blurry images and images with excessive overlap. This study compared three different software methods (Photoscan, Pix4D web service, and an in-house Bundler method). We evaluated each based on processing time, ease of use, and the spatial accuracy of the final mosaic produced. Photoscan showed the best performance as it was the fastest and the easiest to use and had the best spatial accuracy (average error of 0.11 m with a standard deviation of 0.02 m). This accuracy is limited by the accuracy of the differential GPS unit (10-20 cm) used to record camera position. Pix4D achieved a mean spatial error of 0.24 m with a standard deviation of 0.03 m, while the Bundler method had the worst mean spatial accuracy of 0.76 m with a standard deviation of 0.15 m. The lower performance of the Bundler method was due to its poor performance in estimating camera focal length, which, in turn, introduced large errors in the Z-axis for the translation equations.</t>
  </si>
  <si>
    <t>[Turner, Darren; Lucieer, Arko; Wallace, Luke] Univ Tasmania, Sch Geog &amp; Environm Studies, Hobart, Tas 7001, Australia</t>
  </si>
  <si>
    <t>Turner, D (corresponding author), Univ Tasmania, Sch Geog &amp; Environm Studies, Hobart, Tas 7001, Australia.</t>
  </si>
  <si>
    <t>Darren.Turner@utas.edu.au; Arko.Lucieer@utas.edu.au; Luke.Wallace@utas.edu.au</t>
  </si>
  <si>
    <t>Lucieer, Arko/F-1247-2013; Wallace, Luke/HKO-4124-2023; Turner, Darren/O-4839-2017</t>
  </si>
  <si>
    <t>Lucieer, Arko/0000-0002-9468-4516; Wallace, Luke/0000-0002-4642-8374; Turner, Darren/0000-0002-3029-6717</t>
  </si>
  <si>
    <t>Winifred Violet Scott Trust; Australian Antarctic Division</t>
  </si>
  <si>
    <t>This work was supported in part by the Winifred Violet Scott Trust and in part by the Australian Antarctic Division.</t>
  </si>
  <si>
    <t>10.1109/TGRS.2013.2265295</t>
  </si>
  <si>
    <t>AC4IN</t>
  </si>
  <si>
    <t>WOS:000332484700037</t>
  </si>
  <si>
    <t>Hendon, HH; Lim, EP; Nguyen, H</t>
  </si>
  <si>
    <t>Hendon, Harry H.; Lim, Eun-Pa; Nguyen, Hanh</t>
  </si>
  <si>
    <t>Seasonal Variations of Subtropical Precipitation Associated with the Southern Annular Mode</t>
  </si>
  <si>
    <t>Southern Hemisphere; Subtropics; Antarctic Oscillation; Hadley circulation; Precipitation</t>
  </si>
  <si>
    <t>CLIMATOLOGY PROJECT GPCP; AUSTRALIAN RAINFALL; STORM TRACKS; ZONAL FLOW; EL-NINO; HEMISPHERE; VARIABILITY; CIRCULATION; ATMOSPHERE; TRENDS</t>
  </si>
  <si>
    <t>Seasonal variations of subtropical precipitation anomalies associated with the southern annular mode (SAM) are explored for the period 1979-2011. In all seasons, high-polarity SAM, which refers to a poleward-shifted eddy-driven westerly jet, results in increased precipitation in high latitudes and decreased precipitation in midlatitudes as a result of the concomitant poleward shift of the midlatitude storm track. In addition, during spring-autumn, high SAM also results in increased rainfall in the subtropics. This subtropical precipitation anomaly is absent during winter. This seasonal variation of the response of subtropical precipitation to the SAM is shown to be consistent with the seasonal variation of the eddy-induced divergent meridional circulation in the subtropics (strong in summer and weak in winter). The lack of an induced divergent meridional circulation in the subtropics during winter is attributed to the presence of the wintertime subtropical jet, which causes a broad latitudinal span of eddy momentum flux divergence due primarily to higher phase speed eddies breaking poleward of the subtropical jet and lower speed eddies not breaking until they reach the equatorward flank of the subtropical jet. During the other seasons, when the subtropical jet is less distinctive, the critical line for both high and low speed eddies is on the equatorward flank of the single jet and so breaking in the subtropics occurs over a narrow range of latitudes. The implications of these findings for the seasonality of future subtropical climate change, in which a shift to high SAM in all seasons is expected to be promoted, are discussed.</t>
  </si>
  <si>
    <t>[Hendon, Harry H.; Lim, Eun-Pa; Nguyen, Hanh] CAWCR, Bur Meteorol, Melbourne, Vic 3001, Australia</t>
  </si>
  <si>
    <t>Bureau of Meteorology - Australia</t>
  </si>
  <si>
    <t>Hendon, HH (corresponding author), CAWCR, GPO Box 1289, Melbourne, Vic 3001, Australia.</t>
  </si>
  <si>
    <t>hhh@bom.gov.au</t>
  </si>
  <si>
    <t>Hendon, Harry H./0000-0002-4378-2263; Lim, Eun-Pa/0000-0001-8273-5358</t>
  </si>
  <si>
    <t>BOM; CSIRO; State of Victoria Department of Environment and Primary Industries</t>
  </si>
  <si>
    <t>BOM; CSIRO(Commonwealth Scientific &amp; Industrial Research Organisation (CSIRO)); State of Victoria Department of Environment and Primary Industries</t>
  </si>
  <si>
    <t>Support for this work was provided by the Victorian Climate Initiative (VicCI), which is a joint project between BOM, CSIRO, and the State of Victoria Department of Environment and Primary Industries. Comments by and discussions with J. Arblaster, P. Ceppi, D. Hartmann, and H. Rashid are gratefully acknowledged. Critical comments by the anonymous reviewers led to substantial improvement in the presentation.</t>
  </si>
  <si>
    <t>10.1175/JCLI-D-13-00550.1</t>
  </si>
  <si>
    <t>AI9RU</t>
  </si>
  <si>
    <t>WOS:000337272700018</t>
  </si>
  <si>
    <t>Holland, PR; Bruneau, N; Enright, C; Losch, M; Kurtz, NT; Kwok, R</t>
  </si>
  <si>
    <t>Holland, Paul R.; Bruneau, Nicolas; Enright, Clare; Losch, Martin; Kurtz, Nathan T.; Kwok, Ron</t>
  </si>
  <si>
    <t>Modeled Trends in Antarctic Sea Ice Thickness</t>
  </si>
  <si>
    <t>Antarctica; Sea ice; Southern Ocean; Climate variability; Interannual variability; Trends</t>
  </si>
  <si>
    <t>SOUTHERN-OCEAN; SNOW DEPTH; MAUD RISE; VARIABILITY; CIRCULATION; IMPACT; BELLINGSHAUSEN; REPRESENTATION; SIMULATIONS; AMUNDSEN</t>
  </si>
  <si>
    <t>Unlike the rapid sea ice losses reported in the Arctic, satellite observations show an overall increase in Antarctic sea ice concentration over recent decades. However, observations of decadal trends in Antarctic ice thickness, and hence ice volume, do not currently exist. In this study a model of the Southern Ocean and its sea ice, forced by atmospheric reanalyses, is used to assess 1992-2010 trends in ice thickness and volume. The model successfully reproduces observations of mean ice concentration, thickness, and drift, and decadal trends in ice concentration and drift, imparting some confidence in the hindcasted trends in ice thickness. The model suggests that overall Antarctic sea ice volume has increased by approximately 30 km(3) yr(-1) (0.4% yr(-1)) as an equal result of areal expansion (20 x 10(3) km(2) yr(-1) or 0.2% yr(-1)) and thickening (1.5 mm yr(-1) or 0.2% yr(-1)). This ice volume increase is an order of magnitude smaller than the Arctic decrease, and about half the size of the increased freshwater supply from the Antarctic Ice Sheet. Similarly to the observed ice concentration trends, the small overall increase in modeled ice volume is actually the residual of much larger opposing regional trends. Thickness changes near the ice edge follow observed concentration changes, with increasing concentration corresponding to increased thickness. Ice thickness increases are also found in the inner pack in the Amundsen and Weddell Seas, where the model suggests that observed ice-drift trends directed toward the coast have caused dynamical thickening in autumn and winter. Modeled changes are predominantly dynamic in origin in the Pacific sector and thermodynamic elsewhere.</t>
  </si>
  <si>
    <t>[Holland, Paul R.; Bruneau, Nicolas] British Antarctic Survey, Cambridge CB3 0ET, England; [Enright, Clare] Univ E Anglia, Tyndall Ctr Climate Change Res, Norwich NR4 7TJ, Norfolk, England; [Losch, Martin] Alfred Wegener Inst Polar &amp; Marine Res, Bremerhaven, Germany; [Kurtz, Nathan T.] NASA, Goddard Space Flight Ctr, Greenbelt, MD 20771 USA; [Kwok, Ron] CALTECH, Jet Prop Lab, Pasadena, CA USA</t>
  </si>
  <si>
    <t>UK Research &amp; Innovation (UKRI); Natural Environment Research Council (NERC); NERC British Antarctic Survey; University of East Anglia; Helmholtz Association; Alfred Wegener Institute, Helmholtz Centre for Polar &amp; Marine Research; National Aeronautics &amp; Space Administration (NASA); NASA Goddard Space Flight Center; California Institute of Technology; National Aeronautics &amp; Space Administration (NASA); NASA Jet Propulsion Laboratory (JPL)</t>
  </si>
  <si>
    <t>Holland, PR (corresponding author), British Antarctic Survey, Madingley Rd, Cambridge CB3 0ET, England.</t>
  </si>
  <si>
    <t>Kurtz, Nathan T/N-8745-2014; Kwok, Ronald/L-3968-2019; Bruneau, Nicolas/AAS-8232-2021; Holland, Paul R/G-2796-2012; Kwok, Ron/A-9762-2008; Losch, Martin/S-5896-2016</t>
  </si>
  <si>
    <t>Kwok, Ronald/0000-0003-4051-5896; Bruneau, Nicolas/0000-0002-9017-1000; Kwok, Ron/0000-0003-4051-5896; Losch, Martin/0000-0002-3824-5244</t>
  </si>
  <si>
    <t>10.1175/JCLI-D-13-00301.1</t>
  </si>
  <si>
    <t>AG6PO</t>
  </si>
  <si>
    <t>Green Submitted, Green Accepted, Bronze</t>
  </si>
  <si>
    <t>WOS:000335541100019</t>
  </si>
  <si>
    <t>Day, RD; Tibbetts, IR; Secor, SM</t>
  </si>
  <si>
    <t>Day, Ryan D.; Tibbetts, Ian R.; Secor, Stephen M.</t>
  </si>
  <si>
    <t>Physiological responses to short-term fasting among herbivorous, omnivorous, and carnivorous fishes</t>
  </si>
  <si>
    <t>Fasting; Intestinal hydrolases; Intestinal morphology; Intestinal nutrient transport; Microvilli; pH; Refeeding; Teleosts; Ctenopharyngodon idella; Ictalurus punctatus; Micropterus salmoides</t>
  </si>
  <si>
    <t>DIGESTIVE ENZYME-ACTIVITIES; BURMESE PYTHON; GASTROINTESTINAL PH; SMALL-INTESTINE; GASTRIC-ACID; TRACT; DIET; GUT; PERFORMANCE; ESTIVATION</t>
  </si>
  <si>
    <t>We explored the integrated role of dietary specialization and feeding periodicity on the response of the gastrointestinal tract of teleosts fishes to short-term (7-10 days) fasting and refeeding. Fasted and fed herbivorous grass carp (Ctenopharyngodon idella), omnivorous channel catfish (Ictalurus punctatus), and carnivorous largemouth bass (Micropterus salmoides) were compared for digestive organ masses, intestinal morphology, gastrointestinal pH, and the specific activities and total intestinal capacities of the intestinal hydrolases aminopeptidase (APN) and maltase and intestinal nutrient transporters. All three species experience intestinal hypertrophy with feeding as noted by significant increases in enterocyte dimensions. Of the three, only I. punctatus experienced a postprandial increase in intestinal length, and only C. idella experienced significant modulation of intestinal microvillus length. Feeding resulted in acidification of the stomachs of I. punctatus and M. salmoides. Predicted to exhibit a relatively modest set of postprandial responses because of their more frequent feeding habits, C. idella only experienced increases in APN and maltase activity with feeding and no significant regulation of nutrient uptake. Significant regulation of hydrolase activities and nutrient uptake were exhibited by I. punctatus and M. salmoides, with I. punctatus experiencing the most comprehensive set of responses. As predicted by food habits, there was an interspecific gradient in intestinal length and glucose uptake extending from longer intestines and greater glucose uptake for the herbivorous C. idella, intermediate lengths and glucose uptake for the omnivorous I. punctatus, and shorter intestines and reduced glucose uptake for the carnivorous M. salmoides. Among teleosts fishes, short episodes of fasting lead to significant alterations in intestinal form and function that are rapidly restored with feeding.</t>
  </si>
  <si>
    <t>[Day, Ryan D.; Tibbetts, Ian R.] Univ Queensland, Sch Biol Sci, St Lucia, Qld 4072, Australia; [Secor, Stephen M.] Univ Alabama, Dept Biol Sci, Tuscaloosa, AL 35487 USA</t>
  </si>
  <si>
    <t>University of Queensland; University of Alabama System; University of Alabama Tuscaloosa</t>
  </si>
  <si>
    <t>Day, RD (corresponding author), Univ Tasmania, Inst Marine &amp; Antarctic Studies, Taroona, Tas 7053, Australia.</t>
  </si>
  <si>
    <t>ryan.day@utas.edu.au</t>
  </si>
  <si>
    <t>Day, Ryan D/J-7715-2014; Tibbetts, Ian/K-6191-2013</t>
  </si>
  <si>
    <t>Tibbetts, Ian/0000-0002-1481-238X; Day, Ryan/0000-0002-1834-6945</t>
  </si>
  <si>
    <t>University of Queensland; National Science Foundation [IOS 0466139]</t>
  </si>
  <si>
    <t>University of Queensland(University of Queensland); National Science Foundation(National Science Foundation (NSF))</t>
  </si>
  <si>
    <t>We thank Scott Bessler, Miles Cobia, David Hall, and Brytney Snow for their assistance in the undertaking of this study; Simon Blomberg for statistics consultation; and two anonymous reviewers who offered comments that strengthened the manuscript. This study was funded by fellowships and travel awards from the University of Queensland (to RDD) and the National Science Foundation (IOS 0466139 to SMS).</t>
  </si>
  <si>
    <t>10.1007/s00360-014-0813-4</t>
  </si>
  <si>
    <t>WOS:000334498900007</t>
  </si>
  <si>
    <t>Suckale, J; Platt, JD; Perol, T; Rice, JR</t>
  </si>
  <si>
    <t>Suckale, Jenny; Platt, John D.; Perol, Thibaut; Rice, James R.</t>
  </si>
  <si>
    <t>Deformation-induced melting in the margins of the West Antarctic ice streams</t>
  </si>
  <si>
    <t>ice streams; shear margin; West Antarctica; Siple Coast; Dragon margin; deformation-induced melting</t>
  </si>
  <si>
    <t>SHEAR-STRESS; FLOW; MECHANICS; CONFIGURATION; ACCUMULATION; MIGRATION; STRAIN; SHELF; RATES; BASE</t>
  </si>
  <si>
    <t>Flow of glacial ice in the West Antarctic Ice Sheet localizes in narrow bands of fast-flowing ice streams bordered by ridges of nearly stagnant ice, but our understanding of the physical processes that generate this morphology is incomplete. Here we study the thermal and mechanical properties of ice-stream margins, where flow transitions from rapid to stagnant over a few kilometers. Our goal is to explore under which conditions the intense shear deformation in the margin may lead to deformation-induced melting. We propose a 2-D model that represents a cross section through the ice stream margin perpendicular to the downstream flow direction. We limit temperature to the melting point to estimate melt rates based on latent heat. Using rheology parameters as constrained by laboratory data and observations, we conclude that a zone of temperate ice is likely to form in active shear margins.</t>
  </si>
  <si>
    <t>[Suckale, Jenny] Stanford Univ, Dept Geophys, Palo Alto, CA 94304 USA; [Platt, John D.; Perol, Thibaut; Rice, James R.] Harvard Univ, Sch Engn &amp; Appl Sci, Cambridge, MA 02138 USA; [Rice, James R.] Harvard Univ, Dept Earth &amp; Planetary Sci, Cambridge, MA 02138 USA</t>
  </si>
  <si>
    <t>Stanford University; Harvard University; Harvard University</t>
  </si>
  <si>
    <t>Suckale, J (corresponding author), Stanford Univ, Dept Geophys, Palo Alto, CA 94304 USA.</t>
  </si>
  <si>
    <t>jsuckale@stanford.edu</t>
  </si>
  <si>
    <t>Rice, James R./0000-0001-6151-4310</t>
  </si>
  <si>
    <t>National Science Foundation through the Office of Polar Programs [ANT-0739444, PLR-1341499]; Geomechanics Research Fund; Center for the Environment at Harvard University</t>
  </si>
  <si>
    <t>National Science Foundation through the Office of Polar Programs; Geomechanics Research Fund; Center for the Environment at Harvard University</t>
  </si>
  <si>
    <t>This research and its publication was supported by the National Science Foundation through the Office of Polar Programs grants ANT-0739444 and PLR-1341499, the Geomechanics Research Fund, and the Center for the Environment at Harvard University. The authors thank Richard Alley, Garry Clarke, Timothy Creyts, Ian Hewitt, Ian Joughin, and Christian Schoof for fruitful discussions. We also thank three anonymous reviewers for their valuable comments.</t>
  </si>
  <si>
    <t>10.1002/2013JF003008</t>
  </si>
  <si>
    <t>AJ4DH</t>
  </si>
  <si>
    <t>WOS:000337620600003</t>
  </si>
  <si>
    <t>Sutton, PJH; Bowen, M</t>
  </si>
  <si>
    <t>Sutton, Philip J. H.; Bowen, Melissa</t>
  </si>
  <si>
    <t>Flows in the Tasman Front south of Norfolk Island</t>
  </si>
  <si>
    <t>Tasman Front; South Pacific western boundary current</t>
  </si>
  <si>
    <t>EAST AUCKLAND CURRENT; NEW-ZEALAND; CIRCULATION; TOPOGRAPHY; CURRENTS; PACIFIC; HEIGHT; REGION</t>
  </si>
  <si>
    <t>The Tasman Front is a narrow band of eastward flowing subtropical water crossing the Tasman Sea from Australia to North Cape, New Zealand. It is the link between the two subtropical western boundary currents of the South Pacific, the East Australian Current (EAC) off eastern Australia, and the East Auckland Current (EAUC) off northeastern New Zealand. Here we report the first direct measurements of flow in the Tasman Front from a moored array deployed across gaps in the submarine ridges south of Norfolk Island and hydrographic and ADCP measurements during the deployment and recovery voyages. The mean flow through the array over July 2003 to August 2004 was found to be eastward only in the upper 800 m with a transport of approximate to 6 Sv. Below 800 m a weak westward mean flow (approximate to 1.5 Sv) was measured, associated with Antarctic Intermediate Water (AAIW). Using sea surface height to account for additional transport south of the moored array results in a total mean eastward transport between Norfolk Island and North Cape, New Zealand of approximate to 8 Sv, varying between -4 and 18 Sv. The measurements show that the Tasman Front is much shallower than either the EAC or EAUC, both of which extend below 2000 m depth, has less transport than either the EAC or EAUC and has instances of flow reversal. Thus, the Tasman Front is a weaker connection between the EAC and EAUC than the paradigm of a contiguous South Pacific western boundary current system would suggest.</t>
  </si>
  <si>
    <t>[Sutton, Philip J. H.] Natl Inst Water &amp; Atmospher Res, Wellington, New Zealand; [Bowen, Melissa] Univ Auckland, Sch Environm, Auckland 1, New Zealand</t>
  </si>
  <si>
    <t>National Institute of Water &amp; Atmospheric Research (NIWA) - New Zealand; University of Auckland</t>
  </si>
  <si>
    <t>Sutton, PJH (corresponding author), Natl Inst Water &amp; Atmospher Res, Wellington, New Zealand.</t>
  </si>
  <si>
    <t>p.sutton@niwa.co.nz</t>
  </si>
  <si>
    <t>Sutton, Phil/0000-0003-2936-0918</t>
  </si>
  <si>
    <t>10.1002/2013JC009543</t>
  </si>
  <si>
    <t>WOS:000337632500020</t>
  </si>
  <si>
    <t>Woodfield, EE; Horne, RB; Glauert, SA; Menietti, JD; Shprits, YY</t>
  </si>
  <si>
    <t>Woodfield, E. E.; Horne, R. B.; Glauert, S. A.; Menietti, J. D.; Shprits, Y. Y.</t>
  </si>
  <si>
    <t>The origin of Jupiter's outer radiation belt</t>
  </si>
  <si>
    <t>Jupiter; radiation belts; electron acceleration; gyroresonant interactions; chorus waves</t>
  </si>
  <si>
    <t>ELECTRON ACCELERATION; SYNCHROTRON-RADIATION; ENERGETIC ELECTRONS; RELATIVISTIC ELECTRONS; RESONANT INTERACTION; DIFFUSION-MODELS; INNER; CHORUS; IO; MAGNETOSPHERE</t>
  </si>
  <si>
    <t>The intense inner radiation belt at Jupiter (&gt;50 MeV at 1.5 RJ) is generally accepted to be created by radial diffusion of electrons from further away from the planet. However, this requires a source with energies that exceed 1 MeV outside the orbit of the moon Io at 5.9 RJ, which has never been explained satisfactorily. Here we test the hypothesis that this source population could be formed from a very soft energy spectrum, by particle injection processes and resonant electron acceleration via whistler mode chorus waves. We use the British Antarctic Survey Radiation Belt Model to calculate the change in the electron flux between 6.5 and 15 RJ; these are the first simulations at Jupiter combining wave particle interactions and radial diffusion. The resulting electron flux at 100 keV and 1 MeV lies very close to the Galileo Interim Radiation Electron model spectrum after 1 and 10 days, respectively. The primary driver for the increase in the flux is cyclotron resonant acceleration by chorus waves. A peak in phase space density forms such that inside L approximate to 9 radial diffusion transports electrons toward Jupiter, but outside L approximate to 9 radial diffusion acts away from the planet. The results are insensitive to the softness of the initial energy spectrum but do depend on the value of the flux at the minimum energy boundary. We conclude by suggesting that the source population for the inner radiation belt at Jupiter could indeed be formed by wave-particle interactions.</t>
  </si>
  <si>
    <t>[Woodfield, E. E.; Horne, R. B.; Glauert, S. A.] British Antarctic Survey, Cambridge CB3 0ET, England; [Menietti, J. D.] Univ Iowa, Dept Phys &amp; Astron, Iowa City, IA 52242 USA; [Shprits, Y. Y.] Skolkovo Inst Sci &amp; Technol, Moscow, Russia; [Shprits, Y. Y.] MIT, Cambridge, MA 02139 USA; [Shprits, Y. Y.] Univ Calif Los Angeles, Los Angeles, CA USA</t>
  </si>
  <si>
    <t>UK Research &amp; Innovation (UKRI); Natural Environment Research Council (NERC); NERC British Antarctic Survey; University of Iowa; Skolkovo Institute of Science &amp; Technology; Massachusetts Institute of Technology (MIT); University of California System; University of California Los Angeles</t>
  </si>
  <si>
    <t>Woodfield, EE (corresponding author), British Antarctic Survey, Cambridge CB3 0ET, England.</t>
  </si>
  <si>
    <t>emmwoo@bas.ac.uk</t>
  </si>
  <si>
    <t>Horne, Richard B/U-3764-2019; Shprits, Yuri Y/I-2174-2014; Woodfield, Emma/B-5313-2014</t>
  </si>
  <si>
    <t>Horne, Richard B/0000-0002-0412-6407; Woodfield, Emma/0000-0002-0531-8814; Shprits, Yuri/0000-0002-9625-0834</t>
  </si>
  <si>
    <t>STFC [ST/I001727/1]; UK by NERC; NASA [NNX11AM36G, 443869-YS-22262]; NERC [bas0100023] Funding Source: UKRI; STFC [ST/I001727/1] Funding Source: UKRI; Natural Environment Research Council [bas0100023] Funding Source: researchfish; Science and Technology Facilities Council [ST/I001727/1] Funding Source: researchfish</t>
  </si>
  <si>
    <t>STFC(UK Research &amp; Innovation (UKRI)Science &amp; Technology Facilities Council (STFC)); UK by NERC(UK Research &amp; Innovation (UKRI)Natural Environment Research Council (NERC)); NASA(National Aeronautics &amp; Space Administration (NASA));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</si>
  <si>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E.E.W., R. B. H., and S. A. G. are funded through STFC grant ST/I001727/1. R. B. H. and S. A. G. are funded in the UK by NERC. J.D.M. is funded by NASA grant NNX11AM36G. Y.Y.S. is funded by NASA grant 443869-YS-22262. Data used in this paper, where not already publicly available, will be stored at the BAS Polar Data Centre and can be accessed by contacting the corresponding author. The authors wish to thank F. Bagenal for the plasma density model and H. B. Garrett and B. Mauk for electron flux data.</t>
  </si>
  <si>
    <t>10.1002/2014JA019891</t>
  </si>
  <si>
    <t>AJ4DS</t>
  </si>
  <si>
    <t>WOS:000337622100021</t>
  </si>
  <si>
    <t>Wedlund, MS; Clilverd, MA; Rodger, CJ; Cresswell-Moorcock, K; Cobbett, N; Breen, P; Danskin, D; Spanswick, E; Rodriguez, JV</t>
  </si>
  <si>
    <t>Wedlund, Mea Simon; Clilverd, Mark A.; Rodger, Craig J.; Cresswell-Moorcock, Kathy; Cobbett, Neil; Breen, Paul; Danskin, Donald; Spanswick, Emma; Rodriguez, Juan V.</t>
  </si>
  <si>
    <t>A statistical approach to determining energetic outer radiation belt electron precipitation fluxes</t>
  </si>
  <si>
    <t>electron precipitation; geomagnetic storm</t>
  </si>
  <si>
    <t>WIND STREAM INTERFACES; RELATIVISTIC ELECTRONS; PLASMASPHERIC HISS; D-REGION; ATMOSPHERE; ZONE</t>
  </si>
  <si>
    <t>Subionospheric radio wave data from an Antarctic-Arctic Radiation-Belt (Dynamic) Deposition VLF Atmospheric Research Konsortia (AARDDVARK) receiver located in Churchill, Canada, is analyzed to determine the characteristics of electron precipitation into the atmosphere over the range 3&lt;7. The study advances previous work by combining signals from two U.S. transmitters from 20 July to 20 August 2010, allowing error estimates of derived electron precipitation fluxes to be calculated, including the application of time-varying electron energy spectral gradients. Electron precipitation observations from the NOAA POES satellites and a ground-based riometer provide intercomparison and context for the AARDDVARK measurements. AARDDVARK radiowave propagation data showed responses suggesting energetic electron precipitation from the outer radiation belt starting 27 July 2010 and lasting similar to 20days. The uncertainty in &gt;30keV precipitation flux determined by the AARDDVARK technique was found to be +/- 10%. Peak &gt;30keV precipitation fluxes of AARDDVARK-derived precipitation flux during the main and recovery phase of the largest geomagnetic storm, which started on 4 August 2010, were &gt;105 el cm-2s-1sr-1. The largest fluxes observed by AARDDVARK occurred on the dayside and were delayed by several days from the start of the geomagnetic disturbance. During the main phase of the disturbances, nightside fluxes were dominant. Significant differences in flux estimates between POES, AARDDVARK, and the riometer were found after the main phase of the largest disturbance, with evidence provided to suggest that &gt;700keV electron precipitation was occurring. Currently the presence of such relativistic electron precipitation introduces some uncertainty in the analysis of AARDDVARK data, given the assumption of a power law electron precipitation spectrum.</t>
  </si>
  <si>
    <t>[Wedlund, Mea Simon; Rodger, Craig J.; Cresswell-Moorcock, Kathy] Univ Otago, Dept Phys, Dunedin, New Zealand; [Clilverd, Mark A.; Cobbett, Neil; Breen, Paul] British Antarctic Survey, Cambridge CB3 0ET, England; [Danskin, Donald] Nat Resources Canada, Geomagnet Lab, Ottawa, ON, Canada; [Spanswick, Emma] Univ Calgary, Dept Phys &amp; Astron, Calgary, AB T2N 1N4, Canada; [Rodriguez, Juan V.] Univ Colorado, Cooperat Inst Res Environm Sci, Boulder, CO 80309 USA; [Rodriguez, Juan V.] NOAA, Natl Geophys Data Ctr, Boulder, CO 80303 USA</t>
  </si>
  <si>
    <t>University of Otago; UK Research &amp; Innovation (UKRI); Natural Environment Research Council (NERC); NERC British Antarctic Survey; Natural Resources Canada; University of Calgary; University of Colorado System; University of Colorado Boulder; National Oceanic Atmospheric Admin (NOAA) - USA</t>
  </si>
  <si>
    <t>Clilverd, MA (corresponding author), British Antarctic Survey, Cambridge CB3 0ET, England.</t>
  </si>
  <si>
    <t>macl@bas.ac.uk</t>
  </si>
  <si>
    <t>Spanswick, Emma/JDC-7880-2023; Rodriguez, Juan/AAA-3588-2022; Rodger, Craig/A-1501-2011</t>
  </si>
  <si>
    <t>Danskin, Donald William/0000-0002-4968-9094; Rodger, Craig J./0000-0002-6770-2707; Spanswick, Emma/0000-0001-8003-5091; Breen, Paul/0000-0002-0629-3807</t>
  </si>
  <si>
    <t>European Union Seventh Framework Programme [FP7] [263218]; New Zealand Marsden Fund; NERC, Climate programme at the British Antarctic Survey; GOES-R Risk Reduction Program; NERC [bas0100023, bas010011] Funding Source: UKRI; Natural Environment Research Council [bas010011, bas0100023] Funding Source: researchfish</t>
  </si>
  <si>
    <t>European Union Seventh Framework Programme [FP7]; New Zealand Marsden Fund(Royal Society of New ZealandMarsden Fund (NZ)); NERC, Climate programme at the British Antarctic Survey; GOES-R Risk Reduction Program; NERC(UK Research &amp; Innovation (UKRI)Natural Environment Research Council (NERC)); Natural Environment Research Council(UK Research &amp; Innovation (UKRI)Natural Environment Research Council (NERC))</t>
  </si>
  <si>
    <t>The authors would like to acknowledge the support and enthusiasm of LeeAnn Fishback and Clifford Paddock at the Churchill Northern Studies Centre, Churchill, Canada. The research leading to these results has received funding from the European Union Seventh Framework Programme [FP7/2007-2013] under grant agreement 263218. M. S. W., C.J.R., and K. C. M. were partly supported by the New Zealand Marsden Fund. M. A. C. would also like to acknowledge NERC funding as part of the Climate programme at the British Antarctic Survey. J.V.R. was supported by the GOES-R Risk Reduction Program. We thank the IAGA International Service on Rapid Magnetic Variations at the Observatori de l'Ebre for the SSC identifications. The OMNI data were obtained from the GSFC/SPDF OMNIWeb interface at http://omniweb.gsfc.nasa.gov. The authors would also like to thank the reviewers for their helpful and constructive comments on this work.</t>
  </si>
  <si>
    <t>10.1002/2013JA019715</t>
  </si>
  <si>
    <t>WOS:000337622100053</t>
  </si>
  <si>
    <t>Drinkwater, KF; Miles, M; Medhaug, I; Otterå, OH; Kristiansen, T; Sundby, S; Gao, YQ</t>
  </si>
  <si>
    <t>Drinkwater, Kenneth F.; Miles, Martin; Medhaug, Iselin; Ottera, Odd Helge; Kristiansen, Trond; Sundby, Svein; Gao, Yongqi</t>
  </si>
  <si>
    <t>The Atlantic Multidecadal Oscillation: Its manifestations and impacts with special emphasis on the Atlantic region north of 60°N</t>
  </si>
  <si>
    <t>AMO; Climate; Ecosystem; Barents Sea; Norwegian Sea</t>
  </si>
  <si>
    <t>SEA-SURFACE TEMPERATURE; COD GADUS-MORHUA; GREAT SALINITY ANOMALIES; CLIMATE VARIABILITY; THERMOHALINE CIRCULATION; NORDIC SEAS; INTERDECADAL VARIATIONS; JAKOBSHAVN ISBRAE; CLASS STRENGTH; OCEAN</t>
  </si>
  <si>
    <t>This paper examines the multidecadal variability in the northern North Atlantic and the Arctic. Observations, modeling and paleo data provide evidence of a strong link between the atmospheric and physical oceanographic variability in these northern regions with Atlantic sea surface temperatures farther south as expressed by the Atlantic Multidecadal Oscillation (AMO). Air and sea temperatures over the past 100-150 years reveal cool periods in the late 1800s to early 1900s and in the 1970s to 1980s with warm periods during the 1920s to 1960s and from the 1990s through to the present, similar to the variability in the AMO index where a positive (negative) AMO index represents warm (cold) periods. Sea-ice extent in the north has also varied at multidecadal scales with the ice retreating during the warm periods and expanding during the cold periods. The presence of multidecadal variability is also suggested from marine sediment paleo data as well as ice-core oxygen isotope data. Observations of biological impacts of the multidecadal variability in the northern regions include a general increase in plankton and fish productivity, as well as expansion of the species distributions northward, in conjunction with the AMO warm periods and the opposite during AMO cold periods. In addition, a review of the mechanisms responsible for the AMO and a brief discussion of the linkages between the multidecadal variability in the northern and southern hemispheres, including between the Arctic and Antarctic, are presented. (C) 2013 Elsevier B.V. All rights reserved.</t>
  </si>
  <si>
    <t>[Drinkwater, Kenneth F.; Kristiansen, Trond; Sundby, Svein] Inst Marine Res, N-5817 Bergen, Norway; [Drinkwater, Kenneth F.; Kristiansen, Trond; Sundby, Svein] Bjerknes Ctr Climate Res, N-5817 Bergen, Norway; [Miles, Martin; Ottera, Odd Helge] Uni Res, N-5007 Bergen, Norway; [Miles, Martin; Ottera, Odd Helge] Bjerknes Ctr Climate Res, N-5007 Bergen, Norway; [Medhaug, Iselin] Univ Bergen, Inst Geophys, N-5007 Bergen, Norway; [Medhaug, Iselin] Univ Bergen, Bjerknes Ctr Climate Res, N-5007 Bergen, Norway; [Gao, Yongqi] Nansen Environm &amp; Remote Sensing Ctr, N-5006 Bergen, Norway; [Gao, Yongqi] Bjerknes Ctr Climate Res, N-5006 Bergen, Norway</t>
  </si>
  <si>
    <t>Institute of Marine Research - Norway; Bjerknes Centre for Climate Research; Bjerknes Centre for Climate Research; University of Bergen; University of Bergen; Bjerknes Centre for Climate Research; Nansen Environmental &amp; Remote Sensing Center (NERSC); Bjerknes Centre for Climate Research</t>
  </si>
  <si>
    <t>Drinkwater, KF (corresponding author), Inst Marine Res, Box 1870, N-5817 Bergen, Norway.</t>
  </si>
  <si>
    <t>ken.drinkwater@imr.no</t>
  </si>
  <si>
    <t>Otterå, Odd Helge/H-7854-2016; Sundby, Svein/AGB-4853-2022; Otterå, Odd Helge/AAD-5006-2022; gao, yongqi/N-9347-2014</t>
  </si>
  <si>
    <t>Sundby, Svein/0000-0002-0815-9740; Medhaug, Iselin/0000-0002-1115-8896; Kristiansen, Trond/0000-0001-6121-297X</t>
  </si>
  <si>
    <t>Bjerknes Centre for Climate; Centre for Climate Dynamics at the Bjerknes Centre (IMMUNITY project); NSF Arctic System Science program [0531286]; Division Of Polar Programs; Directorate For Geosciences [0531286] Funding Source: National Science Foundation</t>
  </si>
  <si>
    <t>Bjerknes Centre for Climate; Centre for Climate Dynamics at the Bjerknes Centre (IMMUNITY project); NSF Arctic System Science program(National Science Foundation (NSF)NSF - Directorate for Geosciences (GEO)); Division Of Polar Programs; Directorate For Geosciences(National Science Foundation (NSF)NSF - Directorate for Geosciences (GEO))</t>
  </si>
  <si>
    <t>This is publication number A434 from the Bjerknes Centre for Climate Research. We wish to thank the Centre for the financial support to undertake this project. Partial support was also provided by the Centre for Climate Dynamics at the Bjerknes Centre (IMMUNITY project) and the NSF Arctic System Science program (0531286). We thank the two anonymous reviewers and Janet Nye for providing valuable comments on an earlier draft. Thanks are also due to Juergen Alheit for taking the lead in organizing the ICES AMO Workshop in Woods Hole, at which this work was first presented, and for spearheading the special issue from the workshop results.</t>
  </si>
  <si>
    <t>10.1016/j.jmarsys.2013.11.001</t>
  </si>
  <si>
    <t>AG4ZG</t>
  </si>
  <si>
    <t>WOS:000335428300011</t>
  </si>
  <si>
    <t>Waterman, S; Polzin, KL; Garabato, ACN; Sheen, KL; Forryan, A</t>
  </si>
  <si>
    <t>Waterman, Stephanie; Polzin, Kurt L.; Garabato, Alberto C. Naveira; Sheen, Katy L.; Forryan, Alexander</t>
  </si>
  <si>
    <t>Suppression of Internal Wave Breaking in the Antarctic Circumpolar Current near Topography</t>
  </si>
  <si>
    <t>Circulation/ Dynamics; Turbulence; Profilers, oceanic; In situ oceanic observations; Observational techniques and algorithms; Small scale processes; Internal waves; Diapycnal mixing</t>
  </si>
  <si>
    <t>SMALL-SCALE TOPOGRAPHY; FINESCALE PARAMETERIZATIONS; SOUTHERN-OCEAN; DISSIPATION; ENERGY; SHEAR; BALANCE; STRAIN</t>
  </si>
  <si>
    <t>Simultaneous full-depth microstructure measurements of turbulence and finestructure measurements of velocity and density are analyzed to investigate the relationship between turbulence and the internal wave field in the Antarctic Circumpolar Current. These data reveal a systematic near-bottom overprediction of the turbulent kinetic energy dissipation rate by finescale parameterization methods in select locations. Sites of near-bottom overprediction are typically characterized by large near-bottom flow speeds and elevated topographic roughness. Further, lower-than-average shear-to-strain ratios indicative of a less near-inertial wave field, rotary spectra suggesting a predominance of upward internal wave energy propagation, and enhanced narrowband variance at vertical wavelengths on the order of 100 m are found at these locations. Finally, finescale overprediction is typically associated with elevated Froude numbers based on the near-bottom shear of the background flow, and a background flow with a systematic backing tendency. Agreement of microstructure- and finestructure-based estimates within the expected uncertainty of the parameterization away from these special sites, the reproducibility of the overprediction signal across various parameterization implementations, and an absence of indications of atypical instrument noise at sites of parameterization overprediction, all suggest that physics not encapsulated by the parameterization play a role in the fate of bottom-generated waves at these locations. Several plausible underpinning mechanisms based on the limited available evidence are discussed that offer guidance for future studies.</t>
  </si>
  <si>
    <t>[Waterman, Stephanie; Garabato, Alberto C. Naveira; Sheen, Katy L.; Forryan, Alexander] Univ Southampton, Natl Oceanog Ctr, Southampton, Hants, England; [Polzin, Kurt L.] Woods Hole Oceanog Inst, Woods Hole, MA 02543 USA</t>
  </si>
  <si>
    <t>University of Southampton; NERC National Oceanography Centre; Woods Hole Oceanographic Institution</t>
  </si>
  <si>
    <t>Waterman, S (corresponding author), Univ British Columbia, Dept Earth Ocean &amp; Atmospher Sci, 2207 Main Mall, Vancouver, BC V6T 1Z4, Canada.</t>
  </si>
  <si>
    <t>snw@alum.mit.edu</t>
  </si>
  <si>
    <t>Waterman, Stephanie/AAY-6033-2020; Garabato, Alberto Naveira/AAQ-1114-2020</t>
  </si>
  <si>
    <t>Waterman, Stephanie/0000-0001-5797-1092; Garabato, Alberto Naveira/0000-0001-6071-605X</t>
  </si>
  <si>
    <t>United Kingdom's Natural Environmental Research Council (NERC) [NE/G001510/1]; Rockland Scientific International; ARC Discovery Early Career Research Award [DE120102927]; Grantham Institute for Climate Change; Grantham Institute for Climate Change, Imperial College London; ARC Centre of Excellence for Climate System Science [CE110001028]; NERC Advanced Research Fellowship [NE/C517633/1]; Woods Hole Oceanographic Institution bridge support funds; NERC [NE/B503717/1, NE/G001510/1, NE/G001502/1, NE/E007058/1] Funding Source: UKRI; Australian Research Council [DE120102927] Funding Source: Australian Research Council; Natural Environment Research Council [NE/C517633/1, NE/G001510/1, NE/E007058/1, NE/B503717/1, NE/G001502/1] Funding Source: researchfish</t>
  </si>
  <si>
    <t>United Kingdom's Natural Environmental Research Council (NERC); Rockland Scientific International; ARC Discovery Early Career Research Award(Australian Research Council); Grantham Institute for Climate Change; Grantham Institute for Climate Change, Imperial College London; ARC Centre of Excellence for Climate System Science(Australian Research Council); NERC Advanced Research Fellowship(UK Research &amp; Innovation (UKRI)Natural Environment Research Council (NERC)); Woods Hole Oceanographic Institution bridge support funds; NERC(UK Research &amp; Innovation (UKRI)Natural Environment Research Council (NERC)); Australian Research Council(Australian Research Council); Natural Environment Research Council(UK Research &amp; Innovation (UKRI)Natural Environment Research Council (NERC))</t>
  </si>
  <si>
    <t>The SOFine project is funded by the United Kingdom's Natural Environmental Research Council (NERC) (Grant NE/G001510/1). The VMP was also purchased with this support. We thankfully acknowledge the support of Rockland Scientific International, especially for their timely advice delivered during the SOFine expedition. We are grateful to all the scientists, technicians, officers, and crew of the RRS James Cook for their hard work in making the SOFine cruise a very successful one. SW acknowledges the support of an ARC Discovery Early Career Research Award (Grant DE120102927), as well as the Grantham Institute for Climate Change, Imperial College London, and the ARC Centre of Excellence for Climate System Science (Grant CE110001028). ACNG acknowledges the support of a NERC Advanced Research Fellowship (Grant NE/C517633/1). KLP acknowledges support from Woods Hole Oceanographic Institution bridge support funds. We thank Eric Kunze for useful discussions and five anonymous reviewers of an earlier manuscript for their suggestions on how to explore the overprediction signal in more detail.</t>
  </si>
  <si>
    <t>10.1175/JPO-D-12-0154.1</t>
  </si>
  <si>
    <t>Green Accepted, Green Submitted, Bronze</t>
  </si>
  <si>
    <t>WOS:000334815500012</t>
  </si>
  <si>
    <t>Roscoe, HK; Brough, N; Jones, AE; Wittrock, F; Richter, A; Van Roozendael, M; Hendrick, F</t>
  </si>
  <si>
    <t>Roscoe, H. K.; Brough, N.; Jones, A. E.; Wittrock, F.; Richter, A.; Van Roozendael, M.; Hendrick, F.</t>
  </si>
  <si>
    <t>Characterisation of vertical BrO distribution during events of enhanced tropospheric BrO in Antarctica, from combined remote and in-situ measurements</t>
  </si>
  <si>
    <t>Troposphere; Halogens; Discrepancy; Ozone</t>
  </si>
  <si>
    <t>SURFACE OZONE DEPLETION; ZENITH-SKY UV; BOUNDARY-LAYER; BROMINE MONOXIDE; MAX-DOAS; PROFILES; RETRIEVAL; SNOW; HALOGENS; COLUMNS</t>
  </si>
  <si>
    <t>Tropospheric BrO was measured by a ground-based remote-sensing spectrometer at Halley in Antarctica in spring 2007, and BrO was measured by satellite-borne remote-sensing spectrometers using similar spectral regions and similar Differential Optical Absorption Spectroscopy (DOAS) analyses. Near-surface BrO was simultaneously measured in situ at Halley by Chemical Ionisation Mass Spectrometer (CIMS), and in an earlier year near-surface BrO was measured at Halley over a long path by a ground-based DOAS spectrometer. During enhancement episodes, total amounts of tropospheric BrO from the ground-based remote-sensor were similar to those from space, but if we assume that the BrO was confined to the mixed layer they were very much larger than values measured by either near-surface technique. This large apparent discrepancy can be resolved if substantial amounts of BrO were in the free troposphere during most enhancement episodes. Amounts observed by the ground-based remote sensor at different elevation angles, and their formal inversions to vertical profiles, demonstrate that much of the BrO was indeed often in the free troposphere. This is consistent with the similar to 5 day lifetime of Bry and with the enhanced BrO observed during some Antarctic blizzards. (c) 2014 The Authors. Published by Elsevier Ltd.</t>
  </si>
  <si>
    <t>[Roscoe, H. K.; Brough, N.; Jones, A. E.] British Antarctic Survey, Cambridge CB3 0ET, England; [Wittrock, F.; Richter, A.] Univ Bremen, IUPP, D-28359 Bremen, Germany; [Van Roozendael, M.; Hendrick, F.] BIRA, Brussels, Belgium</t>
  </si>
  <si>
    <t>UK Research &amp; Innovation (UKRI); Natural Environment Research Council (NERC); NERC British Antarctic Survey; University of Bremen</t>
  </si>
  <si>
    <t>Roscoe, HK (corresponding author), British Antarctic Survey, Cambridge CB3 0ET, England.</t>
  </si>
  <si>
    <t>H.Roscoe@bas.ac.UK</t>
  </si>
  <si>
    <t>Wittrock, Folkard/B-6959-2008; brough, neil/AAG-8550-2019; Richter, Andreas/C-4971-2008</t>
  </si>
  <si>
    <t>brough, neil/0000-0002-2316-5292; Richter, Andreas/0000-0003-3339-212X</t>
  </si>
  <si>
    <t>This study is part of the British Antarctic Survey's Polar Science for Planet Earth programme, funded by the Natural Environment Research Council. We thank Caroline Fayt and Gala Pinardi of BIRA for help with running WinDOAS code on the specific output from our MAX-DOAS spectrometer. We also thank Udo Friess and Thomas Wagner for useful discussions on MAX-DOAS data. Finally, we thank Steve Colwell and Phil Anderson of BAS for providing Halley meteorological and sodar data, respectively.</t>
  </si>
  <si>
    <t>10.1016/j.jqsrt.2014.01.026</t>
  </si>
  <si>
    <t>AE6DR</t>
  </si>
  <si>
    <t>WOS:000334081300006</t>
  </si>
  <si>
    <t>Bailey, HL; Henderson, ACG; Sloane, HJ; Snelling, A; Leng, MJ; Kaufman, DS</t>
  </si>
  <si>
    <t>Bailey, Hannah L.; Henderson, Andrew C. G.; Sloane, Hilary J.; Snelling, Andrea; Leng, Melanie J.; Kaufman, Darrell S.</t>
  </si>
  <si>
    <t>The effect of species on lacustrine δ18Odiatom and its implications for palaeoenvironmental reconstructions</t>
  </si>
  <si>
    <t>oxygen isotopes; diatom; palaeoclimate; lake; fractionation</t>
  </si>
  <si>
    <t>OXYGEN-ISOTOPE COMPOSITION; WEST ANTARCTIC PENINSULA; BIOGENIC-SILICA; FRESH-WATER; DIATOM DELTA-O-18; PLANKTONIC-FORAMINIFERA; HOLOCENE CLIMATE; RECORD; VARIABILITY; FRACTIONATION</t>
  </si>
  <si>
    <t>The oxygen isotope composition of diatom silica (delta O-18(diatom)) is increasingly being used to reconstruct climate from marine and lacustrine sedimentary archives. Although diatoms are assumed to precipitate their frustule in isotopic equilibrium with their surrounding water, it is unclear whether internal processes of a given species affect the fractionation of oxygen between the water and the diatom. We present delta O-18(diatom) data from two diatom size fractions (3-38 and &gt;38 mu m) characterized by different species in a sediment core from Heart Lake, Alaska. Differences in delta O-18(diatom) between the two size fractions varies from 0 to 1.2 parts per thousand, with a mean offset of 0.01 parts per thousand (n = 20). Fourier transform infrared spectroscopy confirms our samples consist of pure biogenic silica (SiO2) and delta O-18(diatom) trends are not driven by contamination. The maximum offset is outside the range of error, but the mean is within analytical error of the technique (+/- 1.06 parts per thousand), demonstrating no discernible species-dependent fractionation in delta O-18(diatom). We conclude that lacustrine delta O-18(diatom) measurements offer a reliable and valuable method for reconstructing delta O-18(water). Considering the presence of small offsets in our two records, we advise interpreting shifts in delta O-18(diatom) only where the magnitude of change is greater than the combined analytical error.</t>
  </si>
  <si>
    <t>[Bailey, Hannah L.; Henderson, Andrew C. G.] Newcastle Univ, Sch Geog Polit &amp; Sociol, Newcastle Upon Tyne NE1 7RU, Tyne &amp; Wear, England; [Sloane, Hilary J.; Snelling, Andrea; Leng, Melanie J.] British Geol Survey, NERC Isotope Geosci Lab, Keyworth NG12 5GG, Notts, England; [Leng, Melanie J.] Univ Nottingham, Sch Geog, Ctr Environm Geochem, Nottingham NG7 2RD, England; [Kaufman, Darrell S.] No Arizona Univ, Sch Earth Sci &amp; Environm Sustainabil, Flagstaff, AZ 86011 USA</t>
  </si>
  <si>
    <t>Newcastle University - UK; UK Research &amp; Innovation (UKRI); Natural Environment Research Council (NERC); NERC British Geological Survey; University of Nottingham; Northern Arizona University</t>
  </si>
  <si>
    <t>Bailey, HL (corresponding author), Newcastle Univ, Sch Geog Polit &amp; Sociol, Newcastle Upon Tyne NE1 7RU, Tyne &amp; Wear, England.</t>
  </si>
  <si>
    <t>h.l.bailey@ncl.ac.uk</t>
  </si>
  <si>
    <t>Bailey, Hannah/AAN-9643-2021; Henderson, Andrew C. G./A-1434-2009; Kaufman, Darrell S/A-2471-2008</t>
  </si>
  <si>
    <t>Bailey, Hannah/0000-0002-8913-8473; Henderson, Andrew C. G./0000-0002-5944-3135; Sloane, Hilary/0000-0001-7965-5429; Leng, Melanie/0000-0003-1115-5166; Bailey, Hannah/0000-0003-4085-3721</t>
  </si>
  <si>
    <t>NERC CASE studentship award [NE/I528350/1]; NERC Isotope Geosciences Facilities grant [IP/1202/1110]; NSF [EAR 0823522]; NERC [nigl010001] Funding Source: UKRI; Natural Environment Research Council [nigl010001] Funding Source: researchfish</t>
  </si>
  <si>
    <t>NERC CASE studentship award(UK Research &amp; Innovation (UKRI)Natural Environment Research Council (NERC)); NERC Isotope Geosciences Facilities grant; NSF(National Science Foundation (NSF)); NERC(UK Research &amp; Innovation (UKRI)Natural Environment Research Council (NERC)); Natural Environment Research Council(UK Research &amp; Innovation (UKRI)Natural Environment Research Council (NERC))</t>
  </si>
  <si>
    <t>The research was supported by a NERC CASE studentship award to H.L.B. (NE/I528350/1) and a NERC Isotope Geosciences Facilities grant to A.C.G.H. (IP/1202/1110). Recovery of water samples, sediment core material and the development of the age model was supported by an NSF grant to D.S.K. (EAR 0823522). We thank Yarrow Axford, Anne Krawiec and David Vaillencourt for field assistance.</t>
  </si>
  <si>
    <t>10.1002/jqs.2711</t>
  </si>
  <si>
    <t>AH2OP</t>
  </si>
  <si>
    <t>hybrid, Green Accepted, Green Published</t>
  </si>
  <si>
    <t>WOS:000335961100009</t>
  </si>
  <si>
    <t>Tarling, GA; Thorpe, SE</t>
  </si>
  <si>
    <t>Tarling, Geraint A.; Thorpe, Sally E.</t>
  </si>
  <si>
    <t>Instantaneous movement of krill swarms in the Antarctic Circumpolar Current</t>
  </si>
  <si>
    <t>DOPPLER CURRENT PROFILER; VERTICAL MIGRATION BEHAVIOR; EUPHAUSIA-SUPERBA DANA; SCOTIA SEA; MEGANYCTIPHANES-NORVEGICA; SOUTH-GEORGIA; SOCIAL AGGREGATION; ESCAPE RESPONSES; TARGET STRENGTH; POLAR FRONT</t>
  </si>
  <si>
    <t>Antarctic krill are known to have strong swimming capabilities, but direct observations of the speed and direction of krill-swarm movement within their natural environment are rare. We identified and examined 4060 swarms within the main flow of the Antarctic Circumpolar Current (Scotia Sea) using a combination of an EK60 echosounder, a 153.6 kHz acoustic Doppler current profiler, and ground-truthing nets. Net displacement magnitude (m) and net angle of deviation (d) were determined by vector subtraction from the background flow immediately below them. Values were compared against control data sets in which swarms were absent. With greater background flow, m became increasingly lower than predicted, which suggests that drag influences swarm movement. The characteristics of the flow regime influenced swarm behavior, given that both m and d varied according to the direction of background flow. Furthermore, multiple-regression analysis indicated that swarm area, the vicinity of the sea-ice edge, and salinity had a significant influence on m, with levels of displacement being greatest in larger swarms and in low-salinity regions close to the ice edge. The ice edge is a key environment for Antarctic krill and swarm behavior may assist in retaining this location. Only fluorescence was found to have a significant influence on d, with deviations being greatest in regions of highest fluorescence. This agrees with laboratory observations of krill turning more frequently within food patches. We demonstrate that it is possible to measure instantaneous movement patterns in Antarctic krill swarms and, at large scales, these movements are consistent with current understanding of responses of krill to local stimuli such as sea-ice and patches of food.</t>
  </si>
  <si>
    <t>[Tarling, Geraint A.; Thorpe, Sally E.] NERC, Cambridge, England</t>
  </si>
  <si>
    <t>Tarling, GA (corresponding author), NERC, Cambridge, England.</t>
  </si>
  <si>
    <t>Thorpe, Sally/0000-0002-5193-6955</t>
  </si>
  <si>
    <t>10.4319/lo.2014.59.3.0872</t>
  </si>
  <si>
    <t>WOS:000339904300019</t>
  </si>
  <si>
    <t>Saavedra-Pellitero, M; Baumann, KH; Flores, JA; Gersonde, R</t>
  </si>
  <si>
    <t>Saavedra-Pellitero, Mariem; Baumann, Karl-Heinz; Flores, Jose-Abel; Gersonde, Rainer</t>
  </si>
  <si>
    <t>Biogeographic distribution of living coccolithophores in the Pacific sector of the Southern Ocean</t>
  </si>
  <si>
    <t>Coccolithophores; Southern Ocean; Depth; Front; Ecology</t>
  </si>
  <si>
    <t>EMILIANIA-HUXLEYI PRYMNESIOPHYCEAE; NORWEGIAN-GREENLAND SEA; ANTARCTIC CIRCUMPOLAR CURRENT; LATE AUSTRAL SUMMER; CALCAREOUS NANNOPLANKTON; SURFACE DISTRIBUTION; ATLANTIC SECTOR; NORTH-ATLANTIC; MORPHOTYPES; PHYTOPLANKTON</t>
  </si>
  <si>
    <t>This paper adds to a series of studies addressing the distribution of living coccolithophores in the Southern Ocean (SO). We investigated plankton samples collected during RV Polarstem cruise ANT-XXVI/2 (from 27th November 2009 to 27th January 2010) along a broad E-W transect in the Pacific sector of the SO during austral summer. One hundred and fifty samples from twenty-nine stations were collected from the upper 150 m of the water column. Both coccoliths and coccospheres per sample were counted separately using a scanning electron microscope (SEM). The highest abundances of 640 . 10(3) coccospheres/l were reached close to the Subtropical Front (STF) and increases in the numbers of coccospheres and coccoliths were found both at the Subantarctic Front (SAF) and the Polar Front (PF). However, the numbers decrease southward until almost a monospecific assemblage and sporadic record of Emiliania huxleyi (types B/C and C) south of the PF. Thirty-three coccolithophore species, including sixteen species found as isolated coccoliths, were identified of which E. huxleyi is clearly the most dominant coccolithophore taxon in the studied samples. Two main coccolithophore assemblages were established coincident with areas bounded by the oceanographic fronts: the Polar Front Zone (PFZ) and Subantarctic Zone (SAZ). In the upper photic zone of the SAZ, Acanthoica quattrospina, Calcidiscus leptoponis, Coccolithus pelagicus (sensu lato) HOL, E. huxleyi type A, Ophi aster spp. and Syracosphaera spp. among others were found. The PFZ was characterized by a reduced number of species, i.e., Calciopappus caudatus, E. huxleyi types B, B/C and C, as well as Pappomonas spp. and Papposphaera spp. The sea surface temperature measured in situ was the most prominent factor influencing coccolithophore diversity, distribution and assemblage compositions in the Pacific sector of the SO during austral summer. Coccolithophore biogeography in the study area showed marked differences with the northern high latitudes; the reduced presence of the cold water species Coccolithus pelagicus, abundant in the (sub) Arctic region, and the dominance of E. huxleyi type B/C and C in the SO contrasts with the dominance of E. huxleyi types A and B in the North Atlantic. Findings such as these cover existing gaps in an unexplored area of the SO as well as supporting previous research performed in neighboring areas. The current coccolithophore numbers and assemblage distribution in relation to the frontal dynamics of the SO provide valuable information for potential future paleoceanographic reconstructions. (C) 2014 Elsevier B.V. All rights reserved.</t>
  </si>
  <si>
    <t>[Saavedra-Pellitero, Mariem; Baumann, Karl-Heinz] Univ Bremen, Dept Geosci, D-28334 Bremen, Germany; [Flores, Jose-Abel] Univ Salamanca, Dept Geol, E-37008 Salamanca, Spain; [Gersonde, Rainer] Alfred Wegener Inst Polar &amp; Marine Res, D-27515 Bremerhaven, Germany</t>
  </si>
  <si>
    <t>University of Bremen; University of Salamanca; Helmholtz Association; Alfred Wegener Institute, Helmholtz Centre for Polar &amp; Marine Research</t>
  </si>
  <si>
    <t>Saavedra-Pellitero, M (corresponding author), Univ Bremen, Dept Geosci, POB 33 04 40, D-28334 Bremen, Germany.</t>
  </si>
  <si>
    <t>msaavedr@uni-bremen.de</t>
  </si>
  <si>
    <t>Flores, José-Abel/D-4218-2009; Saavedra-Pellitero, Mariem/I-7468-2019</t>
  </si>
  <si>
    <t>Flores, José-Abel/0000-0003-1909-293X; Saavedra-Pellitero, Mariem/0000-0003-0621-7932</t>
  </si>
  <si>
    <t>Spanish Programa Nacional de Movilidad de Recursos Humanos del Plan Nacional de I+D+i; MEC Postdoc grant [EX2009-0177]</t>
  </si>
  <si>
    <t>Spanish Programa Nacional de Movilidad de Recursos Humanos del Plan Nacional de I+D+i; MEC Postdoc grant(German Research Foundation (DFG))</t>
  </si>
  <si>
    <t>Lluisa Cros is acknowledged for her suggestions and her valuable help in species identification. We are grateful to Ric Jordan and two anonymous reviewers for their constructive comments. R/V Polarstern officers and crew are thanked for their help during ANT-XXVI/2 Expedition. Samples were supplied through the assistance of the Alfred Wegener Institute for Polar and Marine Research. This work was funded by the Spanish Programa Nacional de Movilidad de Recursos Humanos del Plan Nacional de I+D+i 2008-2011 and specifically by the MEC Postdoc grant (EX2009-0177) awarded to Mariem Saavedra-Pellitero.</t>
  </si>
  <si>
    <t>10.1016/j.marmicro.2014.03.003</t>
  </si>
  <si>
    <t>AJ7IZ</t>
  </si>
  <si>
    <t>WOS:000337871700001</t>
  </si>
  <si>
    <t>Abell, GCJ; Ross, DJ; Keane, J; Holmes, BH; Robert, SS; Keough, MJ; Eyre, BD; Volkman, JK</t>
  </si>
  <si>
    <t>Abell, G. C. J.; Ross, D. J.; Keane, J.; Holmes, B. H.; Robert, S. S.; Keough, M. J.; Eyre, B. D.; Volkman, J. K.</t>
  </si>
  <si>
    <t>Niche Differentiation of Ammonia-Oxidising Archaea (AOA) and Bacteria (AOB) in Response to Paper and Pulp Mill Effluent</t>
  </si>
  <si>
    <t>SECONDARY-TREATED PAPER; NITRIFYING ARCHAEA; NITRITE REDUCTASE; STABLE-ISOTOPES; NITROGEN; DIVERSITY; NITRIFICATION; ABUNDANCE; SEDIMENTS; GENES</t>
  </si>
  <si>
    <t>Sediment organic loading has been shown to affect estuarine nitrification and denitrification, resulting in changes to sediment biogeochemistry and nutrient fluxes detrimental to estuarine health. This study examined the effects of organic loading on nutrient fluxes and microbial communities in sediments receiving effluent from a paper and pulp mill (PPM) by applying microcosm studies and molecular microbial ecology techniques. Three sites near the PPM outfall were compared to three control sites, one upstream and two downstream of the outfall. The control sites showed coupled nitrification-denitrification with minimal ammonia release from the sediment. In contrast, the impacted sites were characterised by nitrate uptake and substantial ammonia efflux from the sediments, consistent with a decoupling of nitrification and denitrification. Analysis of gene diversity demonstrated that the composition of nitrifier communities was not significantly different at the impacted sites compared to the control sites; however, analysis of gene abundance indicated that whilst there was no difference in total bacteria, total archaea or ammonia-oxidising archaea (AOA) abundance between the control and impacted sites, there was a significant reduction in ammonia-oxidising bacteria (AOB) at the impacted sites. The results of this study demonstrate an effect of organic loading on estuarine sediment biogeochemistry and highlight an apparent niche differentiation between AOA and AOB.</t>
  </si>
  <si>
    <t>[Abell, G. C. J.; Holmes, B. H.; Robert, S. S.; Volkman, J. K.] CSIRO, Marine &amp; Atmospher Res &amp; Wealth Oceans, Natl Res Flagship, Castray Esplanade, Hobart, Tas 7000, Australia; [Ross, D. J.; Keane, J.] Inst Marine &amp; Antarctic Studies, Taroona, Tas, Australia; [Keough, M. J.] Univ Melbourne, Dept Zool, Melbourne, Vic 3010, Australia; [Eyre, B. D.] So Cross Univ, Ctr Coastal Biogeochem, Lismore, NSW 2480, Australia</t>
  </si>
  <si>
    <t>Commonwealth Scientific &amp; Industrial Research Organisation (CSIRO); University of Tasmania; University of Melbourne; Melbourne Bioinformatics; Southern Cross University</t>
  </si>
  <si>
    <t>Abell, GCJ (corresponding author), CSIRO, Marine &amp; Atmospher Res &amp; Wealth Oceans, Natl Res Flagship, Castray Esplanade, Hobart, Tas 7000, Australia.</t>
  </si>
  <si>
    <t>Guy.Abell@csiro.au</t>
  </si>
  <si>
    <t>Volkman, John K/A-6592-2008; Abell, Guy C J/A-1767-2010; Eyre, Bradley/C-2527-2013; Ross, Donald/F-7607-2012</t>
  </si>
  <si>
    <t>Eyre, Bradley/0000-0001-5502-0680; Ross, Donald/0000-0002-8659-3833; Keough, Michael/0000-0002-3382-3068; Keane, John Patrick/0000-0001-8950-5176</t>
  </si>
  <si>
    <t>Australian Research Council [LP0770222]; Norske Skog Boyer</t>
  </si>
  <si>
    <t>Australian Research Council(Australian Research Council); Norske Skog Boyer</t>
  </si>
  <si>
    <t>This work was supported in part by an Australian Research Council Linkage grant (LP0770222) awarded to DJR, DBE and MJK. We would like to thank Andy Revil and Rebecca Esmay (CMAR) for sediment and stable isotope analysis. We would also like to thank Norske Skog Boyer for financial and in-kind assistance, and, in particular, Des Richardson for reviewing the manuscript and providing technical advice on the mill operations and effluent characteristics.</t>
  </si>
  <si>
    <t>10.1007/s00248-014-0376-7</t>
  </si>
  <si>
    <t>WOS:000334495000003</t>
  </si>
  <si>
    <t>Neukom, R; Gergis, J; Karoly, DJ; Wanner, H; Curran, M; Elbert, J; González-Rouco, F; Linsley, BK; Moy, AD; Mundo, I; Raible, CC; Steig, EJ; van Ommen, T; Vance, T; Villalba, R; Zinke, J; Frank, D</t>
  </si>
  <si>
    <t>Neukom, Raphael; Gergis, Joelle; Karoly, David J.; Wanner, Heinz; Curran, Mark; Elbert, Julie; Gonzalez-Rouco, Fidel; Linsley, Braddock K.; Moy, Andrew D.; Mundo, Ignacio; Raible, Christoph C.; Steig, Eric J.; van Ommen, Tas; Vance, Tessa; Villalba, Ricardo; Zinke, Jens; Frank, David</t>
  </si>
  <si>
    <t>Inter-hemispheric temperature variability over the past millennium</t>
  </si>
  <si>
    <t>CLIMATE; RECONSTRUCTIONS; SENSITIVITY; SIMULATIONS; RECORDS</t>
  </si>
  <si>
    <t>The Earth's climate system is driven by a complex interplay of internal chaotic dynamics and natural and anthropogenic external forcing. Recent instrumental data have shown a remarkable degree of asynchronicity between Northern Hemisphere and Southern Hemisphere temperature fluctuations, thereby questioning the relative importance of internal versus external drivers of past as well as future climate variability(1-3). However, large-scale temperature reconstructions for the past millennium have focused on the Northern Hemisphere(4,5), limiting empirical assessments of inter-hemispheric variability on multi-decadal to centennial timescales. Here, we introduce a new millennial ensemble reconstruction of annually resolved temperature variations for the Southern Hemisphere based on an unprecedented network of terrestrial and oceanic palaeoclimate proxy records. In conjunction with an independent Northern Hemisphere temperature reconstruction ensemble(5), this record reveals an extended cold period (1594-1677) in both hemispheres but no globally coherent warm phase during the pre-industrial (1000-1850) era. The current (post-1974) warm phase is the only period of the past millennium where both hemispheres are likely to have experienced contemporaneous warm extremes. Our analysis of inter-hemispheric temperature variability in an ensemble of climate model simulations for the past millennium suggests that models tend to overemphasize Northern Hemisphere-Southern Hemisphere synchronicity by underestimating the role of internal ocean-atmosphere dynamics, particularly in the ocean-dominated Southern Hemisphere. Our results imply that climate system predictability on decadal to century timescales may be lower than expected based on assessments of external climate forcing and Northern Hemisphere temperature variations(5,6) alone.</t>
  </si>
  <si>
    <t>[Neukom, Raphael; Wanner, Heinz; Elbert, Julie; Raible, Christoph C.; Frank, David] Univ Bern, Oeschger Ctr Climate Change Res, CH-3012 Bern, Switzerland; [Neukom, Raphael; Frank, David] Swiss Fed Inst WSL, CH-8903 Birmensdorf, Switzerland; [Gergis, Joelle; Karoly, David J.] Univ Melbourne, Sch Earth Sci, Melbourne, Vic 3010, Australia; [Karoly, David J.] Univ Melbourne, ARC Ctr Excellence Climate Syst Sci, Melbourne, Vic 3010, Australia; [Curran, Mark; Moy, Andrew D.; van Ommen, Tas] Australian Antarctic Div, Dept Environm, Kingston, Tas 7050, Australia; [Curran, Mark; Moy, Andrew D.; van Ommen, Tas; Vance, Tessa] Univ Tasmania, Antarctic Climate &amp; Ecosyst Cooperat Res Ctr, Hobart, Tas 7000, Australia; [Gonzalez-Rouco, Fidel] Univ Complutense Madrid, Inst Geociencias CSIC, Dept Astrofis &amp; CC Atmosfera, E-28040 Madrid, Spain; [Linsley, Braddock K.] Columbia Univ, Lamont Doherty Earth Observ, Palisades, NY 10964 USA; [Mundo, Ignacio; Villalba, Ricardo] CCT CONICET Mendoza, Inst Argentino Nivol Glaciol &amp; Ciencias Ambiental, RA-5500 Mendoza, Argentina; [Mundo, Ignacio] Univ Nacl La Plata, Fac Ciencias Agr &amp; Forestales, LISEA, La Plata, Buenos Aires, Argentina; [Raible, Christoph C.] Univ Bern, CH-3012 Bern, Switzerland; [Steig, Eric J.] Univ Washington, Quaternary Res Ctr, Seattle, WA 98195 USA; [Steig, Eric J.] Univ Washington, Dept Earth &amp; Space Sci, Seattle, WA 98195 USA; [Zinke, Jens] Univ Western Australia, Oceans Inst, Sch Earth &amp; Environm, Crawley, WA 6009, Australia; [Zinke, Jens] Australian Inst Marine Sci, Nedlands, WA 6009, Australia</t>
  </si>
  <si>
    <t>University of Bern; Swiss Federal Institutes of Technology Domain; Swiss Federal Institute for Forest, Snow &amp; Landscape Research; University of Melbourne; Melbourne Bioinformatics; ARC Centre of Excellence for Climate System Science; University of Melbourne; Melbourne Genomics Health Alliance; Australian Antarctic Division; Antarctic Climate &amp; Ecosystems Cooperative Research Centre (ACE CRC); University of Tasmania; Complutense University of Madrid; Consejo Superior de Investigaciones Cientificas (CSIC); CSIC-UCM - Instituto de Geociencias (IGEO); Columbia University; Consejo Nacional de Investigaciones Cientificas y Tecnicas (CONICET); National University of La Plata; University of Bern; University of Washington; University of Washington Seattle; University of Washington; University of Washington Seattle; University of Western Australia; Australian Institute of Marine Science</t>
  </si>
  <si>
    <t>Neukom, R (corresponding author), Univ Zurich, Dept Geog, Phys Geog Div, Winterthurerstr 190, CH-8057 Zurich, Switzerland.</t>
  </si>
  <si>
    <t>neukom@giub.unibe.ch</t>
  </si>
  <si>
    <t>Zinke, Jens/G-5026-2011; Frank, David/C-7764-2013; Neukom, Raphael/J-7842-2017; IPO, PAGES/JXY-7546-2024; van Ommen, Tas/B-5020-2012; Gonzalez-Rouco, Jesus Fidel/B-1761-2012; Raible, Christoph/M-8309-2016; Karoly, David/C-8262-2011; /G-9088-2015</t>
  </si>
  <si>
    <t>Frank, David/0000-0001-5463-5640; van Ommen, Tas/0000-0002-2463-1718; Linsley, Braddock/0000-0003-2085-0662; Moy, Andrew/0000-0002-7664-9960; Villalba, Ricardo/0000-0001-8183-0310; Mundo, Ignacio/0000-0002-7189-6073; Neukom, Raphael/0000-0001-9392-0997; Gonzalez-Rouco, Jesus Fidel/0000-0001-7090-6797; Raible, Christoph/0000-0003-0176-0602; Vance, Tessa/0000-0001-6970-8646; GERGIS, JOELLE/0000-0002-4168-7924; Karoly, David/0000-0002-8671-2994; /0000-0002-8191-5549</t>
  </si>
  <si>
    <t>Swiss National Science Foundation; Australian Research Council [LP0990151, DE130100668]; Australian Department of Climate Change and Energy Efficiency; Australian Research Council [LP0990151, DE130100668] Funding Source: Australian Research Council; Division Of Earth Sciences; Directorate For Geosciences [1023724] Funding Source: National Science Foundation</t>
  </si>
  <si>
    <t>Swiss National Science Foundation(Swiss National Science Foundation (SNSF)); Australian Research Council(Australian Research Council); Australian Department of Climate Change and Energy Efficiency(Australian Government); Australian Research Council(Australian Research Council); Division Of Earth Sciences; Directorate For Geosciences(National Science Foundation (NSF)NSF - Directorate for Geosciences (GEO))</t>
  </si>
  <si>
    <t>This work has been possible thanks to the collaboration of many members of the Australasian, South American, African and Antarctic working groups of the PAGES Regional 2K initiative. Researchers from these working groups are warmly thanked for providing metadata inventories and access to data. S. J. Phipps is acknowledged for support with model data. We acknowledge funding from the Swiss National Science Foundation and funding from the Australian Research Council (Projects LP0990151 and DE130100668) and the Australian Department of Climate Change and Energy Efficiency.</t>
  </si>
  <si>
    <t>10.1038/NCLIMATE2174</t>
  </si>
  <si>
    <t>AG4PV</t>
  </si>
  <si>
    <t>WOS:000335403500024</t>
  </si>
  <si>
    <t>Hawkings, JR; Wadham, JL; Tranter, M; Raiswell, R; Benning, LG; Statham, PJ; Tedstone, A; Nienow, P; Lee, K; Telling, J</t>
  </si>
  <si>
    <t>Hawkings, Jon R.; Wadham, Jemma L.; Tranter, Martyn; Raiswell, Rob; Benning, Liane G.; Statham, Peter J.; Tedstone, Andrew; Nienow, Peter; Lee, Katherine; Telling, Jon</t>
  </si>
  <si>
    <t>Ice sheets as a significant source of highly reactive nanoparticulate iron to the oceans</t>
  </si>
  <si>
    <t>HAUT-GLACIER-DAROLLA; SOUTHERN-OCEAN; GREENLAND; BENEATH; BIOGEOCHEMISTRY; ANTARCTICA; MELTWATER; MODEL; DUST; WEST</t>
  </si>
  <si>
    <t>The Greenland and Antarctic Ice Sheets cover similar to 10% of global land surface, but are rarely considered as active components of the global iron cycle. The ocean waters around both ice sheets harbour highly productive coastal ecosystems, many of which are iron limited. Measurements of iron concentrations in subglacial runoff from a large Greenland Ice Sheet catchment reveal the potential for globally significant export of labile iron fractions to the near-coastal euphotic zone. We estimate that the flux of bioavailable iron associated with glacial runoff is 0.40-2.54 Tg per year in Greenland and 0.06-0.17 Tg per year in Antarctica. Iron fluxes are dominated by a highly reactive and potentially bioavailable nanoparticulate suspended sediment fraction, similar to that identified in Antarctic icebergs. Estimates of labile iron fluxes in meltwater are comparable with aeolian dust fluxes to the oceans surrounding Greenland and Antarctica, and are similarly expected to increase in a warming climate with enhanced melting.</t>
  </si>
  <si>
    <t>[Hawkings, Jon R.; Wadham, Jemma L.; Tranter, Martyn; Lee, Katherine; Telling, Jon] Univ Bristol, Sch Geog Sci, Bristol Glaciol Ctr, Bristol BS8 1SS, Avon, England; [Raiswell, Rob; Benning, Liane G.] Univ Leeds, Sch Earth &amp; Environm, Cohen Biogeochem Lab, Leeds LS2 9JT, W Yorkshire, England; [Statham, Peter J.] Univ Southampton, Sch Ocean &amp; Earth Sci, Natl Oceanog Ctr, Southampton SO14 3ZH, Hants, England; [Tedstone, Andrew; Nienow, Peter] Univ Edinburgh, Sch Geosci, Edinburgh EH8 9XP, Midlothian, Scotland</t>
  </si>
  <si>
    <t>University of Bristol; University of Leeds; NERC National Oceanography Centre; University of Southampton; University of Edinburgh</t>
  </si>
  <si>
    <t>Wadham, JL (corresponding author), Univ Bristol, Sch Geog Sci, Bristol Glaciol Ctr, Univ Rd, Bristol BS8 1SS, Avon, England.</t>
  </si>
  <si>
    <t>j.l.wadham@bristol.ac.uk</t>
  </si>
  <si>
    <t>Wadham, Jemma L/G-3138-2014; Wadham, Jemma L/A-8352-2012; Telling, Jon/M-7643-2013; Tranter, Martyn/E-3722-2010; Tedstone, Andrew/B-3573-2019; Benning, Liane G./E-7071-2011</t>
  </si>
  <si>
    <t>Telling, Jon/0000-0002-8180-0979; Tranter, Martyn/0000-0003-2071-3094; Hawkings, Jon/0000-0003-4813-8474; Tedstone, Andrew/0000-0002-9211-451X; Benning, Liane G./0000-0001-9972-5578</t>
  </si>
  <si>
    <t>UK Natural Environment Research Council, NERC - DELVE (NERC) [NE/I008845/1]; Weathering Science Consortium [NE/C004566/1]; University of Scotland and The University of Edinburgh Development Trust; NERC; MOSS; Carnegie Trust for University of Scotland and The University of Edinburgh Development Trust.; Leverhulme Trust, via a Leverhulme research fellowship; NERC [NE/I008845/1, NE/C004566/1, NE/G005028/1, NE/H024964/1] Funding Source: UKRI</t>
  </si>
  <si>
    <t>UK Natural Environment Research Council, NERC - DELVE (NERC)(UK Research &amp; Innovation (UKRI)Natural Environment Research Council (NERC)); Weathering Science Consortium; University of Scotland and The University of Edinburgh Development Trust; NERC(UK Research &amp; Innovation (UKRI)Natural Environment Research Council (NERC)); MOSS; Carnegie Trust for University of Scotland and The University of Edinburgh Development Trust.; Leverhulme Trust, via a Leverhulme research fellowship; NERC(UK Research &amp; Innovation (UKRI)Natural Environment Research Council (NERC))</t>
  </si>
  <si>
    <t>This research is part of the UK Natural Environment Research Council, NERC funded DELVE (NERC grant NE/I008845/1) and associated NERC PhD studentship to JH, and Weathering Science Consortium (NE/C004566/1) projects. AT was funded by a NERC studentship and MOSS scholarship. PN was supported by grants from the Carnegie Trust for University of Scotland and The University of Edinburgh Development Trust. Additional support was provided by the Leverhulme Trust, via a Leverhulme research fellowship to JLW. We thank all of those assisted with fieldwork at LG. We would also like to thank Dr Mike Ward, Dr Adriana Matamoros Veloza and Dr Samuel Allshorn at the University of Leeds for their help in laboratory analysis, and Dr Matthew Cooper and Dr Andy Milton for help at the NOC Plasma Mass Spectrometry lab.</t>
  </si>
  <si>
    <t>10.1038/ncomms4929</t>
  </si>
  <si>
    <t>AJ2QV</t>
  </si>
  <si>
    <t>Green Submitted, Green Published, Green Accepted, hybrid</t>
  </si>
  <si>
    <t>WOS:000337505100001</t>
  </si>
  <si>
    <t>Herbold, CW; Lee, CK; McDonald, IR; Cary, SC</t>
  </si>
  <si>
    <t>Herbold, Craig W.; Lee, Charles K.; McDonald, Ian R.; Cary, S. Craig</t>
  </si>
  <si>
    <t>Evidence of global-scale aeolian dispersal and endemism in isolated geothermal microbial communities of Antarctica</t>
  </si>
  <si>
    <t>RIBOSOMAL-RNA GENES; MOUNT EREBUS; VICTORIA LAND; HOT-SPRINGS; MT EREBUS; BACTERIA; MICROORGANISMS; SOIL; ENVIRONMENT; DIVERSITY</t>
  </si>
  <si>
    <t>New evidence in aerobiology challenges the assumption that geographical isolation is an effective barrier to microbial transport. However, given the uncertainty with which aerobiological organisms are recruited into existing communities, the ultimate impact of microbial dispersal is difficult to assess. Here we use molecular genetic approaches to examine microbial communities inhabiting fumarolic soils on Mount Erebus, the southern-most geothermal site on Earth, to evaluate the ecological significance of global-scale microbial dispersal. There, hot, fumarolic soils provide an effective environmental filter to test the viability of organisms that have been distributed via aeolian transport over geological time. We find that cosmopolitan thermophiles dominate the surface, whereas endemic Archaea and members of poorly understood Bacterial candidate divisions dominate the immediate subsurface. These results imply that aeolian processes readily disperse viable organisms globally, where they are incorporated into pre-existing complex communities of endemic and cosmopolitan taxa.</t>
  </si>
  <si>
    <t>[Herbold, Craig W.; Lee, Charles K.; McDonald, Ian R.; Cary, S. Craig] Univ Waikato, Dept Biol Sci, Hamilton 3240, New Zealand; [Herbold, Craig W.; Lee, Charles K.; McDonald, Ian R.; Cary, S. Craig] Univ Waikato, Dept Biol Sci, Int Ctr Terr Antarctic Res, Hamilton 3240, New Zealand; [Cary, S. Craig] Univ Delaware, Coll Marine &amp; Earth Studies, Lewes, DC 19958 USA</t>
  </si>
  <si>
    <t>University of Waikato; University of Waikato; University of Delaware</t>
  </si>
  <si>
    <t>Cary, SC (corresponding author), Univ Waikato, Dept Biol Sci, Private Bag 3105, Hamilton 3240, New Zealand.</t>
  </si>
  <si>
    <t>McDonald, Ian R/A-4851-2008; Herbold, Craig William/S-4397-2018; Lee, Charles/AAC-9417-2019; lee, charles/AAW-6627-2021</t>
  </si>
  <si>
    <t>McDonald, Ian R/0000-0002-4847-6492; Herbold, Craig William/0000-0003-3479-0197; Lee, Charles/0000-0002-6562-4733; lee, charles/0000-0001-6906-4895; Cary, Stephen/0000-0002-2876-2387</t>
  </si>
  <si>
    <t>New Zealand Marsden Fund [UOW0802, UOW1003]; National Geographic Society</t>
  </si>
  <si>
    <t>New Zealand Marsden Fund(Royal Society of New ZealandMarsden Fund (NZ)); National Geographic Society(National Geographic Society)</t>
  </si>
  <si>
    <t>Financial support was provided by grant UOW0802 from the New Zealand Marsden Fund to SCC and IRM and a CRE award from the National Geographic Society to S.C.C. Antarctic logistic support for Event K-023 was provided by Antarctica New Zealand. Additional salary support was provided by the New Zealand Marsden fund to C.K.L. (UOW1003) and C.W.H. (UOW0802). We thank Rochelle Soo and Joseph J. Grzymski for assistance in collection of samples, Grace Tiao for assistance in physicochemical analyses and Sarah Kelly for assistance in amplicon library preparation.</t>
  </si>
  <si>
    <t>10.1038/ncomms4875</t>
  </si>
  <si>
    <t>AJ2QL</t>
  </si>
  <si>
    <t>WOS:000337503800019</t>
  </si>
  <si>
    <t>Thomas, DJ; Korty, R; Huber, M; Schubert, JA; Haines, B</t>
  </si>
  <si>
    <t>Thomas, Deborah J.; Korty, Robert; Huber, Matthew; Schubert, Jessica A.; Haines, Brian</t>
  </si>
  <si>
    <t>Nd isotopic structure of the Pacific Ocean 70-30 Ma and numerical evidence for vigorous ocean circulation and ocean heat transport in a greenhouse world</t>
  </si>
  <si>
    <t>EASTERN INDIAN-OCEAN; DEEP-SEA SEDIMENTS; FOSSIL FISH TEETH; EARLY EOCENE; THERMOHALINE-CIRCULATION; ANTARCTIC PENINSULA; MARINE-SEDIMENTS; RESIDENCE TIME; SOUTHERN-OCEAN; LATE PALEOCENE</t>
  </si>
  <si>
    <t>The oceanic meridional overturning circulation (MOC) is a crucial component of the climate system, impacting heat and nutrient transport, and global carbon cycling. Past greenhouse climate intervals present a paradox because their weak equator-to-pole temperature gradients imply a weaker MOC, yet increased poleward oceanic heat transport appears to be required to maintain these weak gradients. To investigate the mode of MOC that operated during the early Cenozoic, we compare new Nd isotope data with Nd tracer-enabled numerical ocean circulation and coupled climate model simulations. Assimilation of new Nd isotope data from South Pacific Deep Sea Drilling Project and Ocean Drilling Program Sites 323, 463, 596, 865, and 869 with previously published data confirm the hypothesized MOC characterized by vigorous sinking in the South and North Pacific similar to 70 to 30 Ma. Compilation of all Pacific Nd isotope data indicates vigorous, distinct, and separate overturning circulations in each basin until similar to 40 Ma. Simulations consistently reproduce South Pacific and North Pacific deep convection over a broad range of conditions, but cases using strong deep ocean vertical mixing produced the best data-model match. Strong mixing, potentially resulting from enhanced abyssal tidal dissipation, greater interaction of wind-driven internal wave activity with submarine plateaus, or higher than modern values of the geothermal heat flux enable models to achieve enhanced MOC circulation rates with resulting Nd isotope distributions consistent with the proxy data. The consequent poleward heat transport may resolve the paradox of warmer worlds with reduced temperature gradients.</t>
  </si>
  <si>
    <t>[Thomas, Deborah J.; Schubert, Jessica A.] Texas A&amp;M Univ, Dept Oceanog, College Stn, TX 77843 USA; [Korty, Robert; Haines, Brian] Texas A&amp;M Univ, Dept Atmospher Sci, College Stn, TX USA; [Huber, Matthew] Purdue Univ, Dept Earth Atmospher &amp; Planetary Sci, W Lafayette, IN 47907 USA</t>
  </si>
  <si>
    <t>Texas A&amp;M University System; Texas A&amp;M University College Station; Texas A&amp;M University System; Texas A&amp;M University College Station; Purdue University System; Purdue University</t>
  </si>
  <si>
    <t>Thomas, DJ (corresponding author), Texas A&amp;M Univ, Dept Oceanog, College Stn, TX 77843 USA.</t>
  </si>
  <si>
    <t>dthomas@ocean.tamu.edu</t>
  </si>
  <si>
    <t>Huber, Matthew/A-7677-2008; Korty, Robert/E-2534-2012</t>
  </si>
  <si>
    <t>Huber, Matthew/0000-0002-2771-9977; Korty, Robert/0000-0002-8743-5044</t>
  </si>
  <si>
    <t>NSF [ATM 0927769, NSF-ATM 0927946, S-STEM 0806926]; NSF</t>
  </si>
  <si>
    <t>NSF(National Science Foundation (NSF)); NSF(National Science Foundation (NSF))</t>
  </si>
  <si>
    <t>This work was funded by NSF ATM 0927769 to D.J.T., and R.K. and NSF-ATM 0927946 to M.H. J.S. received support from NSF S-STEM 0806926. Samples were provided by the Integrated Ocean Drilling Program and analyzed in the R. Ken Williams '45 Radiogenic Isotope Geosciences Laboratory. We thank the reviewers and editor for their thoughtful comments.</t>
  </si>
  <si>
    <t>10.1002/2013PA002535</t>
  </si>
  <si>
    <t>AJ3IF</t>
  </si>
  <si>
    <t>WOS:000337559000008</t>
  </si>
  <si>
    <t>Teo, JKC; Wong, CMVL</t>
  </si>
  <si>
    <t>Teo, Jenny Kim Chee; Wong, Clemente Michael Vui Ling</t>
  </si>
  <si>
    <t>Analyses of soil bacterial diversity of the Schirmacher Oasis, Antarctica</t>
  </si>
  <si>
    <t>Bacterial diversity; DGGE; Schirmacher; Oasis; Soil; Antarctica</t>
  </si>
  <si>
    <t>GRADIENT GEL-ELECTROPHORESIS; SOUTH SHETLAND ARCHIPELAGO; ROSS SEA REGION; MICROBIAL DIVERSITY; COMMUNITY STRUCTURE; LIVINGSTON ISLAND; DOMINANT BACTERIA; DGGE; MICROORGANISMS; LAKE</t>
  </si>
  <si>
    <t>Schirmacher Oasis, Antarctica, is a region with relatively large exposed area and consisted of many freshwater lakes. Nevertheless, only a few studies were done on the bacterial diversity of this region. Hence, this project was undertaken to determine the bacterial community in soil samples collected from the Schirmacher Oasis using the denaturing gradient gel electrophoresis (DGGE) of amplified 16S rDNA fragments. A total of 79 partial 16S rDNA sequences were obtained from the excised DGGE bands, which corresponded to 63 different operational taxonomic units (OTUs) representing bacteria from seven different phyla. The most dominant phyla in descending order were Acidobacteria, Proteobacteria, Bacteroidetes, and Actinobacteria, Planctomycetes, Cyanobacteria and BRC1. There were 5.4 % of unclassified bacteria which cannot be grouped into any of the existing phyla. Eighty-seven percent of the OTUs had highest similarity with the uncultured bacteria from the NCBI GenBank database. Thirty-two percent of the OTUs were similar to bacteria reported in other parts of the Antarctica, while the others were related to bacteria found elsewhere outside the Antarctic.</t>
  </si>
  <si>
    <t>[Teo, Jenny Kim Chee; Wong, Clemente Michael Vui Ling] Univ Malaysia Sabah, Jalan UMS, Biotechnol Res Inst, Kota Kinabalu 88400, Sabah, Malaysia</t>
  </si>
  <si>
    <t>Universiti Malaysia Sabah</t>
  </si>
  <si>
    <t>Wong, CMVL (corresponding author), Univ Malaysia Sabah, Jalan UMS, Biotechnol Res Inst, Kota Kinabalu 88400, Sabah, Malaysia.</t>
  </si>
  <si>
    <t>michaelw@ums.edu.my</t>
  </si>
  <si>
    <t>Wong, Clemente Michael Vui Ling/M-8372-2013</t>
  </si>
  <si>
    <t>Wong, Clemente Michael Vui Ling/0000-0003-3431-8896</t>
  </si>
  <si>
    <t>Academic Sciences of Malaysia (ASM); Ministry of Science, Technology and Innovation (MOSTI), Malaysia [95500-66]</t>
  </si>
  <si>
    <t>Academic Sciences of Malaysia (ASM); Ministry of Science, Technology and Innovation (MOSTI), Malaysia(Ministry of Energy, Science, Technology, Environment and Climate Change (MESTECC), Malaysia)</t>
  </si>
  <si>
    <t>We would like to thank the Academic Sciences of Malaysia (ASM) and the Ministry of Science, Technology and Innovation (MOSTI), Malaysia for funding this research project (Research Grant No. 95500-66) and the National Center for Antarctic and Ocean Research (NCAOR), Goa, India, for providing the logistic supports for the sample collections. We would also like to thank Jacqueline Yong for reading and correcting the final draft of the manuscript.</t>
  </si>
  <si>
    <t>10.1007/s00300-014-1463-4</t>
  </si>
  <si>
    <t>WOS:000334172600004</t>
  </si>
  <si>
    <t>Pabis, K; Hara, U; Presler, P; Sicinski, J</t>
  </si>
  <si>
    <t>Pabis, Krzysztof; Hara, Urszula; Presler, Piotr; Sicinski, Jacek</t>
  </si>
  <si>
    <t>Structure of bryozoan communities in an Antarctic glacial fjord (Admiralty Bay, South Shetlands)</t>
  </si>
  <si>
    <t>King George Island; Suspension feeders; Bryozoa; Sublittoral; Biomass; Distribution patterns</t>
  </si>
  <si>
    <t>KING-GEORGE-ISLAND; SUBLITTORAL EPIFAUNAL COMMUNITIES; BENTHIC MEGAFAUNA; FEEDING-ACTIVITY; NEARSHORE ZONE; CLIMATE-CHANGE; SIGNY ISLAND; MARTEL-INLET; WEDDELL SEA; GROWTH</t>
  </si>
  <si>
    <t>Bryozoans are among the most important groups of the Southern Ocean benthic macrofauna, both in terms of species richness and abundance. However, there is a considerable lack of ecological research focused on their distribution patterns and species richness on smaller scale, especially in the soft bottom habitats of Antarctic glacial fjords. The aim of this study was to describe those patterns in the Admiralty Bay. Forty-nine Van Veen grab samples were collected at the depth range from 15 to 265 m, in the summer season of 1979/1980, at three sites distributed along the main axis of the fjord. Among 53 identified species of bryozoans, 32 were recorded in the Admiralty Bay for the first time. The most common and abundant species were Himantozoum antarcticum, Inversiula nutrix and Nematoflustra flagellata. Genera such as Arachnopusia, Cellarinella and Osthimosia were the most speciose taxa. It was demonstrated that depth was important for the distribution of the bryozoans. More than half of the recorded species were found only below 70 m. An influence of glacial disturbance was reflected in the dominance structure of colony growth-forms. The inner region of the fjord was dominated almost entirely by encrusting species, while the diversity of bryozoan growth-forms in less disturbed areas was much higher. In those sites the highest percentage of branched, tuft like species represented by buguliform and flustriform zoaria was observed.</t>
  </si>
  <si>
    <t>[Pabis, Krzysztof; Presler, Piotr; Sicinski, Jacek] Univ Lodz, Lab Polar Biol &amp; Oceanobiol, PL-90237 Lodz, Poland; [Hara, Urszula] Natl Res Inst, Polish Geol Inst, PL-00975 Warsaw, Poland</t>
  </si>
  <si>
    <t>University of Lodz; Polish Geological Institute - National Research Institute</t>
  </si>
  <si>
    <t>Pabis, K (corresponding author), Univ Lodz, Lab Polar Biol &amp; Oceanobiol, Banacha 12-16, PL-90237 Lodz, Poland.</t>
  </si>
  <si>
    <t>cataclysta@wp.pl; uhar@pgi.gov.pl; piopre@biol.uni.lodz.pl; sicinski@biol.uni.lodz.pl</t>
  </si>
  <si>
    <t>Sicinski, Jacek/P-2033-2017; Pabis, Krzysztof/O-8628-2017</t>
  </si>
  <si>
    <t>Pabis, Krzysztof/0000-0002-9625-3453; Sicinski, Jacek/0000-0002-5235-3188</t>
  </si>
  <si>
    <t>Polish Ministry of Science and Higher Education [51/N-IPY/2007/0]; Census of Antarctic Marine Life Project; University of Lodz; Polish Geological Institute-National Research Institute [40.2900.0903.18.0]</t>
  </si>
  <si>
    <t>Polish Ministry of Science and Higher Education(Ministry of Science and Higher Education, Poland); Census of Antarctic Marine Life Project; University of Lodz; Polish Geological Institute-National Research Institute</t>
  </si>
  <si>
    <t>The study was supported by a grant of Polish Ministry of Science and Higher Education No. 51/N-IPY/2007/0 as well as Census of Antarctic Marine Life Project. Krzysztof Pabis was also partially supported by University of Lodz internal funds. This research was also supported by the Polish Geological Institute-National Research Institute during the realization of the project numbered 40.2900.0903.18.0 titled Bryozoan assemblage of Admiralty Bay-richness, diversity and abundance.'' Urszula Hara is deeply grateful to Leszek Giro (Micro-area Analyses Laboratory at the Polish Geological Institute-National Research Institute, Warsaw), for providing SEM assistance during the project. We also want to thank two anonymous reviewers for their suggestions that helped us improve this article. Thanks are also due to Magdalena Blazewicz-Paszkowycz for language correction and polishing the final version of the manuscript.</t>
  </si>
  <si>
    <t>10.1007/s00300-014-1474-1</t>
  </si>
  <si>
    <t>Green Submitted, hybrid</t>
  </si>
  <si>
    <t>WOS:000334172600014</t>
  </si>
  <si>
    <t>Klages, JP; Kuhn, G; Hillenbrand, CD; Graham, AGC; Smith, JA; Larter, RD; Gohl, K; Wacker, L</t>
  </si>
  <si>
    <t>Klages, J. P.; Kuhn, G.; Hillenbrand, C. -D.; Graham, A. G. C.; Smith, J. A.; Larter, R. D.; Gohl, K.; Wacker, L.</t>
  </si>
  <si>
    <t>Retreat of the West Antarctic Ice Sheet from the western Amundsen Sea shelf at a pre- or early LGM stage</t>
  </si>
  <si>
    <t>Last Glacial Maximum; West Antarctic Ice Sheet; Glacial retreat; LGM extent; Sea-level rise; Grounding-zone wedge; Getz Ice Shelf; Amundsen Sea; Deglaciation</t>
  </si>
  <si>
    <t>SCALE GLACIAL LINEATIONS; PINE ISLAND BAY; GROUNDING-LINE RETREAT; SOUTHERN WEDDELL SEA; EASTERN ROSS SEA; DEGLACIAL HISTORY; PRYDZ BAY; EMBAYMENT; SEDIMENTATION; RADIOCARBON</t>
  </si>
  <si>
    <t>Recent palaeoglaciological studies on the West Antarctic shelf have mainly focused on the wide embayments of the Ross and Amundsen seas in order to reconstruct the extent and subsequent retreat of the West Antarctic Ice Sheet (WAIS) since the Last Glacial Maximum (LGM). However, the narrower shelf sectors between these two major embayments have remained largely unstudied in previous geological investigations despite them covering extensive areas of the West Antarctic shelf. Here, we present the first systematic marine geological and geophysical survey of a shelf sector offshore from the Hobbs Coast. It is dominated by a large grounding zone wedge (GZW), which fills the base of a palaeo-ice stream trough on the inner shelf and marks a phase of stabilization of the grounding line during general WAIS retreat following the last maximum ice-sheet extent in this particular area (referred to as the Local Last Glacial Maximum, 'LLGM'). Reliable age determination on calcareous microfossils from the infill of a subglacial meltwater channel eroded into the GZW reveals that grounded ice had retreated landward of the GZW before similar to 20.88 cal. ka BP, with deglaciation of the innermost shelf occurring prior to similar to 12.97 cal. ka BP. Geophysical sub-bottom information from the inner-, mid- and outer shelf indicates grounded ice extended to the shelf edge prior to the formation of the GZW. Assuming the wedge was deposited during deglaciation, we infer the timing of maximum grounded ice extent occurred before similar to 20.88 cal. ka BP. This could suggest that the WAIS retreat from the outer shelf was already underway during or even prior to the global LGM (similar to 23-19 cal. ka BP). Our new findings give insights into the regional deglacial behaviour of this understudied part of the West Antarctic shelf and at the same time support early deglaciation ages recently presented for adjacent drainage sectors of the WAIS. If correct, these findings contrast with the hypothesis that initial deglaciation of Antarctic Ice Sheets occurred synchronously at similar to 19 cal. ka BP. (C) 2014 Elsevier Ltd. All rights reserved.</t>
  </si>
  <si>
    <t>[Klages, J. P.; Kuhn, G.; Gohl, K.] Helmholtz Zentrum Polar &amp; Meeresforsch, Alfred Wegener Inst, D-27568 Bremerhaven, Germany; [Hillenbrand, C. -D.; Smith, J. A.; Larter, R. D.] British Antarctic Survey, Cambridge CB3 0ET, England; [Graham, A. G. C.] Univ Exeter, Coll Life &amp; Environm Sci, Exeter EX4 4RJ, Devon, England; [Wacker, L.] ETH, Lab Ion Beam Phys, CH-8093 Zurich, Switzerland</t>
  </si>
  <si>
    <t>Helmholtz Association; Alfred Wegener Institute, Helmholtz Centre for Polar &amp; Marine Research; UK Research &amp; Innovation (UKRI); Natural Environment Research Council (NERC); NERC British Antarctic Survey; University of Exeter; Swiss Federal Institutes of Technology Domain; ETH Zurich</t>
  </si>
  <si>
    <t>Klages, JP (corresponding author), Helmholtz Zentrum Polar &amp; Meeresforsch, Alfred Wegener Inst, Alten Hafen 26, D-27568 Bremerhaven, Germany.</t>
  </si>
  <si>
    <t>johann.Klages@awi.de</t>
  </si>
  <si>
    <t>Graham, Alastair/0000-0002-2880-2908; Gohl, Karsten/0000-0002-9558-2116; Kuhn, Gerhard/0000-0001-6069-7485; Klages, Johann Philipp/0000-0003-0968-1183</t>
  </si>
  <si>
    <t>RISE (Research Internships in Science and Engineering) scholarship from the German Academic Exchange Service (DAAD); AWI; Natural Environment Research Council (NERC); NERC [bas0100027] Funding Source: UKRI; Natural Environment Research Council [bas0100027] Funding Source: researchfish</t>
  </si>
  <si>
    <t>RISE (Research Internships in Science and Engineering) scholarship from the German Academic Exchange Service (DAAD); AWI;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</si>
  <si>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 and crew who participated in RV Polarstern cruise ANT-XXVI/3, and N. Lensch, M. Gutjahr, M. Forwick, P. Jernas, D. Baque, S. Wiers, I. MacNab, M. Seebeck, and R. Frohlking for their assistance with coring operations and post-cruise analyses, respectively. K. Hochmuth is acknowledged for processing and displaying the seismic data. We also thank C. Templeton, who was granted a RISE (Research Internships in Science and Engineering) scholarship from the German Academic Exchange Service (DAAD) during summer 2012, for her essential help in the lab. This study is part of the Alfred Wegener Institute research program Polar regions and Coasts in a changing Earth System (PACES) and the British Antarctic Survey Polar Science for Planet Earth Programme. It was funded by AWI and the Natural Environment Research Council (NERC). Finally, we would like to thank Philip J. Bart and Mike Bentley for their helpful comments that improved the manuscript.</t>
  </si>
  <si>
    <t>10.1016/j.quascirev.2014.02.017</t>
  </si>
  <si>
    <t>WOS:000336819800001</t>
  </si>
  <si>
    <t>Bakunov, NA; Bol'shiyanov, DY; Makarov, AS</t>
  </si>
  <si>
    <t>Bakunov, N. A.; Bol'shiyanov, D. Yu.; Makarov, A. S.</t>
  </si>
  <si>
    <t>Sorption-Diffusion Model of 137Cs Uptake by a Water Body Bottom in Estimations of Water Contamination</t>
  </si>
  <si>
    <t>RADIOCHEMISTRY</t>
  </si>
  <si>
    <t>cesium-137; lake; sorption; diffusion; model; bottom soils</t>
  </si>
  <si>
    <t>For a sample including 22 lakes, the Cs-137 concentrations in water were determined by the sorption-diffusion model. The 137Cs levels in waters of lakes of the Kola Peninsula and Karelian Isthmus are satisfactorily described by the suggested model at the distribution coefficient K-d of 4000 L kg(-1) and diffusion coefficient D of 1.0 x 10(-7) cm(2) s(-1) for 2-4-year exposure. For mid-latitude lakes, the ranges of K-d and D of Cs-137 were 6000-1200 L kg(-1) and 1.0 x 10(-7)-0.2 x 10(-7) cm(2) s(-1), respectively. The Cs-137 concentration in water is determined by the major contribution of silts, which are characterized by high K-d of Cs-137 and by large thickness of sediments on the bottom of lake hollows, to the watter-bottom sorption system. After 2-year exposure of Chernobyl Cs-137 in lakes, its inventory in water relative to the amount that fell out in 1986 did not exceed 14% for deep lakes and 2-3.6% for shallow lakes.</t>
  </si>
  <si>
    <t>[Bakunov, N. A.; Bol'shiyanov, D. Yu.; Makarov, A. S.] Arctic &amp; Antarctic Res Inst, Ul Beringa 38, St Petersburg 199397, Russia</t>
  </si>
  <si>
    <t>Makarov, AS (corresponding author), Arctic &amp; Antarctic Res Inst, Ul Beringa 38, St Petersburg 199397, Russia.</t>
  </si>
  <si>
    <t>makarov@aari.nw.ru</t>
  </si>
  <si>
    <t>Bolshiyanov, Dmitriy D.Yu./N-2254-2015</t>
  </si>
  <si>
    <t>1066-3622</t>
  </si>
  <si>
    <t>1608-3288</t>
  </si>
  <si>
    <t>RADIOCHEMISTRY+</t>
  </si>
  <si>
    <t>Radiochemistry</t>
  </si>
  <si>
    <t>10.1134/S1066362214030163</t>
  </si>
  <si>
    <t>Chemistry, Analytical; Chemistry, Inorganic &amp; Nuclear</t>
  </si>
  <si>
    <t>VB5TH</t>
  </si>
  <si>
    <t>WOS:000415595300016</t>
  </si>
  <si>
    <t>Turner, D; Lucieer, A; Malenovsky, Z; King, DH; Robinson, SA</t>
  </si>
  <si>
    <t>Turner, Darren; Lucieer, Arko; Malenovsky, Zbynek; King, Diana H.; Robinson, Sharon A.</t>
  </si>
  <si>
    <t>Spatial Co-Registration of Ultra-High Resolution Visible, Multispectral and Thermal Images Acquired with a Micro-UAV over Antarctic Moss Beds</t>
  </si>
  <si>
    <t>UAV; image co-registration; multispectral; thermal infrared; Antarctica; moss</t>
  </si>
  <si>
    <t>AERIAL VEHICLE UAV; UNMANNED AIRCRAFT; SENSOR CORRECTION; IMAGING SENSOR; CLIMATE-CHANGE; CLASSIFICATION; CROP; ACQUISITION; SYSTEMS; LINE</t>
  </si>
  <si>
    <t>In recent times, the use of Unmanned Aerial Vehicles (UAVs) as tools for environmental remote sensing has become more commonplace. Compared to traditional airborne remote sensing, UAVs can provide finer spatial resolution data (up to 1 cm/pixel) and higher temporal resolution data. For the purposes of vegetation monitoring, the use of multiple sensors such as near infrared and thermal infrared cameras are of benefit. Collecting data with multiple sensors, however, requires an accurate spatial co-registration of the various UAV image datasets. In this study, we used an Oktokopter UAV to investigate the physiological state of Antarctic moss ecosystems using three sensors: (i) a visible camera (1 cm/pixel), (ii) a 6 band multispectral camera (3 cm/pixel), and (iii) a thermal infrared camera (10 cm/pixel). Imagery from each sensor was geo-referenced and mosaicked with a combination of commercially available software and our own algorithms based on the Scale Invariant Feature Transform (SIFT). The validation of the mosaic's spatial co-registration revealed a mean root mean squared error (RMSE) of 1.78 pixels. A thematic map of moss health, derived from the multispectral mosaic using a Modified Triangular Vegetation Index (MTVI2), and an indicative map of moss surface temperature were then combined to demonstrate sufficient accuracy of our co-registration methodology for UAV-based monitoring of Antarctic moss beds.</t>
  </si>
  <si>
    <t>[Turner, Darren; Lucieer, Arko; Malenovsky, Zbynek] Univ Tasmania, Sch Land &amp; Food, Hobart, Tas 7001, Australia; [King, Diana H.; Robinson, Sharon A.] Univ Wollongong, Sch Biol Sci, Inst Conservat Biol &amp; Environm Management, Wollongong, NSW 2522, Australia</t>
  </si>
  <si>
    <t>University of Tasmania; University of Wollongong</t>
  </si>
  <si>
    <t>Turner, D (corresponding author), Univ Tasmania, Sch Land &amp; Food, Hobart, Tas 7001, Australia.</t>
  </si>
  <si>
    <t>Darren.Turner@utas.edu.au; Arko.Lucieer@utas.edu.au; Zbynek.Malenovsky@gmail.com; dhk442@uowmail.edu.au; sharonr@uow.edu.au</t>
  </si>
  <si>
    <t>Robinson, Sharon/B-2683-2008; King, Diana/K-1061-2019; Malenovský, Zbyněk/A-7819-2011; Lucieer, Arko/F-1247-2013; Turner, Darren/O-4839-2017</t>
  </si>
  <si>
    <t>Robinson, Sharon/0000-0002-7130-9617; King, Diana/0000-0001-6313-4450; Malenovský, Zbyněk/0000-0002-1271-8103; Lucieer, Arko/0000-0002-9468-4516; Turner, Darren/0000-0002-3029-6717</t>
  </si>
  <si>
    <t>Australian Research Council [DP110101714]; Australian Antarctic Division (AAD; Australian Antarctic Science) [3130, 1313, 4046]; AAD; Australian Postgraduate Award</t>
  </si>
  <si>
    <t>Australian Research Council(Australian Research Council); Australian Antarctic Division (AAD; Australian Antarctic Science); AAD; Australian Postgraduate Award(Australian Government)</t>
  </si>
  <si>
    <t>This project was funded by Australian Research Council DP110101714 and Australian Antarctic Division (AAD; Australian Antarctic Science Grants 3130, 1313 and 4046). Logistic support was also provided by these AAD grants. DK would like to acknowledge funding from an Australian Postgraduate Award. We thank Jane Wasley, Johanna Turnbull for setting up the original quadrats and Jessica Bramley-Alves and Rebecca Miller for helping to collect samples in 2012, and ANARE expeditioners in 2003, 2008 and 2010 for their field support. Luke Wallace is acknowledged for his assistance implementing the RANSAC algorithm and we thank Joshua Kelcey for applying radiometric sensor correction algorithms to the mini-MCA imagery.</t>
  </si>
  <si>
    <t>10.3390/rs6054003</t>
  </si>
  <si>
    <t>AI8JW</t>
  </si>
  <si>
    <t>Green Submitted, Green Published, Green Accepted, gold</t>
  </si>
  <si>
    <t>WOS:000337160700023</t>
  </si>
  <si>
    <t>Black, M; Fleming, A; Riley, T; Ferrier, G; Fretwell, P; McFee, J; Achal, S; Diaz, AU</t>
  </si>
  <si>
    <t>Black, Martin; Fleming, Andrew; Riley, Teal; Ferrier, Graham; Fretwell, Peter; McFee, John; Achal, Stephen; Diaz, Alejandra Umana</t>
  </si>
  <si>
    <t>On the Atmospheric Correction of Antarctic Airborne Hyperspectral Data</t>
  </si>
  <si>
    <t>airborne hyperspectral data; atmospheric correction; Antarctica; radiative transfer modelling; MODTRAN; ATCOR</t>
  </si>
  <si>
    <t>IMAGING SPECTROMETRY DATA</t>
  </si>
  <si>
    <t>The first airborne hyperspectral campaign in the Antarctic Peninsula region was carried out by the British Antarctic Survey and partners in February 2011. This paper presents an insight into the applicability of currently available radiative transfer modelling and atmospheric correction techniques for processing airborne hyperspectral data in this unique coastal Antarctic environment. Results from the Atmospheric and Topographic Correction version 4 (ATCOR-4) package reveal absolute reflectance values somewhat in line with laboratory measured spectra, with Root Mean Square Error (RMSE) values of 5% in the visible near infrared (0.4-1 mu m) and 8% in the shortwave infrared (1-2.5 mu m). Residual noise remains present due to the absorption by atmospheric gases and aerosols, but certain parts of the spectrum match laboratory measured features very well. This study demonstrates that commercially available packages for carrying out atmospheric correction are capable of correcting airborne hyperspectral data in the challenging environment present in Antarctica. However, it is anticipated that future results from atmospheric correction could be improved by measuring in situ atmospheric data to generate atmospheric profiles and aerosol models, or with the use of multiple ground targets for calibration and validation.</t>
  </si>
  <si>
    <t>[Black, Martin; Fleming, Andrew; Riley, Teal; Fretwell, Peter] British Antarctic Survey, Cambridge CB3 0ET, England; [Black, Martin; Ferrier, Graham] Univ Hull, Dept Geog Environm &amp; Earth Sci, Kingston Upon Hull HU6 7RX, N Humberside, England; [McFee, John] Def Res &amp; Dev Canada Suffield, Medicine Hat, AB T1A 8K6, Canada; [Achal, Stephen; Diaz, Alejandra Umana] ITRES Res Ltd, Calgary, AB T2L 2K7, Canada</t>
  </si>
  <si>
    <t>UK Research &amp; Innovation (UKRI); Natural Environment Research Council (NERC); NERC British Antarctic Survey; University of Hull</t>
  </si>
  <si>
    <t>Black, M (corresponding author), British Antarctic Survey, Madingley Rd, Cambridge CB3 0ET, England.</t>
  </si>
  <si>
    <t>martin.black@bas.ac.uk; ahf@bas.ac.uk; trr@bas.ac.uk; g.ferrier@hull.ac.uk; ptf@bas.ac.uk; jemcfee@telus.net; sachal@itres.com; alejandra@itres.com</t>
  </si>
  <si>
    <t>Riley, Teal/0000-0002-3333-5021; Black, Martin/0000-0003-2424-5726</t>
  </si>
  <si>
    <t>UK Foreign and Commonwealth Office (FCO); Natural Environment Research Council (NERC); British Antarctic Survey; University of Hull (NERC) [NE/K50094X/1]; NERC [bas010011, fsf010001, bas0100026, NE/I016686/1] Funding Source: UKRI; Natural Environment Research Council [bas010011, bas0100026, NE/I016686/1, 1246023, fsf010001] Funding Source: researchfish</t>
  </si>
  <si>
    <t>UK Foreign and Commonwealth Office (FCO); Natural Environment Research Council (NERC)(UK Research &amp; Innovation (UKRI)Natural Environment Research Council (NERC)); British Antarctic Survey; University of Hull (NERC); NERC(UK Research &amp; Innovation (UKRI)Natural Environment Research Council (NERC)); Natural Environment Research Council(UK Research &amp; Innovation (UKRI)Natural Environment Research Council (NERC))</t>
  </si>
  <si>
    <t>The Hyperspectral Data used was collected during an airborne survey funded by the UK Foreign and Commonwealth Office (FCO) and conducted by the British Antarctic Survey, ITRES Research Ltd. and Defence Research &amp; Development Suffield, Canada in February 2011. Loans for the calibrated targets and associated laboratory spectra were provided by the Natural Environment Research Council (NERC) Field Spectroscopy Facility. MB is funded by a Natural Environment Research Council (NERC) PhD studentship in conjunction with the British Antarctic Survey and the University of Hull (NERC Grant: NE/K50094X/1). Anonymous reviewers are thanked for their comments on earlier versions of the manuscript.</t>
  </si>
  <si>
    <t>10.3390/rs6054498</t>
  </si>
  <si>
    <t>WOS:000337160700046</t>
  </si>
  <si>
    <t>Choi, KS; Wu, CC; Wang, Y</t>
  </si>
  <si>
    <t>Choi, Ki-Seon; Wu, Chun-Chieh; Wang, Yuqing</t>
  </si>
  <si>
    <t>Seasonal prediction for tropical cyclone frequency around Taiwan using teleconnection patterns</t>
  </si>
  <si>
    <t>STATISTICAL-MODEL; MONSOON; VARIABILITY; REANALYSIS; EVENTS</t>
  </si>
  <si>
    <t>In this study, a statistical model is developed to predict the frequency of tropical cyclones (TCs) that influence Taiwan in boreal summer. Predictors are derived from large-scale environments from February to May in six regions, including four atmospheric circulation predictors over the western sea and eastern sea of Australia, the subtropical western North Pacific (SWNP), and the eastern sea of North America, and two sea surface temperature predictors in the Southeast Indian Ocean and the North Atlantic. The statistical model is verified based on statistical cross-validation tests and by contrasting the differences in the large-scale environments between high and low TC frequency years hindcasted by the model. The results show the relationships of two atmospheric circulation predictors and one SST predictor around Australia with Antarctic Oscillation (AAO) pattern, as well as the relationships of those in the SWNP and around eastern sea of North America with Pacific/North American teleconnection (PNA) pattern. When the anomalous anticyclone around Australia (positive AAO pattern) and the one over the region from eastern sea of North America and the Aleutian Islands to the SWNP (negative PNA pattern) are both strengthened from February, the trade wind in the equatorial Pacific is intensified and consequently plays an important role in steering TCs towards Taiwan during boreal summer.</t>
  </si>
  <si>
    <t>[Choi, Ki-Seon] Korea Meteorol Adm, Natl Typhoon Ctr, Cheju, South Korea; [Wu, Chun-Chieh] Natl Taiwan Univ, Dept Atmospher Sci, Taipei 10764, Taiwan; [Wang, Yuqing] Univ Hawaii Manoa, Int Pacific Res Ctr, Honolulu, HI 96822 USA; [Wang, Yuqing] Univ Hawaii Manoa, Dept Meteorol, Honolulu, HI 96822 USA</t>
  </si>
  <si>
    <t>Korea Meteorological Administration (KMA); National Taiwan University; University of Hawaii System; University of Hawaii Manoa; University of Hawaii System; University of Hawaii Manoa</t>
  </si>
  <si>
    <t>Wu, CC (corresponding author), Natl Taiwan Univ, Dept Atmospher Sci, Taipei 10764, Taiwan.</t>
  </si>
  <si>
    <t>choiks@kma.go.kr; cwu@typhoon.as.ntu.edu.tw</t>
  </si>
  <si>
    <t>Wang, Yuqing/H-4515-2014; Wang, yuqing/HIR-1604-2022</t>
  </si>
  <si>
    <t>Wu, Chun-Chieh/0000-0002-3612-4537</t>
  </si>
  <si>
    <t>[NSC98-2111-M-002-008-MY3]; [NSC100-2199-M-001-029-MY5]</t>
  </si>
  <si>
    <t>This work is supported by NSC98-2111-M-002-008-MY3 and NSC100-2199-M-001-029-MY5.</t>
  </si>
  <si>
    <t>10.1007/s00704-013-0954-5</t>
  </si>
  <si>
    <t>WOS:000335152500010</t>
  </si>
  <si>
    <t>Williams, TJ; Cavicchioli, R</t>
  </si>
  <si>
    <t>Williams, Timothy J.; Cavicchioli, Ricardo</t>
  </si>
  <si>
    <t>Marine metaproteomics: deciphering the microbial metabolic food web</t>
  </si>
  <si>
    <t>TRENDS IN MICROBIOLOGY</t>
  </si>
  <si>
    <t>marine microbiology; proteomics; marine ecology; metagenomics; marine nutrient cycle; ecophysiology</t>
  </si>
  <si>
    <t>PHYSIOLOGICAL PROTEOMICS; SUMMER BACTERIOPLANKTON; ORGANIC-MATTER; COMMUNITY; GENOME; TRANSPORTERS; BACTERIA; METAGENOMICS; PATHWAYS; WINTER</t>
  </si>
  <si>
    <t>Metaproteomics can be applied to marine systems to discover metabolic processes in the ocean. This review describes current breakthroughs regarding marine microbes in the areas of microbial procurement of nutrients, important and previously unrecognized metabolic processes, functional roles for proteins with previously unknown functions, and intricate networks of metabolic interactions between symbiotic microbes and their hosts. By recognizing that metaproteomics empowers our understanding of the roles that marine microbes play in global biogeochemical cycles, the achievements to date from this advancing field highlight the enormous potential that the future holds.</t>
  </si>
  <si>
    <t>[Williams, Timothy J.; Cavicchioli, Ricardo] Univ New S Wales, Sch Biotechnol &amp; Biomol Sci, Sydney, NSW 2052, Australia</t>
  </si>
  <si>
    <t>Cavicchioli, Ricardo/D-4341-2013</t>
  </si>
  <si>
    <t>Cavicchioli, Ricardo/0000-0001-8989-6402; Williams, Timothy/0000-0002-2738-3019</t>
  </si>
  <si>
    <t>Australian Research Council; Australian Antarctic Science program</t>
  </si>
  <si>
    <t>Australian Research Council(Australian Research Council); Australian Antarctic Science program</t>
  </si>
  <si>
    <t>The authors thank Manuel Kleiner (Max Planck Institute for Marine Microbiology, Bremen, Germany) for generously providing the graphic for Figure 4 and acknowledge http://www.freeworldraaps.net for the world map used to create Figure 1. This work was supported by the Australian Research Council and the Australian Antarctic Science program. The authors acknowledge the positive and constructive comments made by the reviewers during the review process.</t>
  </si>
  <si>
    <t>0966-842X</t>
  </si>
  <si>
    <t>1878-4380</t>
  </si>
  <si>
    <t>TRENDS MICROBIOL</t>
  </si>
  <si>
    <t>Trends Microbiol.</t>
  </si>
  <si>
    <t>10.1016/j.tim.2014.03.004</t>
  </si>
  <si>
    <t>AH9QV</t>
  </si>
  <si>
    <t>WOS:000336477800006</t>
  </si>
  <si>
    <t>Lee, SY; Kim, JH; Park, YM; Shin, OS; Kim, H; Choi, HG; Song, JW</t>
  </si>
  <si>
    <t>Lee, Sook-Young; Kim, Jeong-Hoon; Park, Yon Mi; Shin, Ok Sarah; Kim, Hankyeom; Choi, Han-Gu; Song, Jin-Won</t>
  </si>
  <si>
    <t>A Novel Adenovirus in Chinstrap Penguins (Pygoscelis antarctica) in Antarctica</t>
  </si>
  <si>
    <t>VIRUSES-BASEL</t>
  </si>
  <si>
    <t>adenovirus; Siadenovirus; Chinstrap penguin; Antarctica</t>
  </si>
  <si>
    <t>COMPLETE DNA-SEQUENCE; PHYLOGENETIC ANALYSIS; AVIAN ADENOVIRUS; GENOME ANALYSIS; VIRUS; GENES; HEXON; PARAMYXOVIRUSES; IDENTIFICATION; ORGANIZATION</t>
  </si>
  <si>
    <t>Adenoviruses (family Adenoviridae) infect various organ systems and cause diseases in a wide range of host species. In this study, we examined multiple tissues from Chinstrap penguins (Pygoscelis antarctica), collected in Antarctica during 2009 and 2010, for the presence of novel adenoviruses by PCR. Analysis of a 855-bp region of the hexon gene of a newly identified adenovirus, designated Chinstrap penguin adenovirus 1 (CSPAdV-1), showed nucleotide (amino acid) sequence identity of 71.8% (65.5%) with South Polar skua 1 (SPSAdV-1), 71% (70%) with raptor adenovirus 1 (RAdV-1), 71.4% (67.6%) with turkey adenovirus 3 (TAdV-3) and 61% (61.6%) with frog adenovirus 1 (FrAdV-1). Based on the genetic and phylogenetic analyses, CSPAdV-1 was classified as a member of the genus, Siadenovirus. Virus isolation attempts from kidney homogenates in the MDTC-RP19 (ATCC (R) CRL-8135 (TM)) cell line were unsuccessful. In conclusion, this study provides the first evidence of new adenovirus species in Antarctic penguins.</t>
  </si>
  <si>
    <t>[Lee, Sook-Young; Park, Yon Mi; Song, Jin-Won] Korea Univ, Coll Med, Dept Microbiol, Inst Viral Dis, Seoul 136705, South Korea; [Kim, Jeong-Hoon; Choi, Han-Gu] Korea Polar Res Inst, Div Life Sci, Inchon 406840, South Korea; [Shin, Ok Sarah] Korea Univ, Dept Biomed Sci, Coll Med, Seoul 136705, South Korea; [Kim, Hankyeom] Korea Univ, Guro Hosp, Dept Pathol, Coll Med, Seoul 152703, South Korea</t>
  </si>
  <si>
    <t>Korea University; Korea University Medicine (KU Medicine); Korea Institute of Ocean Science &amp; Technology (KIOST); Korea Polar Research Institute (KOPRI); Korea University; Korea University Medicine (KU Medicine); Korea University; Korea University Medicine (KU Medicine)</t>
  </si>
  <si>
    <t>Song, JW (corresponding author), Korea Univ, Coll Med, Dept Microbiol, Inst Viral Dis, Seoul 136705, South Korea.</t>
  </si>
  <si>
    <t>sylee163@gmail.com; jhkim94@kopri.re.kr; suerte8422@hotmail.com; oshin@korea.ac.kr; sswords@naver.com; hchoi82@kopri.re.kr; jwsong@korea.ac.kr</t>
  </si>
  <si>
    <t>Song, Jin/HHS-8731-2022</t>
  </si>
  <si>
    <t>Korea Polar Research Institute, Korea [PD12010, PE13030/PE14020]</t>
  </si>
  <si>
    <t>Korea Polar Research Institute, Korea</t>
  </si>
  <si>
    <t>We thank Sung-Ho Kang, Min-Goo Lee, Kyeong Hoon Cho and Yeong Woong Kim for assistance in the sample collection, Seo Tae-Kun for help with phylogenetic analysis and Richard Yanagihara for editorial assistance. This work was supported by grants PD12010 (Polar Academic Program) and PE13030/PE14020 provided by the Korea Polar Research Institute, Korea.</t>
  </si>
  <si>
    <t>1999-4915</t>
  </si>
  <si>
    <t>Viruses-Basel</t>
  </si>
  <si>
    <t>10.3390/v6052052</t>
  </si>
  <si>
    <t>Virology</t>
  </si>
  <si>
    <t>AI8JY</t>
  </si>
  <si>
    <t>WOS:000337160900010</t>
  </si>
  <si>
    <t>Cohen, BL; Kaulfuss, A; Lüter, C</t>
  </si>
  <si>
    <t>Cohen, Bernard L.; Kaulfuss, Anne; Lueter, Carsten</t>
  </si>
  <si>
    <t>Craniid brachiopods: aspects of clade structure and distribution reflect continental drift (Brachiopoda: Craniiformea)</t>
  </si>
  <si>
    <t>phylogeography; mitochondrial rDNA; internal transcribed spacer; divergence; 16S rDNA gene; Gondwana; molecular phylogeny; molecular systematics; Tethyan relicts; 18S rDNA gene</t>
  </si>
  <si>
    <t>PHYLOGEOGRAPHIC BREAKS; PHYLOGENETIC ANALYSIS; MOLECULAR PHYLOGENY; HIGHER TAXA; CLASSIFICATION; PHORONIDS; EVOLUTIONARY; CONNECTIVITY; SEQUENCES; ALIGNMENT</t>
  </si>
  <si>
    <t>We present maximum likelihood and Bayesian inference relative time-tree analyses of aligned gene sequences from a worldwide collection of craniiform brachiopods belonging to two genera, Novocrania and Neoancistrocrania. Sequences were obtained from one mitochondrial and three nuclear-encoded ribosomal RNA genes from varying numbers of specimens. Data-exploration by network (splits) analyses indicates that each gene identifies the same divergent clades and (with one minor exception) the same inter-clade relationships. Neoancistrocrania specimens were found only in the Pacific Ocean, near Japan, on the Norfolk and Chesterfield Ridges, and near the Solomon Islands. The Novocrania clades, in approximate order of increasing distance from the root comprise 1. a 'Northern' clade of animals collected in the NE. Atlantic, W. Mediterranean and Adriatic; 2. a 'Tethyan' clade comprising animals from the E. Mediterranean, Cape Verde islands and the Caribbean (Belize and Jamaica); 3. a 'NE. Pacific' clade containing animals from Vancouver Island and from localities near Japan and south of Taiwan; 4. a 'Southern' clade that contains two widely separated subclades, one from New Zealand and the other with an extraordinarily wide distribution, ranging from near Japan in the north to the Chesterfield Ridge and Solomon Islands in the West, and in the East to the Galapagos Islands, the coast of South America (Chile) and Richardson seamount (off South Africa) in the South Atlantic. To the South, members of this clade were found in the Weddell, Scotia and Bellinghausen Antarctic Seas. The root of the extant craniid radiation was previously found (by relaxed-clock analysis) to lie on the branch connecting the two genera so that, in effect, the one clade of Neoancistrocrania serves to polarise evolutionary relationships within the several clades of Novocrania. As previously suggested, all results confirm that Neoancistrocrania is sister to the 'Northern' Novocrania clade, and this leads to a proposal that Neoancistrocrania represents one extreme of a wide range of variation in ancestral ventral valve mineralisation, speciation (similar to 90 Ma) resulting from competitive exclusion in rapidly-growing reef environments. To the extent possible, the identified molecular clades are correlated with named species of Novocrania. The reproductive and population biology of craniid brachiopods is not well known, but from available evidence they are considered to have low-dispersal potential and, except in enclosed localities such as cold-water fjords, to have small effective population sizes, features which are consistent with the observed divergent populations in well-separated localities. Exceptionally slow craniid molecular (rDNA) evolution is suggested by the short branch of Novocrania where it has been used as an outgroup for large-scale analyses of metazoans. Slow molecular evolution is also indicated by the existence of a distinct Tethyan clade, reflecting restricted dispersal at former times, and by the uniform, short, genetic distances and exceptionally wide geographical distribution of the Southern clade. Thus, the geographical distribution and phylogenetic divergence of craniid brachiopods is an example of phylotectonics, in which relationships revealed by phylogenetic analyses reflect opportunities for dispersal and settlement that were created by tectonic plate movements associated, in this case, with opening and closure of Tethys and the breakup of Gondwana. Molecular dating of craniid divergences and radiochemical dating of tectonic events thus illuminate one another. (c) 2014 The Linnean Society of London</t>
  </si>
  <si>
    <t>[Cohen, Bernard L.] Univ Glasgow, Coll Med Vet &amp; Life Sci, Glasgow G11 1QH, Lanark, Scotland; [Kaulfuss, Anne; Lueter, Carsten] Leibniz Inst Evolut &amp; Biodiversitatsforsch, Museum Nat Kunde, D-10115 Berlin, Germany</t>
  </si>
  <si>
    <t>University of Glasgow; Leibniz Institut fur Evolutions und Biodiversitatsforschung</t>
  </si>
  <si>
    <t>Cohen, BL (corresponding author), Univ Glasgow, Coll Med Vet &amp; Life Sci, Urquhart Bldg,Garscube Estate, Glasgow G11 1QH, Lanark, Scotland.</t>
  </si>
  <si>
    <t>b.l.cohen_home@btinternet.com</t>
  </si>
  <si>
    <t>Cohen, Bernard/ABC-3430-2020; Lueter, Carsten/G-6767-2012</t>
  </si>
  <si>
    <t>10.1111/zoj12121</t>
  </si>
  <si>
    <t>AF9BP</t>
  </si>
  <si>
    <t>WOS:000335010400007</t>
  </si>
  <si>
    <t>Ontiveros-Ortega, A; Vidal, F; Gimenez, E; Ibáñez, JM</t>
  </si>
  <si>
    <t>Ontiveros-Ortega, A.; Vidal, F.; Gimenez, E.; Ibanez, J. M.</t>
  </si>
  <si>
    <t>Effect of heavy metals on the surface free energy and zeta potential of volcanic glass: implications on the adhesion and growth of microorganisms</t>
  </si>
  <si>
    <t>JOURNAL OF MATERIALS SCIENCE</t>
  </si>
  <si>
    <t>CALCIUM-CARBONATE; COMPONENTS; MARINE; COLONIZATION; PSEUDOMONAS; POLAR</t>
  </si>
  <si>
    <t>We studied the surface properties of eruptive material from Deception Island (South Shetland Islands, Antarctica). The surface free energy and zeta potential were analyzed in obsidian and pumice stones immersed in different electrolytes (NaCl, BaCl2, AlCl3, VCl2, PbCl2, CdCl2, FeCl3, and CrCl3). The results show that obsidian has a monopolar character. The value of the obsidian electron-donor component increased in the presence of heavy metals, reaching 61.0 mJ/m(2) in the case of CrCl3. This means that the heavy metals transform the surface of obsidian into a hydrophilic material in almost all cases, except in the case of FeCl3, which makes the obsidian surface hydrophobic. The pH variation of the liquid phase has a significant influence on the zeta potential, not only changing its value, but also the sign of the surface electric charge. A significant result is that a variation of two in pH (between 5 and 7) changes the sign of the charge from positive to negative or vice versa, depending on the electrolyte used. In general, the presence of electrolytes changes the surface properties of solid materials and consequently the adhesion and growth of microorganisms on coastal rocks.</t>
  </si>
  <si>
    <t>[Ontiveros-Ortega, A.; Gimenez, E.] Univ Jaen, Dept Phys, Jaen 23071, Spain; [Ontiveros-Ortega, A.; Vidal, F.; Ibanez, J. M.] Univ Granada, Inst Andaluz Geofis, E-18071 Granada, Spain; [Vidal, F.; Ibanez, J. M.] Univ Granada, Dept Theoret Phys, E-18071 Granada, Spain</t>
  </si>
  <si>
    <t>Universidad de Jaen; University of Granada; University of Granada</t>
  </si>
  <si>
    <t>Ontiveros-Ortega, A (corresponding author), Univ Jaen, Dept Phys, Campus Univ Lagunillas S-N,Edificio A-3, Jaen 23071, Spain.</t>
  </si>
  <si>
    <t>aontiver@ujaen.es</t>
  </si>
  <si>
    <t>Ortega, Alfonso Ontiveros/S-1714-2019; IBANEZ, JESUS M/G-9910-2019</t>
  </si>
  <si>
    <t>Ortega, Alfonso Ontiveros/0000-0003-1394-883X; IBANEZ, JESUS M/0000-0002-9846-8781</t>
  </si>
  <si>
    <t>Spanish Army in the Antarctic Base Gabriel de Castilla; Spanish Armada on board the RV Hesperides and RV Las Palmas; Marine Technology Unit; [CTM2010-11740]; [CGL2011-30187-C02-01]; [CGL2011-29499-C02-01]</t>
  </si>
  <si>
    <t>Spanish Army in the Antarctic Base Gabriel de Castilla; Spanish Armada on board the RV Hesperides and RV Las Palmas; Marine Technology Unit; ; ;</t>
  </si>
  <si>
    <t>We gratefully acknowledge the support of the Spanish Army in the Antarctic Base Gabriel de Castilla, the Spanish Armada on board the RV Hesperides and RV Las Palmas, the Marine Technology Unit, and other institutions involved in the Spanish Antarctic Research Program. This work was partially funded by projects CTM2010-11740, CGL2011-30187-C02-01, and CGL2011-29499-C02-01.</t>
  </si>
  <si>
    <t>0022-2461</t>
  </si>
  <si>
    <t>1573-4803</t>
  </si>
  <si>
    <t>J MATER SCI</t>
  </si>
  <si>
    <t>J. Mater. Sci.</t>
  </si>
  <si>
    <t>10.1007/s10853-014-8077-7</t>
  </si>
  <si>
    <t>Materials Science, Multidisciplinary</t>
  </si>
  <si>
    <t>Materials Science</t>
  </si>
  <si>
    <t>AA9BF</t>
  </si>
  <si>
    <t>WOS:000331388000029</t>
  </si>
  <si>
    <t>Solomon, S; Haskins, J; Ivy, DJ; Min, F</t>
  </si>
  <si>
    <t>Solomon, Susan; Haskins, Jessica; Ivy, Diane J.; Min, Flora</t>
  </si>
  <si>
    <t>Fundamental differences between Arctic and Antarctic ozone depletion</t>
  </si>
  <si>
    <t>stratosphere; atmospheric chemistry</t>
  </si>
  <si>
    <t>CHLORINE ACTIVATION; CHEMISTRY; TRANSPORT; AEROSOLS; EUREKA; ACID; HNO3; HCL</t>
  </si>
  <si>
    <t>Antarctic ozone depletion is associated with enhanced chlorine from anthropogenic chlorofluorocarbons and heterogeneous chemistry under cold conditions. The deep Antarctic ''hole'' contrasts with the generally weaker depletions observed in the warmer Arctic. An unusually cold Arctic stratospheric season occurred in 2011, raising the question of how the Arctic ozone chemistry in that year compares with others. We show that the averaged depletions near 20 km across the cold part of each pole are deeper in Antarctica than in the Arctic for all years, although 2011 Arctic values do rival those seen in less-depleted years in Antarctica. We focus not only on averages but also on extremes, to address whether or not Arctic ozone depletion can be as extreme as that observed in the Antarctic. This information provides unique insights into the contrasts between Arctic and Antarctic ozone chemistry. We show that extreme Antarctic ozone minima fall to or below 0.1 parts per million by volume (ppmv) at 18 and 20 km (about 70 and 50 mbar) whereas the lowest Arctic ozone values are about 0.5 ppmv at these altitudes. At a higher altitude of 24 km (30-mbar level), no Arctic data below about 2 ppmv have been observed, including in 2011, in contrast to values more than an order of magnitude lower in Antarctica. The data show that the lowest ozone values are associated with temperatures below-80 degrees C to-85 degrees C depending upon altitude, and are closely associated with reduced gaseous nitric acid concentrations due to uptake and/or sedimentation in polar stratospheric cloud particles.</t>
  </si>
  <si>
    <t>[Solomon, Susan; Haskins, Jessica; Ivy, Diane J.; Min, Flora] MIT, Dept Earth Atmospher &amp; Planetary Sci, Cambridge, MA 02139 USA</t>
  </si>
  <si>
    <t>Solomon, S (corresponding author), MIT, Dept Earth Atmospher &amp; Planetary Sci, Cambridge, MA 02139 USA.</t>
  </si>
  <si>
    <t>solos@mit.edu</t>
  </si>
  <si>
    <t>Haskins, Jessica/0000-0002-7484-0470</t>
  </si>
  <si>
    <t>1091-6490</t>
  </si>
  <si>
    <t>APR 29</t>
  </si>
  <si>
    <t>10.1073/pnas.1319307111</t>
  </si>
  <si>
    <t>AG1TL</t>
  </si>
  <si>
    <t>WOS:000335199000039</t>
  </si>
  <si>
    <t>Ali, F; Wharton, DA</t>
  </si>
  <si>
    <t>Ali, Farman; Wharton, David A.</t>
  </si>
  <si>
    <t>Intracellular Freezing in the Infective Juveniles of Steinernema feltiae: An Entomopathogenic Nematode</t>
  </si>
  <si>
    <t>COLD-TOLERANCE MECHANISMS; FAT-BODY CELLS; ANTARCTIC-NEMATODE; CRYOPROTECTIVE DEHYDRATION; PANAGROLAIMUS-DAVIDI; SUBSTITUTION; SURVIVAL; LARVAE</t>
  </si>
  <si>
    <t>Taking advantage of their optical transparency, we clearly observed the third stage infective juveniles (IJs) of Steinernema feltiae freezing under a cryo-stage microscope. The IJs froze when the water surrounding them froze at -2 degrees C and below. However, they avoid inoculative freezing at -1 degrees C, suggesting cryoprotective dehydration. Freezing was evident as a sudden darkening and cessation of IJs' movement. Freeze substitution and transmission electron microscopy confirmed that the IJs of S. feltiae freeze intracellularly. Ice crystals were found in every compartment of the body. IJs frozen at high sub-zero temperatures (-1 and -3 degrees C) survived and had small ice crystals. Those frozen at -10 degrees C had large ice crystals and did not survive. However, the pattern of ice formation was not well-controlled and individual nematodes frozen at -3 degrees C had both small and large ice crystals. IJs frozen by plunging directly into liquid nitrogen had small ice crystals, but did not survive. This study thus presents the evidence that S. feltiae is only the second freeze tolerant animal, after the Antarctic nematode Panagrolaimus davidi, shown to withstand extensive intracellular freezing.</t>
  </si>
  <si>
    <t>[Ali, Farman; Wharton, David A.] Univ Otago, Dept Zool, Dunedin, New Zealand</t>
  </si>
  <si>
    <t>Ali, F (corresponding author), Abdul Wali Khan Univ Mardan, Dept Zool, Mardan, Pakistan.</t>
  </si>
  <si>
    <t>drfarman@gmail.com</t>
  </si>
  <si>
    <t>Ali, Farman/GVT-3127-2022</t>
  </si>
  <si>
    <t>Postgraduate Otago University scholarship</t>
  </si>
  <si>
    <t>The Principal author acknowledges the support of a Postgraduate Otago University scholarship and a publishing bursary. The funders had no role in study design, data collection and analysis, decision to publish, or preparation of the manuscript.</t>
  </si>
  <si>
    <t>APR 25</t>
  </si>
  <si>
    <t>e94179</t>
  </si>
  <si>
    <t>10.1371/journal.pone.0094179</t>
  </si>
  <si>
    <t>AI3CM</t>
  </si>
  <si>
    <t>WOS:000336736600004</t>
  </si>
  <si>
    <t>Bhaumik, AK; Gupta, AK; Clemens, SC; Mazumder, R</t>
  </si>
  <si>
    <t>Bhaumik, Ajoy K.; Gupta, Anil K.; Clemens, Steven C.; Mazumder, Richa</t>
  </si>
  <si>
    <t>Functional morphology of Melonis barleeanum and Hoeglundina elegans: a proxy for water-mass characteristics</t>
  </si>
  <si>
    <t>Benthic foraminifera; Hoeglundina elegans; Melonis barleeanum; osmosis; septal thickness</t>
  </si>
  <si>
    <t>SEA BENTHIC FORAMINIFERA; TEST SIZE; SEDIMENTS; POLLUTION; ECOLOGY; OCEAN; EAST; BAY</t>
  </si>
  <si>
    <t>Morphometric study of Melonis barleeanum and Hoeglundina elegans was carried out on 15 core top samples from the Indian Ocean. Length to breadth ratios and wall and septal thicknesses of the largest tests of both the species from each sample, along with delta C-13 and delta O-18 values of Cibicides wuellerstorfi were measured. Both the species show equal growth rates of the test in their normal habitat. However, the high organic carbon preference species M. barleeanum shows more elongation of the test during food scarcity. This effect is not evident in H. elegans, which varies in its wall and septal thicknesses with bottom-water oxygen levels of the deep water mass up to 2000 m, probably to maintain the required rate of osmosis for the intake of dissolved O-2. Below this depth both parameters show parallel relationship with deviation indicating that oxygenation may play some role in the variation of wall and septal thicknesses. Thinning or thickening of the wall and septa in M. barleeanum and H. elegans has no relation with the water depth, indicating no relation with either the overlying pressure effect or nutrients as each deep water mass has a different nutrient budget. Depletion in delta C-13 and enrichment in delta O-18 below 2000 m water depth suggests that up to 2000 m depth, the Indian Ocean is bathed by the well-oxygenated, low-nutrient North Atlantic Deep Water (NADW), whereas below 3000 m cold, nutrient-rich Antarctic Bottom Water (AABW) is dominant. Between 2000 and 3000 m water depths, the water mass in the Indian Ocean is a mixture of NADW and AABW.</t>
  </si>
  <si>
    <t>[Bhaumik, Ajoy K.] Indian Sch Mines, Dept Appl Geol, Dhanbad 826004, Bihar, India; [Gupta, Anil K.] Indian Inst Technol, Dept Geol &amp; Geophys, Kharagpur 721302, W Bengal, India; [Clemens, Steven C.] Brown Univ, Dept Geol Sci, Providence, RI 02912 USA; [Mazumder, Richa] Natl Council Cement &amp; Bldg Mat, Ballabgarh 121004, India</t>
  </si>
  <si>
    <t>Indian Institute of Technology System (IIT System); Indian Institute of Technology (Indian School of Mines) Dhanbad; Indian Institute of Technology System (IIT System); Indian Institute of Technology (IIT) - Kharagpur; Brown University</t>
  </si>
  <si>
    <t>Bhaumik, AK (corresponding author), Indian Sch Mines, Dept Appl Geol, Dhanbad 826004, Bihar, India.</t>
  </si>
  <si>
    <t>ajoyism@gmail.com</t>
  </si>
  <si>
    <t>Bhaumik, Ajoy K/N-6343-2019</t>
  </si>
  <si>
    <t>Bhaumik, Ajoy K/0000-0002-6217-8061; Gupta, Anil/0000-0003-0536-3911</t>
  </si>
  <si>
    <t>AG7XI</t>
  </si>
  <si>
    <t>WOS:000335631700021</t>
  </si>
  <si>
    <t>Auzmendi-Murua, I; Castillo, A; Bozzelli, JW</t>
  </si>
  <si>
    <t>Auzmendi-Murua, Itsaso; Castillo, Alvaro; Bozzelli, Joseph W.</t>
  </si>
  <si>
    <t>Mercury Oxidation via Chlorine, Bromine, and Iodine under Atmospheric Conditions: Thermochemistry and Kinetics</t>
  </si>
  <si>
    <t>JOURNAL OF PHYSICAL CHEMISTRY A</t>
  </si>
  <si>
    <t>QUADRATIC CONFIGURATION-INTERACTION; COUPLED-CLUSTER SINGLES; CONSISTENT BASIS-SETS; CONVERGENT BASIS-SETS; GASEOUS MERCURY; RAMAN-SPECTRA; HARTREE-FOCK; TRANSITION; PSEUDOPOTENTIALS; SPECIATION</t>
  </si>
  <si>
    <t>Emissions of gaseous mercury from combustion sources are the major source of Hg in the atmosphere and in environmental waters and soils. Reactions of Hg degrees(g) with halogens are of interest because they relate to mercury and ozone depletion events in the Antarctic and Arctic early spring ozone hole events, and the formation of Hg-halides (HgX2) is a method for removal of mercury from power generation systems. Thermochemistry and kinetics from published theoretical and experimental studies in the literature and from computational chemistry are utilized to compile a mechanism of the reactions considered as contributors to the formation of HgX2 (X = Cl, Br, I) to understand the reaction paths and mechanisms under atmospheric conditions. Elementary reaction mechanisms are assembled and evaluated using thermochemistry for all species and microscopic reversibility for all reactions. Temperature and pressure dependence is determined with quantum Rice Ramsperger Kassel (RRK) analysis for k(E) and master equation analysis for fall-off. We find that reactions of mercury with a small fraction of the reactor surface or initiation by low concentrations of halogen atoms is needed to explain the experimental conversion of Hg to HgX2 in the gas phase. The models do not replicate data from experiments that do not explicitly provide an atom source. The Hg insertion reaction into X-2 (Hg + X-2 -&gt; HgX2) that has been reported is further studied, and we find agreement with studies that report high barriers. The high barriers prevent this insertion path from explaining the experimental data on HgX2 formation and Hg conversion under atmospheric conditions. Mechanism studies with low initial concentrations of halogen radicals show significant conversion of Hg under the experimental conditions.</t>
  </si>
  <si>
    <t>[Auzmendi-Murua, Itsaso; Castillo, Alvaro; Bozzelli, Joseph W.] New Jersey Inst Technol, Dept Chem &amp; Chem Engn, Newark, NJ 07102 USA</t>
  </si>
  <si>
    <t>New Jersey Institute of Technology</t>
  </si>
  <si>
    <t>Bozzelli, JW (corresponding author), New Jersey Inst Technol, Dept Chem &amp; Chem Engn, Newark, NJ 07102 USA.</t>
  </si>
  <si>
    <t>Bozzelli@njit.edu</t>
  </si>
  <si>
    <t>Basque Government</t>
  </si>
  <si>
    <t>Basque Government(Basque Government)</t>
  </si>
  <si>
    <t>We thank the Basque Government for partial funding.</t>
  </si>
  <si>
    <t>1089-5639</t>
  </si>
  <si>
    <t>1520-5215</t>
  </si>
  <si>
    <t>J PHYS CHEM A</t>
  </si>
  <si>
    <t>J. Phys. Chem. A</t>
  </si>
  <si>
    <t>APR 24</t>
  </si>
  <si>
    <t>10.1021/jp412654s</t>
  </si>
  <si>
    <t>AG0OE</t>
  </si>
  <si>
    <t>WOS:000335114000011</t>
  </si>
  <si>
    <t>Peña, F; Poulin, E; Dantas, GPM; González-Acuña, D; Petry, MV; Vianna, JA</t>
  </si>
  <si>
    <t>Pena M., Fabiola; Poulin, Elie; Dantas, Gisele P. M.; Gonzalez-Acuna, Daniel; Petry, Maria Virginia; Vianna, Juliana A.</t>
  </si>
  <si>
    <t>Have Historical Climate Changes Affected Gentoo Penguin (Pygoscelis papua) Populations in Antarctica?</t>
  </si>
  <si>
    <t>HAPLOTYPE RECONSTRUCTION; GENETIC DIFFERENTIATION; ECOLOGICAL RESPONSES; SOUTHERN-HEMISPHERE; STATISTICAL-METHOD; MARINE ECOSYSTEM; GLACIAL CYCLE; LATE HOLOCENE; DNA; EVOLUTION</t>
  </si>
  <si>
    <t>The West Antarctic Peninsula (WAP) has been suffering an increase in its atmospheric temperature during the last 50 years, mainly associated with global warming. This increment of temperature trend associated with changes in sea-ice dynamics has an impact on organisms, affecting their phenology, physiology and distribution range. For instance, rapid demographic changes in Pygoscelis penguins have been reported over the last 50 years in WAP, resulting in population expansion of sub-Antarctic Gentoo penguin (P. papua) and retreat of Antarctic Adelie penguin (P. adeliae). Current global warming has been mainly associated with human activities; however these climate trends are framed in a historical context of climate changes, particularly during the Pleistocene, characterized by an alternation between glacial and interglacial periods. During the last maximal glacial (LGM similar to 21,000 BP) the ice sheet cover reached its maximum extension on the West Antarctic Peninsula (WAP), causing local extinction of Antarctic taxa, migration to lower latitudes and/or survival in glacial refugia. We studied the HRVI of mtDNA and the nuclear intron beta fibint7 of 150 individuals of the WAP to understand the demographic history and population structure of P. papua. We found high genetic diversity, reduced population genetic structure and a signature of population expansion estimated around 13,000 BP, much before the first paleocolony fossil records (similar to 1,100 BP). Our results suggest that the species may have survived in peri-Antarctic refugia such as South Georgia and North Sandwich islands and recolonized the Antarctic Peninsula and South Shetland Islands after the ice sheet retreat.</t>
  </si>
  <si>
    <t>[Pena M., Fabiola; Poulin, Elie] Univ Chile, Dept Ciencias Ecol, Santiago, Metropolitan Re, Chile; [Dantas, Gisele P. M.] Pontificia Univ Catolica Minas Gerais, Belo Horizonte, MG, Brazil; [Gonzalez-Acuna, Daniel] Univ Concepcion, Dept Ciencias Pecuarias, Chillan, Chile; [Petry, Maria Virginia] Univ Vale Rio dos Sinos, Lab Ornitol &amp; Anim Marinhos, Sao Leopoldo, RS, Brazil; [Vianna, Juliana A.] Pontificia Univ Catolica Chile, Dept Ecosistemas &amp; Medio Ambiente, Santiago, Metropolitan Re, Chile</t>
  </si>
  <si>
    <t>Universidad de Chile; Pontificia Universidade Catolica de Minas Gerais; Universidad de Concepcion; Universidade do Vale do Rio dos Sinos (Unisinos); Pontificia Universidad Catolica de Chile</t>
  </si>
  <si>
    <t>Vianna, JA (corresponding author), Pontificia Univ Catolica Chile, Dept Ecosistemas &amp; Medio Ambiente, Alameda 340, Santiago, Metropolitan Re, Chile.</t>
  </si>
  <si>
    <t>jvianna@uc.cl</t>
  </si>
  <si>
    <t>Dantas, Gisele P M/B-6822-2014; Vianna, Juliana A/E-9847-2015; Petry, Maria Virginia/AAG-5333-2021; Dantas, Gisele PM/T-6782-2019; Poulin, Elie/C-2654-2012; petry, maria/K-8410-2013</t>
  </si>
  <si>
    <t>Dantas, Gisele PM/0000-0001-5282-7577; Poulin, Elie/0000-0001-7736-0969; petry, maria/0000-0002-7870-7394</t>
  </si>
  <si>
    <t>Instituto Ecologia y Biodiversidad, Instituto Antartico Chileno [M_04-10, T_27-10, G_06-11]; Corporacion Nacional de Ciencia y Tecnologia; Association of Polar Early Career Scientists, the National Institute of Science and Technology Antarctic Environmental Research (INCT-APA) (CNPq) [574018/2008-5]; FAPERJ [E-26/170.023/2008]; FAPERGS [09/0574-7]; WCS [2008-5, 2009-5]; Brazilian Ministry of Science, Technology and Innovation (MCTI); Inter-Ministry Commission for Sea Research (CIRM); University of Vale do Rio dos Sinos - Unisinos; Brazilian Ministry of Environmental (MMA)</t>
  </si>
  <si>
    <t>Instituto Ecologia y Biodiversidad, Instituto Antartico Chileno; Corporacion Nacional de Ciencia y Tecnologia; Association of Polar Early Career Scientists, the National Institute of Science and Technology Antarctic Environmental Research (INCT-APA) (CNPq); FAPERJ(Fundacao Carlos Chagas Filho de Amparo a Pesquisa do Estado do Rio De Janeiro (FAPERJ)); FAPERGS(Fundacao de Amparo a Ciencia e Tecnologia do Estado do Rio Grande do Sul (FAPERGS)); WCS; Brazilian Ministry of Science, Technology and Innovation (MCTI); Inter-Ministry Commission for Sea Research (CIRM); University of Vale do Rio dos Sinos - Unisinos; Brazilian Ministry of Environmental (MMA)</t>
  </si>
  <si>
    <t>Funding was provided by: Instituto Ecologia y Biodiversidad, Instituto Antartico Chileno (projects: M_04-10, T_27-10, G_06-11), Corporacion Nacional de Ciencia y Tecnologia (Master grant), Association of Polar Early Career Scientists, the National Institute of Science and Technology Antarctic Environmental Research (INCT-APA) (CNPq Process no574018/2008-5), FAPERJ (E-26/170.023/2008), FAPERGS (process 09/0574-7), WCS (processes 2008-5 and 2009-5), the Brazilian Ministries of Science, Technology and Innovation (MCTI), of Environmental (MMA), Inter-Ministry Commission for Sea Research (CIRM) and the University of Vale do Rio dos Sinos - Unisinos. The funders had no role in study design, data collection and analysis, decision to publish, or preparation of the manuscript.</t>
  </si>
  <si>
    <t>APR 23</t>
  </si>
  <si>
    <t>e95375</t>
  </si>
  <si>
    <t>10.1371/journal.pone.0095375</t>
  </si>
  <si>
    <t>AG3EI</t>
  </si>
  <si>
    <t>WOS:000335298200052</t>
  </si>
  <si>
    <t>Lannuzel, D; van der Merwe, PC; Townsend, AT; Bowie, AR</t>
  </si>
  <si>
    <t>Lannuzel, Delphine; van der Merwe, Pier C.; Townsend, Ashley T.; Bowie, Andrew R.</t>
  </si>
  <si>
    <t>Size fractionation of iron, manganese and aluminium in Antarctic fast ice reveals a lithogenic origin and low iron solubility</t>
  </si>
  <si>
    <t>MARINE CHEMISTRY</t>
  </si>
  <si>
    <t>Trace elements; Size fractionation; Sea ice; Iron; Southern Ocean</t>
  </si>
  <si>
    <t>SEA-ICE; ROSS SEA; DISSOLVED ALUMINUM; SOUTHERN-OCEAN; PARTICULATE IRON; EAST ANTARCTICA; NORTH-ATLANTIC; TRACE-METALS; SEAWATER; PACIFIC</t>
  </si>
  <si>
    <t>Melting sea ice represents a large seasonal source of iron (Fe) for planktonic growth in the marginal ice zone, but no data currently show how accessible this Fe is for biological uptake. We investigated the size fractionation in East Antarctic fast ice of Fe, manganese (Mn) and aluminium (Al) in the soluble (&lt;100 kDa), colloidal (100 kDa-0.2 mu m), dissolved (&lt;0.2 mu m), very small (0.2-0.4 mu m), small (0.4-2 mu m), medium (2-10 mu m) and large (&gt;10 mu m) particulate fractions during a time-series carried out in late spring/early summer 2009. Concentrations of all metals in fast ice were 2 to 3 orders of magnitude more concentrated than in ice-free polar waters, across all sizes combined. Dissolved Fe, Mn and Al were coupled in fast ice, and decreased with time, indicating some loss due to spring melting and/or biological uptake. Fractional solubilities (FS = dissolved-to-total metal ratio) demonstrate that particles dominated the total metal pool (97% in the case of Fe, 83% for Al and 57% for Mn). The low FS-Fe values also suggest that Fe is far less bio-available in fast ice than in Antarctic pack ice and surface waters, with soluble and colloidal Fe respectively representing only &lt;1% and 2% of the total Fe pool. Element-to-element molar ratios suggest that Fe mostly originated from lithogenic sources. Nearly 80% of Fe released from melting fast ice sank to the seafloor in less than 3 days, therefore leaving 20% of Fe available in the water column for biological uptake. Our results emphasise that the Fe released from sea ice into the water column is critical to stimulate new primary production in the marginal ice zone. (C) 2014 Elsevier B.V. All rights reserved.</t>
  </si>
  <si>
    <t>[Lannuzel, Delphine; Bowie, Andrew R.] Univ Tasmania, Inst Marine &amp; Antarctic Studies, Hobart, Tas 7001, Australia; [Lannuzel, Delphine; van der Merwe, Pier C.; Bowie, Andrew R.] Univ Tasmania, Antarctic Climate &amp; Ecosyst CRC, Hobart, Tas 7001, Australia; [Townsend, Ashley T.] Univ Tasmania, Cent Sci Lab, Hobart, Tas 7001, Australia</t>
  </si>
  <si>
    <t>Lannuzel, D (corresponding author), Univ Tasmania, Inst Marine &amp; Antarctic Studies, Private Bag 129, Hobart, Tas 7001, Australia.</t>
  </si>
  <si>
    <t>delphine.lannuzel@utas.edu.au</t>
  </si>
  <si>
    <t>Townsend, Ashley/J-7445-2014; lannuzel, delphine/J-7937-2014; van der Merwe, Pier/C-9210-2015; Bowie, Andrew/C-8677-2013</t>
  </si>
  <si>
    <t>Townsend, Ashley/0000-0002-2972-2678; lannuzel, delphine/0000-0001-6154-1837; van der Merwe, Pier/0000-0002-7428-8030; Bowie, Andrew/0000-0002-5144-7799</t>
  </si>
  <si>
    <t>Australian Research Council (ARC) [DP0985361, DE120100030]; Australian Government Cooperative Research Centres Programme through the Antarctic Climate &amp; Ecosystems (ACE) CRC; Australian Antarctic Science (AAS) [3026]; ARC LIEF [LE0989539]; Central Science Laboratory for the SF-ICP-MS; Australian Research Council [DP0985361, DE120100030] Funding Source: Australian Research Council</t>
  </si>
  <si>
    <t>Australian Research Council (ARC)(Australian Research Council); Australian Government Cooperative Research Centres Programme through the Antarctic Climate &amp; Ecosystems (ACE) CRC(Australian GovernmentDepartment of Industry, Innovation and ScienceCooperative Research Centres (CRC) Programme); Australian Antarctic Science (AAS); ARC LIEF(Australian Research Council); Central Science Laboratory for the SF-ICP-MS; Australian Research Council(Australian Research Council)</t>
  </si>
  <si>
    <t>The authors would like to thank the staff from Casey station for their logistic support. We thank Prof Tom Trull (ACE CRC and CSIRO) and the two anonymous reviewers for commenting and greatly improving our manuscript. We are grateful to Andrew Cianchi, Mick Stapleton and Simon Cross for field support. This work was co-funded by the Australian Research Council (ARC DP0985361 and DE120100030), the Australian Government Cooperative Research Centres Programme through the Antarctic Climate &amp; Ecosystems (ACE) CRC and Australian Antarctic Science (AAS) project #3026. ARC LIEF (LE0989539) support to University of Tasmania and the Central Science Laboratory for the SF-ICP-MS is also acknowledged.</t>
  </si>
  <si>
    <t>0304-4203</t>
  </si>
  <si>
    <t>1872-7581</t>
  </si>
  <si>
    <t>MAR CHEM</t>
  </si>
  <si>
    <t>Mar. Chem.</t>
  </si>
  <si>
    <t>APR 20</t>
  </si>
  <si>
    <t>10.1016/j.marchem.2014.02.006</t>
  </si>
  <si>
    <t>Chemistry, Multidisciplinary; Oceanography</t>
  </si>
  <si>
    <t>Chemistry; Oceanography</t>
  </si>
  <si>
    <t>AF8TQ</t>
  </si>
  <si>
    <t>WOS:000334988900006</t>
  </si>
  <si>
    <t>Kuchinke, M; Tilbrook, B; Lenton, A</t>
  </si>
  <si>
    <t>Kuchinke, Mareva; Tilbrook, Bronte; Lenton, Andrew</t>
  </si>
  <si>
    <t>Seasonal variability of aragonite saturation state in the Western Pacific</t>
  </si>
  <si>
    <t>Aragonite saturation state; Seasonal variability; Surface tropical Pacific Ocean; Processes; Precipitation; Advection; Upwelling</t>
  </si>
  <si>
    <t>CALCIUM-CARBONATE SATURATION; OCEAN ACIDIFICATION; EQUATORIAL PACIFIC; SURFACE WATERS; TROPICAL PACIFIC; CLIMATE-CHANGE; NORTH PACIFIC; PARTIAL-PRESSURE; CO2; CALCIFICATION</t>
  </si>
  <si>
    <t>The oceanic uptake of atmospheric carbon dioxide (CO2) since pre-industrial times has increased acidity levels, resulting in a decrease in the pH and aragonite saturation state (Omega(ar)) of surface waters. Aragonite is the predominant biogenic form of calcium carbonate precipitated by calcifying organisms in tropical reef ecosystems. Values of Omega(ar) are often used as a proxy for estimating calcification rates in corals and other calcifying species. We quantify the regional and seasonal variability of Omega(ar) and its main drivers for the Pacific island region (120 degrees E:140 degrees W, 35 degrees S:30 degrees N). The calculation of Omega(ar) uses a seasonal climatology of the surface-water partial pressure of CO2, combined with values of total alkalinity (TA) estimated from a relationship between surface water salinity and total alkalinity that is derived from measurements in the region. This relationship is valid for all phases of El Nino/Southern Oscillation and for mixed layer waters with less than 15 mu mol kg(-1) dissolved nitrate. The influence of seasonal changes in sea surface temperature (SST) on Omega(ar) is small except in the subtropical waters on the northern and southern boundaries of the study region. Here, SST seasonal variability is large (&gt;5 degrees C), causing a change in Omega(ar) of greater than 0.1. Seasonal changes in mixed layer depth and net evaporation (precipitation) do influence the seasonality in TCO2 and TA However, these processes tend to increase (decrease) the TCO2 (TA) in unison, resulting in a small net effect on seasonal change in Omega(ar) for most of the region. Net biological production and sea-air gas exchange were also found to have only a small impact on the seasonal change in Omega(ar) through the region. Changes in Omega(ar) of between 0.1 and 0.2 occurred where variations in wind-driven upwelling in the Central Equatorial Pacific and the transport of Eastern Pacific waters into the South Equatorial Current region caused a change in the TCO2/FA ratio of the surface waters. In contrast to these two regions, the combined effect of biological and physical processes in the West Pacific Warm Pool and North Equatorial Counter Current subregions resulted in Omega(ar) variability of less than 0.1. Crown Copyright (C) 2014 Published by Elsevier B.V.</t>
  </si>
  <si>
    <t>[Kuchinke, Mareva; Tilbrook, Bronte; Lenton, Andrew] CSIRO Marine &amp; Atmospher Res, Ctr Australian Weather &amp; Climate Res, Hobart, Tas, Australia; [Tilbrook, Bronte] CSIRO, Wealth Oceans Natl Res Flagship, Hobart, Tas 7001, Australia; [Tilbrook, Bronte] Antarctic Climate &amp; Ecosyst CRC, Hobart, Tas 7001, Australia</t>
  </si>
  <si>
    <t>Commonwealth Scientific &amp; Industrial Research Organisation (CSIRO); Commonwealth Scientific &amp; Industrial Research Organisation (CSIRO); University of Tasmania</t>
  </si>
  <si>
    <t>Kuchinke, M (corresponding author), CSIRO Marine &amp; Atmospher Res, Ctr Australian Weather &amp; Climate Res, Hobart, Tas, Australia.</t>
  </si>
  <si>
    <t>mkuchinke@gmail.com</t>
  </si>
  <si>
    <t>Tilbrook, Bronte/W-4007-2019; Lenton, Andrew/D-2077-2012</t>
  </si>
  <si>
    <t>Tilbrook, Bronte/0000-0001-9385-3827; Lenton, Andrew/0000-0001-9437-8896</t>
  </si>
  <si>
    <t>Pacific Climate Change Science Program; Pacific Climate Change Science and Adaptation Program; AusAID; Department of Climate Change and Energy Efficiency</t>
  </si>
  <si>
    <t>Pacific Climate Change Science Program; Pacific Climate Change Science and Adaptation Program; AusAID(Australian Aid (AusAID)); Department of Climate Change and Energy Efficiency</t>
  </si>
  <si>
    <t>The research discussed in this paper was conducted with funding from the Pacific Climate Change Science Program to B. T. and the Pacific Climate Change Science and Adaptation Program to A. L. These programs were supported by AusAID, in collaboration with the Department of Climate Change and Energy Efficiency, and delivered by the Bureau of Meteorology and the Commonwealth Scientific and Industrial Research Organisation. We are grateful to Richard Matear and Benedicte Pasquer for providing comments on earlier drafts.</t>
  </si>
  <si>
    <t>10.1016/j.marchem.2014.01.001</t>
  </si>
  <si>
    <t>WOS:000334988900001</t>
  </si>
  <si>
    <t>Hobart, Tasmania 3 Australian Antarctic Research Faces Cuts</t>
  </si>
  <si>
    <t>APR 18</t>
  </si>
  <si>
    <t>AF1LD</t>
  </si>
  <si>
    <t>WOS:000334474500004</t>
  </si>
  <si>
    <t>Dornelas, M; Gotelli, NJ; McGill, B; Shimadzu, H; Moyes, F; Sievers, C; Magurran, AE</t>
  </si>
  <si>
    <t>Dornelas, Maria; Gotelli, Nicholas J.; McGill, Brian; Shimadzu, Hideyasu; Moyes, Faye; Sievers, Caya; Magurran, Anne E.</t>
  </si>
  <si>
    <t>Assemblage Time Series Reveal Biodiversity Change but Not Systematic Loss</t>
  </si>
  <si>
    <t>PLANET; SCALE; ECOSYSTEMS; DIVERSITY</t>
  </si>
  <si>
    <t>The extent to which biodiversity change in local assemblages contributes to global biodiversity loss is poorly understood. We analyzed 100 time series from biomes across Earth to ask how diversity within assemblages is changing through time. We quantified patterns of temporal alpha diversity, measured as change in local diversity, and temporal beta diversity, measured as change in community composition. Contrary to our expectations, we did not detect systematic loss of alpha diversity. However, community composition changed systematically through time, in excess of predictions from null models. Heterogeneous rates of environmental change, species range shifts associated with climate change, and biotic homogenization may explain the different patterns of temporal alpha and beta diversity. Monitoring and understanding change in species composition should be a conservation priority.</t>
  </si>
  <si>
    <t>[Dornelas, Maria; Shimadzu, Hideyasu; Moyes, Faye; Sievers, Caya; Magurran, Anne E.] Univ St Andrews, Ctr Biol Divers, St Andrews KY16 9TH, Fife, Scotland; [Dornelas, Maria; Shimadzu, Hideyasu; Moyes, Faye; Sievers, Caya; Magurran, Anne E.] Univ St Andrews, Scottish Oceans Inst, Sch Biol, St Andrews KY16 9TH, Fife, Scotland; [Gotelli, Nicholas J.] Univ Vermont, Dept Biol, Burlington, VT 05405 USA; [McGill, Brian] Univ Maine, Sch Biol &amp; Ecol, Sustainabil Solut Initiat, Orono, ME 04469 USA; [Shimadzu, Hideyasu] Keio Univ, Dept Math, Yokohama, Kanagawa 2238522, Japan</t>
  </si>
  <si>
    <t>University of St Andrews; University of St Andrews; University of Vermont; University of Maine System; University of Maine Orono; Keio University</t>
  </si>
  <si>
    <t>Dornelas, M (corresponding author), Univ St Andrews, Ctr Biol Divers, St Andrews KY16 9TH, Fife, Scotland.</t>
  </si>
  <si>
    <t>maadd@st-andrews.ac.uk</t>
  </si>
  <si>
    <t>Shimadzu, Hideyasu/E-5649-2010; Magurran, Anne E/D-7463-2013; Moyes, Faye/AAE-8480-2019; McGill, Brian J/A-3476-2008; Dornelas, Marcelo C/A-6104-2013; Dornelas, Maria/E-3595-2010</t>
  </si>
  <si>
    <t>Shimadzu, Hideyasu/0000-0003-0919-8829; Moyes, Faye/0000-0001-9687-0593; McGill, Brian J/0000-0002-0850-1913; Magurran, Anne/0000-0002-0036-2795; Dornelas, Maria/0000-0003-2077-7055</t>
  </si>
  <si>
    <t>European Research Council [BioTIME 250189]; Scottish Funding Council (MASTS) [HR09011]; Royal Society; Belspo (Belgian Science Policy); NSF; NOAA Marine Fisheries Service [NA11NMF4540174]; Fisheries and Oceans Canada; Government of Nunavut; Nunavut Wildlife Management Board; Nunavut Tunngavik Inc.; Nunavut Emerging Fisheries Fund; Makivik Corporation; Smithsonian Institution; Atherton Seidell Grant Program; NSF [BSR-8811902, DEB 9411973, DEB 0080538, DEB 0218039, DEB 0620910, DEB 0963447]; Luquillo Long-Term Ecological Research Program; University of Puerto Rico; NSF's Long-Term Ecological Research program and Fishery Administration Agency; Council of Agriculture, Taiwan; Azores Fisheries Observer Program; Center of the Institute of Marine Research (IMAR) of the University of the Azores; NSF's Long-Term Ecological Research Program [DEB 08-23380]; U.S. Forest Service Pacific Northwest Research Station, and Oregon State University; Direct For Biological Sciences; Division Of Environmental Biology [0822700] Funding Source: National Science Foundation; Direct For Biological Sciences; Division Of Environmental Biology [0823380] Funding Source: National Science Foundation; Division Of Ocean Sciences; Directorate For Geosciences [1236905] Funding Source: National Science Foundation; Office Of The Director; EPSCoR [0904155] Funding Source: National Science Foundation</t>
  </si>
  <si>
    <t>European Research Council(European Research Council (ERC)); Scottish Funding Council (MASTS); Royal Society(Royal Society); Belspo (Belgian Science Policy)(Belgian Federal Science Policy Office); NSF(National Science Foundation (NSF)); NOAA Marine Fisheries Service(National Oceanic Atmospheric Admin (NOAA) - USA); Fisheries and Oceans Canada; Government of Nunavut; Nunavut Wildlife Management Board; Nunavut Tunngavik Inc.; Nunavut Emerging Fisheries Fund; Makivik Corporation; Smithsonian Institution(Smithsonian Institution); Atherton Seidell Grant Program; NSF(National Science Foundation (NSF)); Luquillo Long-Term Ecological Research Program; University of Puerto Rico; NSF's Long-Term Ecological Research program and Fishery Administration Agency; Council of Agriculture, Taiwan; Azores Fisheries Observer Program; Center of the Institute of Marine Research (IMAR) of the University of the Azores; NSF's Long-Term Ecological Research Program; U.S. Forest Service Pacific Northwest Research Station, and Oregon State University; Direct For Biological Sciences; Division Of Environmental Biology(National Science Foundation (NSF)NSF - Directorate for Biological Sciences (BIO)); Direct For Biological Sciences; Division Of Environmental Biology(National Science Foundation (NSF)NSF - Directorate for Biological Sciences (BIO)); Division Of Ocean Sciences; Directorate For Geosciences(National Science Foundation (NSF)NSF - Directorate for Geosciences (GEO)); Office Of The Director; EPSCoR(National Science Foundation (NSF)NSF - Office of the Director (OD)NSF - Office of Integrative Activities (OIA))</t>
  </si>
  <si>
    <t>Supported by the European Research Council (BioTIME 250189), the Scottish Funding Council (MASTS, grant reference HR09011) (M. D.), and the Royal Society (A. E. M.). We are grateful to all the data providers for making data publicly available and to their funders: Belspo (Belgian Science Policy); NSF; NOAA Marine Fisheries Service (grant NA11NMF4540174); Fisheries and Oceans Canada; Government of Nunavut, Nunavut Wildlife Management Board, Nunavut Tunngavik Inc., and Nunavut Emerging Fisheries Fund; Makivik Corporation; Smithsonian Institution; Atherton Seidell Grant Program; grants BSR-8811902, DEB 9411973, DEB 0080538, DEB 0218039, DEB 0620910, and DEB 0963447 from NSF to the Institute for Tropical Ecosystem Studies, University of Puerto Rico, and to the International Institute of Tropical Forestry, U. S. Forest Service, as part of the Luquillo Long-Term Ecological Research Program; University of Puerto Rico; NSF's Long-Term Ecological Research program and Fishery Administration Agency; Council of Agriculture, Taiwan; Azores Fisheries Observer Program; and the Center of the Institute of Marine Research (IMAR) of the University of the Azores. In addition, data were provided by the H. J. Andrews Experimental Forest research program, funded by NSF's Long-Term Ecological Research Program (DEB 08-23380), P. Henderson (Pisces Conservation), U.S. Forest Service Pacific Northwest Research Station, and Oregon State University. Cruise data were collected through the logistical efforts of the Australian Antarctic Division and approved by the Australian Antarctic Research Advisory Committee (projects 2208 and 2953), the Australian Antarctic Data Centre of the Australian Antarctic Division, Tasmania. We are also grateful to the databases that compile these data: OBIS, Ecological Data Wiki, DATRAS, and LTER. Finally, we thank O. Mendivil-Ramos for advice on database design, L. Antao, and M. Barbosa and three anonymous referees for comments on earlier versions of the manuscript. The rarefied time series used in our analysis are included as Databases S1 and S2.</t>
  </si>
  <si>
    <t>10.1126/science.1248484</t>
  </si>
  <si>
    <t>WOS:000334474500035</t>
  </si>
  <si>
    <t>Cantero, ALP</t>
  </si>
  <si>
    <t>Pena Cantero, Alvaro L.</t>
  </si>
  <si>
    <t>Revision of the Antarctic species of Halecium Oken, 1815 (Cnidaria, Hydrozoa, Haleciidae)</t>
  </si>
  <si>
    <t>Hydroids; systematics; Antarctic Ocean; new species; autecology; geographic distribution</t>
  </si>
  <si>
    <t>BENTHIC HYDROIDS CNIDARIA; ISLAND SOUTHERN-OCEAN; THECATE HYDROIDS; EXPEDITION; SEA; MAGELLAN; STRAIT</t>
  </si>
  <si>
    <t>A revision of the known Antarctic species of the genus Halecium has been carried out, based on the study of both type and non- type material. For each species a list of synonyms, a diagnosis, a broad description (with the exception of the recently described H. frigidum and H. exaggeratum), a discussion of its relationship with other members of the genus, and an account of its autecological data are given. Thirteen Antarctic species of the genus, including H. pseudodelicatulum sp. nov. and H. pseudoincertus sp. nov., are considered valid. Halecium tubatum is considered as species inquirenda. Halecium ovatum and H. macrocaulus are considered to be junior synonyms of H. interpolatum and H. incertus, respectively. The presence of H. delicatulum and H. tenellum in Antarctic waters is questioned. All Antarctic records found in the literature have been checked. The cnidome proved to be a useful tool for species identification in some cases. Finally, a general survey of the geographical and bathymetric distribution of the species is presented.</t>
  </si>
  <si>
    <t>Univ Valencia, Inst Cavanilles Biodiversidad &amp; Biol Evolut, Dept Zool, Valencia 46071, Spain</t>
  </si>
  <si>
    <t>University of Valencia</t>
  </si>
  <si>
    <t>Cantero, ALP (corresponding author), Univ Valencia, Inst Cavanilles Biodiversidad &amp; Biol Evolut, Dept Zool, Apdo Correos 22085, Valencia 46071, Spain.</t>
  </si>
  <si>
    <t>alvaro.l.pena@uv.es</t>
  </si>
  <si>
    <t>Cantero, Álvaro Luis Peña/F-7888-2016</t>
  </si>
  <si>
    <t>Pena Cantero, Alvaro/0000-0003-3056-6673</t>
  </si>
  <si>
    <t>Ministerio de Ciencia e Innovacion of Spain [CTM2009-11128ANT]; Fondo Europeo de Desarrollo Regional (FEDER)</t>
  </si>
  <si>
    <t>Ministerio de Ciencia e Innovacion of Spain(Spanish Government); Fondo Europeo de Desarrollo Regional (FEDER)(European Union (EU)Spanish Government)</t>
  </si>
  <si>
    <t>The author wishes to thank the late Prof. Dr Wim Vervoort (Nationaal Natuurhistorisch Museum, Leiden, The Netherlands) for his invaluable help in many aspects of my research and to Dr. Claude Massin (RBINS), Dr. Carsten Lueter (ZMB), Dr. Sofia Stepanjants (ZIRAS), Chris Rowley (MV), Fiona Ware (RSM), Koos van Egmond (RMNH) and Karin Sindemark (SMNH) for the loan of specimens. This study was developed thanks to a research project (Ref. CTM2009-11128ANT) funded by the Ministerio de Ciencia e Innovacion of Spain and the Fondo Europeo de Desarrollo Regional (FEDER).</t>
  </si>
  <si>
    <t>APR 17</t>
  </si>
  <si>
    <t>10.11646/zootaxa.3790.2.2</t>
  </si>
  <si>
    <t>AE9VP</t>
  </si>
  <si>
    <t>WOS:000334359600002</t>
  </si>
  <si>
    <t>Vallée, M; Satriano, C</t>
  </si>
  <si>
    <t>Vallee, Martin; Satriano, Claudio</t>
  </si>
  <si>
    <t>Ten year recurrence time between two major earthquakes affecting the same fault segment</t>
  </si>
  <si>
    <t>earthquake recurrence; rerupture; seismic gap hypothesis; dynamic stress; Scotia</t>
  </si>
  <si>
    <t>ANTARCTICA PLATE BOUNDARY; HIGH-FREQUENCY RADIATION; NORTH ANATOLIAN FAULT; SLIP; TECTONICS; PROPAGATION; MAGNITUDE; MECHANISM; PATTERNS; FIELD</t>
  </si>
  <si>
    <t>Earthquake ruptures stop when they encounter barriers impeding further propagation. These barriers can theoretically originate from changes of geometry or nature of the seismic faults or from a strong lowering of the tectonic stresses, typically due to the occurrence of a recent major earthquake. We show here that this latter mechanism can be ineffective at stopping rupture expansion: the 17 November 2013 magnitude 7.8 Scotia Sea earthquake has propagated into a 100 km long zone already ruptured 10 years ago by a magnitude 7.6 earthquake. Given the plate velocities between Scotia and Antarctic plates (8-9 mm/yr), simple recurrence models would have predicted that the segment affected by the 2003 earthquake could not be reruptured by a major earthquake during several hundreds of years. This earthquake pair indicates that the variations of the tectonic stress during the seismic history of the fault are small compared to the stresses dynamically generated by a large earthquake.</t>
  </si>
  <si>
    <t>[Vallee, Martin; Satriano, Claudio] Univ Paris Diderot, CNRS, Inst Phys Globe Paris, Sorbonne Paris Cite,UMR 7154, Paris, France</t>
  </si>
  <si>
    <t>Universite Paris Cite; Centre National de la Recherche Scientifique (CNRS); CNRS - National Institute for Earth Sciences &amp; Astronomy (INSU)</t>
  </si>
  <si>
    <t>Vallée, M (corresponding author), Univ Paris Diderot, CNRS, Inst Phys Globe Paris, Sorbonne Paris Cite,UMR 7154, Paris, France.</t>
  </si>
  <si>
    <t>vallee@ipgp.fr</t>
  </si>
  <si>
    <t>Satriano, Claudio/A-4718-2009; Vallee, Martin/K-5192-2012</t>
  </si>
  <si>
    <t>Satriano, Claudio/0000-0002-3039-2530; Vallee, Martin/0000-0001-8049-4634</t>
  </si>
  <si>
    <t>ALEAS program of INSU; NERA european project</t>
  </si>
  <si>
    <t>We are grateful to broadband seismic network operators (IU, G, II, and GT networks at the global scale and BL, CM, CN, CU, CY, DR, G, GI, II, IU, JM, MG, NA, NU, PA, PR, SV, TA, and WI networks in Central and South America), for high-quality data and public access to continuous waveforms. Data have been retrieved through IRIS (www.iris.edu) and GEOSCOPE (geoscope. ipgp.fr) websites. Several calculations used the S-CAPAD cluster of Institut de Physique du Globe de Paris. We thank the ALEAS program of INSU and the NERA european project for their support. Part of data analysis has been carried out using ObsPy [Megies et al., 2011]. Figures have been realized using GMT5 [Wessel et al., 2013] and Matplotlib [Hunter, 2007]. We thank Thorne Lay and an anonymous reviewer for their comments, which helped to improve the manuscript. This study has benefited from interactive discussions with Pascal Bernard. Information provided by Harsha Bhat and Yann Klinger (on 3-D Mohr circle and past examples of earthquake recurrence) was very helpful.</t>
  </si>
  <si>
    <t>APR 16</t>
  </si>
  <si>
    <t>10.1002/2014GL059465</t>
  </si>
  <si>
    <t>AF8RJ</t>
  </si>
  <si>
    <t>WOS:000334983000011</t>
  </si>
  <si>
    <t>Isono, Y; Mizuno, A; Nagahama, T; Miyoshi, Y; Nakamura, T; Kataoka, R; Tsutsumi, M; Ejiri, MK; Fujiwara, H; Maezawa, H</t>
  </si>
  <si>
    <t>Isono, Yasuko; Mizuno, Akira; Nagahama, Tomoo; Miyoshi, Yoshizumi; Nakamura, Takuji; Kataoka, Ryuho; Tsutsumi, Masaki; Ejiri, Mitsumu K.; Fujiwara, Hitoshi; Maezawa, Hiroyuki</t>
  </si>
  <si>
    <t>Variations of nitric oxide in the mesosphere and lower thermosphere over Antarctica associated with a magnetic storm in April 2012</t>
  </si>
  <si>
    <t>nitric oxide; precipitated electrons; geomagnetic storm; mesosphere; lower thermosphere; Antarctica</t>
  </si>
  <si>
    <t>OCTOBER-NOVEMBER 2003; SOLAR PROTON EVENTS; RADIATION BELT; MILLIMETER; ENHANCEMENT; HEMISPHERE; NORTHERN; OZONE</t>
  </si>
  <si>
    <t>We report extreme enhancements of the nitric oxide (NO) column density observed with the ground-based millimeter-wave spectroscopic radiometer installed at Syowa Station, Antarctica, during a large geomagnetic storm in April 2012. From the NO spectrum line shape and NO column density relationship with solar radiation, we concluded that the NO was emitted in the altitude range between 75 km and 100 km. The column density of NO gradually increased during the recovery phase. In addition to variations on a time frame of several days, we found diurnal variations. The increase of NO was related to precipitated electrons in the energy range of 30-300 keV observed by Polar-orbiting Operational Environmental Satellite (POES)/The Meteorological Operational (METOP). We found a rapid response (within 1 h) and a one-to-one correspondence between them. For the first time, we show that a remarkable increase of the column density of NO is caused by dawn-dusk asymmetry of the plasma sheet electrons.</t>
  </si>
  <si>
    <t>[Isono, Yasuko; Mizuno, Akira; Nagahama, Tomoo; Miyoshi, Yoshizumi] Nagoya Univ, Solar Terr Environm Lab, Nagoya, Aichi 4648601, Japan; [Nakamura, Takuji; Kataoka, Ryuho; Tsutsumi, Masaki; Ejiri, Mitsumu K.] Natl Inst Polar Res, Tachikawa, Tokyo, Japan; [Fujiwara, Hitoshi] Seikei Univ, Fac Sci &amp; Technol, Musashino, Tokyo, Japan; [Maezawa, Hiroyuki] Osaka Prefecture Univ, Grad Sch Sci, Sakai, Osaka 591, Japan</t>
  </si>
  <si>
    <t>isono@stelab.nagoya-u.ac.jp</t>
  </si>
  <si>
    <t>(KAKENHI) from MEXT (the Ministry of Education, Culture, Sports, Science and Technology of Japan) [23340145, 23340146, 23224011]; JST/JICA, SATREPS; Grants-in-Aid for Scientific Research [23340145, 25610145, 23340146, 23224011] Funding Source: KAKEN</t>
  </si>
  <si>
    <t>(KAKENHI) from MEXT (the Ministry of Education, Culture, Sports, Science and Technology of Japan); JST/JICA, SATREPS(Japan Science &amp; Technology Agency (JST)); Grants-in-Aid for Scientific Research(Ministry of Education, Culture, Sports, Science and Technology, Japan (MEXT)Japan Society for the Promotion of ScienceGrants-in-Aid for Scientific Research (KAKENHI))</t>
  </si>
  <si>
    <t>We acknowledge the Japanese Antarctic Research Expedition for operating the observation system. The GOES and POES data were provided by the NOAA/NGDC. Ap, Dst, and AL indices were provided by Kyoto University via OMNIWeb. This work was financially supported by a grant-in-aid for Scientific Research (KAKENHI, 23340145, 23340146, and 23224011) from MEXT (the Ministry of Education, Culture, Sports, Science and Technology of Japan). This work was also supported by the JST/JICA, SATREPS.</t>
  </si>
  <si>
    <t>10.1002/2014GL059360</t>
  </si>
  <si>
    <t>WOS:000334983000045</t>
  </si>
  <si>
    <t>Denton, MH; Kosch, MJ; Borovsky, JE; Clilverd, MA; Friedel, RHW; Ulich, T</t>
  </si>
  <si>
    <t>Denton, M. H.; Kosch, M. J.; Borovsky, J. E.; Clilverd, M. A.; Friedel, R. H. W.; Ulich, T.</t>
  </si>
  <si>
    <t>First optical observations of energetic electron precipitation at 4278 A caused by a powerful VLF transmitter</t>
  </si>
  <si>
    <t>VLF; radiation belts</t>
  </si>
  <si>
    <t>RADIATION; INNER</t>
  </si>
  <si>
    <t>A summary is presented of experimental optical observations at 4278 angstrom from close to a powerful (similar to 150 kW) VLF transmitter (call sign JXN) with a transmission frequency of 16.4 kHz. Approximately 2.5 s after transmitter turn-on, a sudden increase in optical emissions at 4278 angstrom was detected using a dedicated camera/charge-coupled device (CCD) monitoring system recording at a frequency of 10 Hz. The optical signal is interpreted as a burst of electron precipitation lasting similar to 0.5 s, due to gyro-resonant wave-particle interactions between the transmitted wave and the magnetospheric electron population. The precipitation was centered on the zenith and had no detectable spatial structure. The timing of this sequence of events is in line with theoretical predictions and previous indirect observations of precipitation. This first direct measurement of VLF-induced precipitation at 4278 angstrom reveals the spatial and temporal extent of the resulting optical signal close to the transmitter.</t>
  </si>
  <si>
    <t>[Denton, M. H.; Kosch, M. J.; Borovsky, J. E.] Univ Lancaster, Dept Phys, Lancaster, England; [Denton, M. H.; Borovsky, J. E.] Space Sci Inst, Boulder, CO USA; [Kosch, M. J.] South African Natl Space Agcy, Hermanus, South Africa; [Kosch, M. J.] Univ KwaZulu Natal, Durban, South Africa; [Clilverd, M. A.] British Antarctic Survey, Cambridge CB3 0ET, England; [Friedel, R. H. W.] Los Alamos Natl Lab, ISR 1, Los Alamos, NM USA; [Ulich, T.] Sodankyla Geophys Observ, Sodankyla, Finland</t>
  </si>
  <si>
    <t>Lancaster University; University of Kwazulu Natal; UK Research &amp; Innovation (UKRI); Natural Environment Research Council (NERC); NERC British Antarctic Survey; United States Department of Energy (DOE); Los Alamos National Laboratory</t>
  </si>
  <si>
    <t>Denton, MH (corresponding author), Univ Lancaster, Dept Phys, Lancaster, England.</t>
  </si>
  <si>
    <t>m.denton@lancaster.ac.uk</t>
  </si>
  <si>
    <t>Friedel, Reiner HW/D-1410-2012; Ulich, Thomas/G-3727-2018</t>
  </si>
  <si>
    <t>Ulich, Thomas/0000-0001-8217-022X; Denton, Michael/0000-0002-1748-3710; Kosch, Michael Jurgen/0000-0003-2846-3915</t>
  </si>
  <si>
    <t>Lancaster by STFC [ST/I000801/1]; Natural Environment Research Council [bas0100023, NE/H014330/1] Funding Source: researchfish; Science and Technology Facilities Council [ST/I000801/1, ST/G00241X/1] Funding Source: researchfish; NERC [NE/H014330/1, bas0100023] Funding Source: UKRI; STFC [ST/G00241X/1, ST/I000801/1] Funding Source: UKRI</t>
  </si>
  <si>
    <t>Lancaster by STFC;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</si>
  <si>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The authors would like to thank the workshop at SGO and A.J. Kavanagh (British Antarctic Survey) for help with construction and deployment of the AARDDVARK receiver. M.H.D. would like to thank J.J. Denton and Headlands School for hosting the instrument, and A. Senior, C. Rodger, S. P. Gary, R. Horne, and D. P. Hartley for useful conversations. M.H.D. and M.J.K. are funded at Lancaster by STFC grant ST/I000801/1.</t>
  </si>
  <si>
    <t>10.1002/2014GL059553</t>
  </si>
  <si>
    <t>WOS:000334983000001</t>
  </si>
  <si>
    <t>Aitken, ARA; Young, DA; Ferraccioli, F; Betts, PG; Greenbaum, JS; Richter, TG; Roberts, JL; Blankenship, DD; Siegert, MJ</t>
  </si>
  <si>
    <t>Aitken, A. R. A.; Young, D. A.; Ferraccioli, F.; Betts, P. G.; Greenbaum, J. S.; Richter, T. G.; Roberts, J. L.; Blankenship, D. D.; Siegert, M. J.</t>
  </si>
  <si>
    <t>The subglacial geology of Wilkes Land, East Antarctica</t>
  </si>
  <si>
    <t>East Antarctica; Gondwana; Columbia; Rodinia; East Antarctic Ice Sheet</t>
  </si>
  <si>
    <t>ICE-SHEET; EVOLUTION; GONDWANA; OCEAN; BASIN; FLOW; BED; TRANSITION; GLACIER; OROGEN</t>
  </si>
  <si>
    <t>Wilkes Land is a key region for studying the configuration of Gondwana and for appreciating the role of tectonic boundary conditions on East Antarctic Ice Sheet (EAIS) behavior. Despite this importance, it remains one of the largest regions on Earth where we lack a basic knowledge of geology. New magnetic, gravity, and subglacial topography data allow the region's first comprehensive geological interpretation. We map lithospheric domains and their bounding faults, including the suture between Indo-Antarctica and Australo-Antarctica. Furthermore, we image subglacial sedimentary basins, including the Aurora and Knox Subglacial Basins and the previously unknown Sabrina Subglacial Basin. Commonality of structure in magnetic, gravity, and topography data suggest that pre-EAIS tectonic features are a primary control on subglacial topography. The preservation of this relationship after glaciation suggests that these tectonic features provide topographic and basal boundary conditions that have strongly influenced the structure and evolution of the EAIS.</t>
  </si>
  <si>
    <t>[Aitken, A. R. A.] Univ Western Australia, Sch Earth &amp; Environm, Perth, WA 6009, Australia; [Young, D. A.; Greenbaum, J. S.; Richter, T. G.; Blankenship, D. D.] Univ Texas Austin, Inst Geophys, Austin, TX USA; [Ferraccioli, F.] British Antarctic Survey, Cambridge CB3 0ET, England; [Betts, P. G.] Monash Univ, Sch Geosci, Melbourne, Vic 3004, Australia; [Roberts, J. L.] Australian Antarctic Div, Kingston, Tas, Australia; [Roberts, J. L.] Univ Tasmania, Antarctic Climate &amp; Ecosyst Cooperat Res Ctr, Hobart, Tas, Australia; [Siegert, M. J.] Univ Bristol, Sch Geog Sci, Bristol Glaciol Ctr, Bristol, Avon, England; [Siegert, M. J.] Univ London Imperial Coll Sci Technol &amp; Med, Dept Earth Sci &amp; Engn, Grantham Inst, London, England</t>
  </si>
  <si>
    <t>University of Western Australia; University of Texas System; University of Texas Austin; UK Research &amp; Innovation (UKRI); Natural Environment Research Council (NERC); NERC British Antarctic Survey; Monash University; Australian Antarctic Division; University of Tasmania; Antarctic Climate &amp; Ecosystems Cooperative Research Centre (ACE CRC); University of Bristol; Imperial College London</t>
  </si>
  <si>
    <t>Aitken, ARA (corresponding author), Univ Western Australia, Sch Earth &amp; Environm, Perth, WA 6009, Australia.</t>
  </si>
  <si>
    <t>alan.aitken@uwa.edu.au</t>
  </si>
  <si>
    <t>Blankenship, Donald D./G-5935-2010; Roberts, Jason L/B-2235-2012; Young, Duncan A./G-6256-2010; Siegert, Martin J/A-3826-2008; Betts, Peter G/A-3656-2008; Siegert, Martin/M-9939-2019</t>
  </si>
  <si>
    <t>Roberts, Jason L/0000-0002-3477-4069; Siegert, Martin J/0000-0002-0090-4806; Siegert, Martin/0000-0002-0090-4806; Ferraccioli, Fausto/0000-0002-9347-4736; Aitken, Alan/0000-0002-6375-2504; Betts, Peter/0000-0002-2088-7433</t>
  </si>
  <si>
    <t>Monash University Research Accelerator Program; Centre for Exploration Targeting at UWA; UWA Geoscience Foundation; Australian Antarctic Division [3103, 4077]; NSF [ANT-0733025]; NASA [NNX09AR52G, NNG10HP06C-ARRA, NNX11AD33G]; NERC [NE/F016646/1, NE/D003733/1]; Jackson School of Geoscience; University of Edinburgh; Jet Propulsion Laboratory; G. Unger Vetlesen Foundation; Australian Government's Cooperative Research Centres Programme through the Antarctic Climate and Ecosystems Cooperative Research Centre; Natural Environment Research Council [NE/F016646/1, NE/G00465X/1, bas0100026] Funding Source: researchfish; NERC [NE/G00465X/1, bas0100026, NE/F016646/1] Funding Source: UKRI; NASA [NNX11AD33G, 148741, NNX09AR52G, 106520] Funding Source: Federal RePORTER</t>
  </si>
  <si>
    <t>Monash University Research Accelerator Program; Centre for Exploration Targeting at UWA; UWA Geoscience Foundation; Australian Antarctic Division; NSF(National Science Foundation (NSF)); NASA(National Aeronautics &amp; Space Administration (NASA)); NERC(UK Research &amp; Innovation (UKRI)Natural Environment Research Council (NERC)); Jackson School of Geoscience; University of Edinburgh; Jet Propulsion Laboratory; G. Unger Vetlesen Foundation; Australian Government's Cooperative Research Centres Programme through the Antarctic Climate and Ecosystems Cooperative Research Centre(Australian GovernmentDepartment of Industry, Innovation and ScienceCooperative Research Centres (CRC) Programme); Natural Environment Research Council(UK Research &amp; Innovation (UKRI)Natural Environment Research Council (NERC)); NERC(UK Research &amp; Innovation (UKRI)Natural Environment Research Council (NERC)); NASA(National Aeronautics &amp; Space Administration (NASA))</t>
  </si>
  <si>
    <t>This paper is a result of the ICECAP collaboration between the USA, UK, and Australia to understand the Ice and Crustal Evolution of the Central Antarctic Plate through airborne geophysical surveys. Logistical support was provided by the U.S. Antarctic Program, the French Polar Institute, and the Australian Antarctic Division. Aude Chambodut at EOST is thanked for providing magnetic observatory data for Dome C and Dumont d'Urville observatories, the NSIDC provided ICEBRIDGE data under license, Geoscience Australia provided funding to A.A. and P.B., Australian magnetic and gravity grids, and Casey magnetic observatory observations. A.A. would also like to thank the Centre for Exploration Targeting at UWA and the UWA Geoscience Foundation for financial support to pursue this work. P.B. was supported by the Monash University Research Accelerator Program. This work was supported by Australian Antarctic Division projects 3103 and 4077, NSF grant ANT-0733025, NASA grants NNX09AR52G, NNG10HP06C-ARRA, and NNX11AD33G (Operation Ice Bridge), NERC grant NE/F016646/1, NERC grant NE/D003733/1, the Jackson School of Geoscience, the University of Edinburgh, the Jet Propulsion Laboratory, and the G. Unger Vetlesen Foundation. This research was also supported by the Australian Government's Cooperative Research Centres Programme through the Antarctic Climate and Ecosystems Cooperative Research Centre. This paper is UTIG contribution. Two reviewers provided valuable comments that have led to significant improvement of the paper.</t>
  </si>
  <si>
    <t>10.1002/2014GL059405</t>
  </si>
  <si>
    <t>WOS:000334983000021</t>
  </si>
  <si>
    <t>Fan, TT; Deser, C; Schneider, DP</t>
  </si>
  <si>
    <t>Fan, Tingting; Deser, Clara; Schneider, David P.</t>
  </si>
  <si>
    <t>Recent Antarctic sea ice trends in the context of Southern Ocean surface climate variations since 1950</t>
  </si>
  <si>
    <t>Antarctic sea ice; Southern Ocean climate; climate variability</t>
  </si>
  <si>
    <t>CLOUD COVER; VARIABILITY; WIND; PACIFIC; SENSITIVITY; REANALYSIS</t>
  </si>
  <si>
    <t>This study compares the distribution of surface climate trends over the Southern Ocean in austral summer between 1979-2011 and 1950-1978, using a wide variety of data sets including uninterpolated gridded marine archives, land station data, reanalysis, and satellite products. Apart from the Antarctic Peninsula and adjacent regions, sea surface temperatures and surface air temperatures decreased during 1979-2011, consistent with the expansion of Antarctic sea ice. In contrast, the Southern Ocean and coastal Antarctica warmed during 1950-1978. Sea level pressure (SLP) and zonal wind trends provide additional evidence for a sign reversal between the two periods, with cooling (warming) accompanied by stronger (weaker) westerlies and lower (higher) SLP at polar latitudes in the early (late) period. Such physically consistent trends across a range of independently measured parameters provide robust evidence for multidecadal climate variability over the Southern Ocean and place the recent Antarctic sea ice trends into a broader context.</t>
  </si>
  <si>
    <t>[Fan, Tingting; Deser, Clara; Schneider, David P.] NCAR, Boulder, CO 80305 USA</t>
  </si>
  <si>
    <t>National Center Atmospheric Research (NCAR) - USA</t>
  </si>
  <si>
    <t>Fan, TT (corresponding author), NCAR, Boulder, CO 80305 USA.</t>
  </si>
  <si>
    <t>tingting@ucar.edu</t>
  </si>
  <si>
    <t>Schneider, David/E-2726-2010</t>
  </si>
  <si>
    <t>Schneider, David/0000-0001-5308-1834</t>
  </si>
  <si>
    <t>China Scholarship Council (CSC); National Science Foundation (NSF) [1048899, 1235231]; NSF; Directorate For Geosciences; Div Atmospheric &amp; Geospace Sciences [1048899] Funding Source: National Science Foundation; Directorate For Geosciences; Office of Polar Programs (OPP) [1341527] Funding Source: National Science Foundation</t>
  </si>
  <si>
    <t>China Scholarship Council (CSC)(China Scholarship Council); National Science Foundation (NSF)(National Science Foundation (NSF)); NSF(National Science Foundation (NSF)); Directorate For Geosciences; Div Atmospheric &amp; Geospace Sciences(National Science Foundation (NSF)NSF - Directorate for Geosciences (GEO)); Directorate For Geosciences; Office of Polar Programs (OPP)(National Science Foundation (NSF)NSF - Directorate for Geosciences (GEO))</t>
  </si>
  <si>
    <t>We acknowledge helpful discussions with Lorenzo M. Polvani, Yuko Okumura, and Ana Ordonez (who provided additional contextual analyses) during the course of this study. We are grateful to Donald Cavalieri for sharing the Antarctic sea ice extent record for the period 1973 to 2002 and to Xungang Yin for supplying the station data at Puerto Montt, Christchurch, Hobart and Ile Nouvelle-Amsterdam. We also thank the two anonymous reviewers for their thoughtful comments and suggestions. The figures were produced with the NCAR Command Language (NCL) software package. Tingting Fan is supported by the China Scholarship Council (CSC). David Schneider is supported by National Science Foundation (NSF) grants 1048899 and 1235231. NCAR is sponsored by the NSF.</t>
  </si>
  <si>
    <t>10.1002/2014GL059239</t>
  </si>
  <si>
    <t>WOS:000334983000024</t>
  </si>
  <si>
    <t>Robinson, J; Popova, EE; Yool, A; Srokosz, M; Lampitt, RS; Blundell, JR</t>
  </si>
  <si>
    <t>Robinson, J.; Popova, E. E.; Yool, A.; Srokosz, M.; Lampitt, R. S.; Blundell, J. R.</t>
  </si>
  <si>
    <t>How deep is deep enough? Ocean iron fertilization and carbon sequestration in the Southern Ocean</t>
  </si>
  <si>
    <t>ocean iron fertilization; Lagrangian particle tracking; deep circulation; Southern Ocean</t>
  </si>
  <si>
    <t>EFFICIENCY</t>
  </si>
  <si>
    <t>Artificial ocean iron fertilization (OIF) enhances phytoplankton productivity and is being explored as a means of sequestering anthropogenic carbon within the deep ocean. To be considered successful, carbon should be exported from the surface ocean and isolated from the atmosphere for an extended period (e.g., the Intergovernmental Panel on Climate Change's standard 100 year time horizon). This study assesses the impact of deep circulation on carbon sequestered by OIF in the Southern Ocean, a high-nutrient low-chlorophyll region known to be iron stressed. A Lagrangian particle-tracking approach is employed to analyze water mass trajectories over a 100 year simulation. By the end of the experiment, for a sequestration depth of 1000 m, 66% of the carbon had been reexposed to the atmosphere, taking an average of 37.8 years. Upwelling occurs predominately within the Antarctic Circumpolar Current due to Ekman suction and topography. These results emphasize that successful OIF is dependent on the physical circulation, as well as the biogeochemistry.</t>
  </si>
  <si>
    <t>[Robinson, J.; Blundell, J. R.] Univ Southampton, Southampton, Hants, England; [Robinson, J.; Popova, E. E.; Yool, A.; Srokosz, M.; Lampitt, R. S.] Natl Oceanog Ctr, Southampton, Hants, England</t>
  </si>
  <si>
    <t>University of Southampton; NERC National Oceanography Centre</t>
  </si>
  <si>
    <t>Robinson, J (corresponding author), Univ Southampton, Southampton, Hants, England.</t>
  </si>
  <si>
    <t>josie.robinson@noc.soton.ac.uk</t>
  </si>
  <si>
    <t>Yool, Andrew/B-4799-2012; Popova, Ekaterina E/B-4520-2012</t>
  </si>
  <si>
    <t>Yool, Andrew/0000-0002-9879-2776; Popova, Ekaterina E/0000-0002-2012-708X; Robinson, Josie/0000-0002-5358-2417</t>
  </si>
  <si>
    <t>National Environmental Research Council, part of the National capability in ocean modeling [NE/K500938/1]; NERC [noc010010, noc010009] Funding Source: UKRI; Natural Environment Research Council [noc010009, 1272559, noc010012, noc010010] Funding Source: researchfish</t>
  </si>
  <si>
    <t>National Environmental Research Council, part of the National capability in ocean modeling; NERC(UK Research &amp; Innovation (UKRI)Natural Environment Research Council (NERC)); Natural Environment Research Council(UK Research &amp; Innovation (UKRI)Natural Environment Research Council (NERC))</t>
  </si>
  <si>
    <t>We thank the National Environmental Research Council, part of the National capability in ocean modeling, for funding this research (NE/K500938/1). This study was carried out using the computational tool Ariane, developed by B. Blanke and N. Grima. The data presented in this study can be obtained by contacting the lead author. We are additionally grateful to a number of colleagues at NOC for suggestions and assistance, in particular A. L. New and M. Sonnewald.</t>
  </si>
  <si>
    <t>10.1002/2013GL058799</t>
  </si>
  <si>
    <t>WOS:000334983000034</t>
  </si>
  <si>
    <t>Krapp-Schickel, T; De Broyer, C</t>
  </si>
  <si>
    <t>Krapp-Schickel, Traudl; De Broyer, Claude</t>
  </si>
  <si>
    <t>Revision of Leucothoe (Amphipoda, Crustacea) from the Southern Ocean: a cosmopolitanism concept is vanishing</t>
  </si>
  <si>
    <t>EUROPEAN JOURNAL OF TAXONOMY</t>
  </si>
  <si>
    <t>Crustacea; Amphipoda; Leucothoidae; Antarctica; Southern Ocean</t>
  </si>
  <si>
    <t>Among the 125 currently recognized species of the panoceanic genus Leucothoe, L. antarctica was described in 1888 from the Antarctic seas, but was soon synonymized with the so-called cosmopolitan Leucothoe spinicarpa Abildgaard, which was cited from the Southern Ocean about 70 times since this first record. After erecting a new Antarctic species again only in 1983, morphological variants were observed and discussed. In this paper, we revalidate the first defined Antarctic species (Leucothoe antarctica), redescribe the second one (L. orkneyi), describe 5 new Southern Ocean species (L. campbelli sp. nov., L. longimembris sp. nov., L. macquariae sp. nov., L. merletta sp. nov. and L. weddellensis sp. nov.) and provide a key to all Antarctic and sub-Antarctic species.</t>
  </si>
  <si>
    <t>[Krapp-Schickel, Traudl] Zool Forschungsmuseum A Koenig, D-53113 Bonn, Germany; [De Broyer, Claude] Royal Belgian Inst Nat Sci, B-1000 Brussels, Belgium</t>
  </si>
  <si>
    <t>Royal Belgian Institute of Natural Sciences</t>
  </si>
  <si>
    <t>Krapp-Schickel, T (corresponding author), Zool Forschungsmuseum A Koenig, Adenauerallee 160, D-53113 Bonn, Germany.</t>
  </si>
  <si>
    <t>traudl.krapp@uni-bonn.de; claude.debroyer@naturalsciences.be</t>
  </si>
  <si>
    <t>European Commission; Scientific Research Programme on the Antarctic of the Belgian Federal Science Policy</t>
  </si>
  <si>
    <t>European Commission(European Union (EU)European Commission Joint Research Centre); Scientific Research Programme on the Antarctic of the Belgian Federal Science Policy</t>
  </si>
  <si>
    <t>This is contribution no85 to the Census of Antarctic Marine Life and ANDEEP publication no183. The first author was supported by two Synthesis grants from the European Commission during her visits to RBINS in Brussels. The second author was partly supported by the Scientific Research Programme on the Antarctic of the Belgian Federal Science Policy. The authors gratefully thank the various collectors in the difficult Antarctic conditions as well as the colleagues and collection managers who kindly provided material for this study: David Barnes (British Antarctic Survey, Cambridge, UK), Anna Jazdzewska (University of Lodz, Poland), Martin Rauschert (Alfred Wegener Institut, Bremerhaven, Germany), Kareen Schnabel (NIWA, Wellington, New Zealand), and Joanna Taylor (Victoria Museum, Melbourne, Australia). Anton Van de Putte (RBINS) kindly drafted the distribution maps.</t>
  </si>
  <si>
    <t>MUSEUM NATL HISTOIRE NATURELLE</t>
  </si>
  <si>
    <t>SERVICE PUBLICATIONS SCIENTIFIQUES, 57 RUE CUVIER, 75005 PARIS, FRANCE</t>
  </si>
  <si>
    <t>2118-9773</t>
  </si>
  <si>
    <t>EUR J TAXON</t>
  </si>
  <si>
    <t>Eur. J. Taxon.</t>
  </si>
  <si>
    <t>APR 15</t>
  </si>
  <si>
    <t>10.5852/ejt.2014.80</t>
  </si>
  <si>
    <t>Plant Sciences; Entomology; Zoology</t>
  </si>
  <si>
    <t>CA4UA</t>
  </si>
  <si>
    <t>WOS:000348899800001</t>
  </si>
  <si>
    <t>Cuellar, J; Yebenes, H; Parker, SK; Carranza, G; Serna, M; Valpuesta, JM; Zabala, JC; Detrich, HW</t>
  </si>
  <si>
    <t>Cuellar, Jorge; Yebenes, Hugo; Parker, Sandra K.; Carranza, Gerardo; Serna, Marina; Maria Valpuesta, Jose; Carlos Zabala, Juan; Detrich, H. William, III</t>
  </si>
  <si>
    <t>Assisted protein folding at low temperature: evolutionary adaptation of the Antarctic fish chaperonin CCT and its client proteins</t>
  </si>
  <si>
    <t>CCT; TriC; Chaperone; Chaperonin; Protein folding; Actin; Tubulin; Thermal adaptation; Evolution</t>
  </si>
  <si>
    <t>CYTOPLASMIC CHAPERONIN; TREMATOMUS-BERNACCHII; NOTOTHENIA-CORIICEPS; COLD-DENATURATION; BETA-TUBULIN; GENE; EXPRESSION; ACTIN; HSP70; CONSEQUENCES</t>
  </si>
  <si>
    <t>Eukaryotic ectotherms of the Southern Ocean face energetic challenges to protein folding assisted by the cytosolic chaperonin CCT. We hypothesize that CCT and its client proteins (CPs) have co-evolved molecular adaptations that facilitate CCT-CP interaction and the ATP-driven folding cycle at low temperature. To test this hypothesis, we compared the functional and structural properties of CCT-CP systems from testis tissues of an Antarctic fish, Gobionotothen gibberifrons (Lonnberg) (habitat/body T = -1.9 to +2 degrees C), and of the cow (body T = 37 degrees C). We examined the temperature dependence of the binding of denatured CPs (bactin, beta-tubulin) by fish and bovine CCTs, both in homologous and heterologous combinations and at temperatures between -4 degrees C and 20 degrees C, in a buffer conducive to binding of the denatured CP to the open conformation of CCT. In homologous combination, the percentage of G. gibberifrons CCT bound to CP declined linearly with increasing temperature, whereas the converse was true for bovine CCT. Binding of CCT to heterologous CPs was low, irrespective of temperature. When reactions were supplemented with ATP, G. gibberifrons CCT catalyzed the folding and release of actin at 2 degrees C. The ATPase activity of apo-CCT from G. gibberifrons at 4 degrees C was similar to 2.5-fold greater than that of apo-bovine CCT, whereas equivalent activities were observed at 20 degrees C. Based on these results, we conclude that the catalytic folding cycle of CCT from Antarctic fishes is partially compensated at their habitat temperature, probably by means of enhanced CP-binding affinity and increased flexibility of the CCT subunits.</t>
  </si>
  <si>
    <t>[Cuellar, Jorge; Yebenes, Hugo; Serna, Marina; Maria Valpuesta, Jose] Univ Autonoma Madrid, CNB, CSIC, E-28049 Madrid, Spain; [Parker, Sandra K.; Detrich, H. William, III] Northeastern Univ, Ctr Marine Sci, Dept Marine &amp; Environm Sci, Nahant, MA 01908 USA; [Parker, Sandra K.; Detrich, H. William, III] Northeastern Univ, Ctr Marine Sci, Dept Biol, Nahant, MA 01908 USA; [Carranza, Gerardo; Carlos Zabala, Juan] Univ Cantabria, IFIMAV, Dept Biol Mol, Santander 39011, Spain</t>
  </si>
  <si>
    <t>Autonomous University of Madrid; Consejo Superior de Investigaciones Cientificas (CSIC); CSIC - Centro Nacional de Biotecnologia (CNB); Northeastern University; Northeastern University; Universidad de Cantabria</t>
  </si>
  <si>
    <t>Detrich, HW (corresponding author), Northeastern Univ, Ctr Marine Sci, Dept Marine &amp; Environm Sci, Nahant, MA 01908 USA.</t>
  </si>
  <si>
    <t>iceman@neu.edu</t>
  </si>
  <si>
    <t>Cuéllar, Jorge/GOH-3100-2022; Carranza, Gerardo/F-7151-2016; Valpuesta, Jose M/AAA-6002-2019; Zabala, Juan Carlos/K-5163-2014; Valpuesta, Jose/T-1977-2017</t>
  </si>
  <si>
    <t>Cuéllar, Jorge/0000-0002-7789-807X; Carranza, Gerardo/0000-0003-1081-7850; Zabala, Juan Carlos/0000-0003-2679-5473; Serna, Marina/0000-0002-6827-496X; Valpuesta, Jose/0000-0001-7468-8053; Yebenes, Hugo/0000-0002-0448-217X</t>
  </si>
  <si>
    <t>National Science Foundation [ANT-0635470, ANT-0944517, PLR-1247510]; Ministerio de Ciencia e Innovacion [BFU2010-15703, BFU2010-18948, CTM2009-08095-E/ANT]; National Science Foundation, Academic Research Infrastructure Recovery and Reinvestment Program [OCE-0963010]; Division Of Ocean Sciences; Directorate For Geosciences [0963010] Funding Source: National Science Foundation; Office of Polar Programs (OPP); Directorate For Geosciences [1247510] Funding Source: National Science Foundation</t>
  </si>
  <si>
    <t>National Science Foundation(National Science Foundation (NSF)); Ministerio de Ciencia e Innovacion(Instituto de Salud Carlos IIISpanish Government); National Science Foundation, Academic Research Infrastructure Recovery and Reinvestment Program(National Science Foundation (NSF)); Division Of Ocean Sciences; Directorate For Geosciences(National Science Foundation (NSF)NSF - Directorate for Geosciences (GEO)); Office of Polar Programs (OPP); Directorate For Geosciences(National Science Foundation (NSF)NSF - Directorate for Geosciences (GEO))</t>
  </si>
  <si>
    <t>This work was supported by the National Science Foundation [ANT-0635470, ANT-0944517 and PLR-1247510 to H.W.D.]; and by the Ministerio de Ciencia e Innovacion [BFU2010-15703 to J.M.V., BFU2010-18948 to J.C.Z., CTM2009-08095-E/ANT to J.M.V. and J.C.Z.]. The work was also supported by the National Science Foundation [OCE-0963010] as part of the Academic Research Infrastructure Recovery and Reinvestment Program.</t>
  </si>
  <si>
    <t>10.1242/bio.20147427</t>
  </si>
  <si>
    <t>AZ2MD</t>
  </si>
  <si>
    <t>WOS:000348066800004</t>
  </si>
  <si>
    <t>Pesce, OH; Moreno, PI</t>
  </si>
  <si>
    <t>Pesce, O. H.; Moreno, P. I.</t>
  </si>
  <si>
    <t>Vegetation, fire and climate change in central-east Isla Grande de Chi loe (43°S) since the Last Glacial Maximum, northwestern Patagonia</t>
  </si>
  <si>
    <t>Northwestern Patagonia; Southern westerly winds; Last Glacial termination/Holocene; Temperate rainforests; Paleofires</t>
  </si>
  <si>
    <t>CHILEAN LAKE DISTRICT; SOUTHERN CHILE; ATMOSPHERIC CO2; RADIOCARBON CHRONOLOGY; HOLOCENE TRANSITION; ABRUPT VEGETATION; ULTIMA ESPERANZA; LATE QUATERNARY; NORTHERN ISLA; DE-CHILOE</t>
  </si>
  <si>
    <t>We present a detailed record from Lago Lepue to examine vegetation, climate and fire-regime changes since the Last Glacial Maximum (LGM) in central-east Isla Grande de Chiloe (43 S), northwestern Patagonia. Precipitation in this region correlates with the intensity of the southern westerly winds (SWW), allowing reconstruction of past SWW behavior through precipitation-sensitive sensors. Recession from the LGM glacier margins exposed the central-east sector of Isla Grande de Chiloe by 17,800 cal yr BP, followed by the immediate colonization of pioneer cold-resistant herbs/shrubs and rapid establishment of closed-canopy Nothofagus forests by 17,000 cal yr BP. Broad-leaved temperate rainforests have persisted since then with compositional changes driven by changes in temperature, hydrologic balance and disturbance regimes. We detect low lake levels and enhanced fire activity between 800-2000, 4000-4300, ,000 and 16,100-17,800 cal yr BP, implying southward shifts and/or weaker SVVW flow that alternated with cold, humid phases with muted fire activity. Covariation in paleoclimate trends revealed by the Lago Lepue record with tropical and Antarctic records since the LGM, suggests that the SWW have been a highly dynamic component of the climate system capable of linking climate changes from low- and high-southern latitudes during the Last Glacial termination and the current interglacial. (C) 2014 Elsevier Ltd.. All rights reserved.</t>
  </si>
  <si>
    <t>[Moreno, P. I.] Univ Chile, Dept Ciencias Ecol, Santiago, Chile; Univ Chile, Inst Ecol &amp; Biodiversidad, Santiago, Chile</t>
  </si>
  <si>
    <t>Universidad de Chile; Universidad de Chile</t>
  </si>
  <si>
    <t>Moreno, PI (corresponding author), Univ Chile, Dept Ciencias Ecol, Santiago, Chile.</t>
  </si>
  <si>
    <t>pimoreno@uchile.cl</t>
  </si>
  <si>
    <t>Moreno, Patricio/D-2317-2012</t>
  </si>
  <si>
    <t>Moreno, Patricio/0000-0002-1333-6238</t>
  </si>
  <si>
    <t>Fondecyt grant [1110612]; Fondap grant [15110009]; ICM grants [P02-51, NC120066]</t>
  </si>
  <si>
    <t>Fondecyt grant(Comision Nacional de Investigacion Cientifica y Tecnologica (CONICYT)CONICYT FONDECYT); Fondap grant(Comision Nacional de Investigacion Cientifica y Tecnologica (CONICYT)CONICYT FONDAP); ICM grants</t>
  </si>
  <si>
    <t>This research was funded by Fondecyt grant #1110612, Fondap grant #15110009, and ICM grants P02-51 and NC120066. We thank R. Villa, R. Flores, A. Leon, A. Maldonado and M. Valenzuela for help during the coring operation, and L Gonzalorena, and L. Hernandez for laboratory analyses. I. Hajdas, C. Moy and T. Guilderson contributed in the development of the radiocarbon chronology.</t>
  </si>
  <si>
    <t>10.1016/j.quascirev.2014.02.021</t>
  </si>
  <si>
    <t>AH9MP</t>
  </si>
  <si>
    <t>WOS:000336466800011</t>
  </si>
  <si>
    <t>Mukhopadhyay, SK; Chatterjee, S; Gauri, SS; Das, SS; Mishra, A; Patra, M; Ghosh, AK; Das, AK; Singh, SM; Dey, S</t>
  </si>
  <si>
    <t>Mukhopadhyay, Sourav K.; Chatterjee, Soumya; Gauri, Samiran S.; Das, Shibendu S.; Mishra, Abheepsa; Patra, Moumita; Ghosh, Ananta K.; Das, Amit K.; Singh, Shiv M.; Dey, Satyahari</t>
  </si>
  <si>
    <t>Isolation and characterization of extracellular polysaccharide Thelebolan produced by a newly isolated psychrophilic Antarctic fungus Thelebolus</t>
  </si>
  <si>
    <t>CARBOHYDRATE POLYMERS</t>
  </si>
  <si>
    <t>Antarctic; Antiproliferative; Exopolysaccharide; Glucan; Psychrophiles; Thelebolus</t>
  </si>
  <si>
    <t>STRUCTURAL-CHARACTERIZATION; ANTITUMOR-ACTIVITY; NMR-SPECTROSCOPY; EDIBLE MUSHROOM; BETA-GLUCAN; EXOPOLYSACCHARIDE; APOPTOSIS; GROWTH; PROLIFERATION; EXTRACT</t>
  </si>
  <si>
    <t>The present investigation is on a newly isolated psychrophilic Antarctic filamentous Ascomycetous fungus that has been identified as Thelebolus sp. and given the designation of Thelebolus sp. IITKGP-BT12. The culture was primarily identified through morphological studies, and was further confirmed by 18S rRNA sequencing (GenBank Accession No. KC191572), which revealed its close relatedness with Thelebolus microsporus. The exopolysaccharide (EPS) produced (1.94 g L-1) by the fungus was isolated, purified and characterized as glucan having an average molecular mass of 5 x 10(5) Da. The structure of EPS was determined by gas chromatography with tandem mass spectrometry (GC-MS/MS), Fourier transform infrared spectroscopy (FT-IR) and nuclear magnetic resonance (NMR) studies (H-1, C-13 and HSQC). NMR analysis indicated the presence of (1 -&gt; 3)-linked beta-D-glucan backbone with (1 -&gt; 6)-linked branches of beta-D-glucopyranosyl units. Antiproliferative activity of EPS was demonstrated in B16-F0 cells, with IC50 of 275.42 mu g mL(-1). Flow cytometry analysis and DNA fragmentation studies revealed that the cytotoxic action of the EPS mediated apoptosis in cancer cells.This is the first ever report on bioactive EPS thelebolan from Thelebolus sp. (C) 2014 Elsevier Ltd. All rights reserved.</t>
  </si>
  <si>
    <t>[Mukhopadhyay, Sourav K.; Chatterjee, Soumya; Gauri, Samiran S.; Das, Shibendu S.; Mishra, Abheepsa; Patra, Moumita; Ghosh, Ananta K.; Das, Amit K.; Dey, Satyahari] Indian Inst Technol Kharagpur, Dept Biotechnol, Plant Biotechnol Lab, Kharagpur 721302, W Bengal, India; [Singh, Shiv M.] Natl Ctr Antarctic &amp; Ocean Res, Vasco Da Gama 403804, Goa, India</t>
  </si>
  <si>
    <t>Indian Institute of Technology System (IIT System); Indian Institute of Technology (IIT) - Kharagpur; Ministry of Earth Sciences (MoES) - India; National Centre for Polar and Ocean Research (NCPOR)</t>
  </si>
  <si>
    <t>Dey, S (corresponding author), Indian Inst Technol Kharagpur, Dept Biotechnol, Plant Biotechnol Lab, Kharagpur 721302, W Bengal, India.</t>
  </si>
  <si>
    <t>satyahari01@yahoo.com</t>
  </si>
  <si>
    <t>Mishra, Ph.D., Abheepsa/I-6872-2019; Patra, Moumita/KHW-3285-2024</t>
  </si>
  <si>
    <t>Mishra, Ph.D., Abheepsa/0000-0002-8242-6800; Patra, Moumita/0000-0002-1146-3006</t>
  </si>
  <si>
    <t>Central Research Facility, IIT Kharagpur; Ministry of Earth Science, Govt. of India [MOES/16/48/09/RDEAS]; CSIR</t>
  </si>
  <si>
    <t>Central Research Facility, IIT Kharagpur; Ministry of Earth Science, Govt. of India; CSIR(Council of Scientific &amp; Industrial Research (CSIR) - India)</t>
  </si>
  <si>
    <t>The authors would like to acknowledge the Central Research Facility, IIT Kharagpur for providing instrumental support and Ministry of Earth Science, Govt. of India for financial support (GRANT No. MOES/16/48/09/RDEAS). The unidentified Antarctic isolate was provided by National Centre for Antarctic and Ocean Research, Goa, India. The NMR spectra were recorded at the NMR facility, Bose Institute, Kolkata, India. S.C. and M.P. would like to acknowledge CSIR for providing fellowship.</t>
  </si>
  <si>
    <t>0144-8617</t>
  </si>
  <si>
    <t>1879-1344</t>
  </si>
  <si>
    <t>CARBOHYD POLYM</t>
  </si>
  <si>
    <t>Carbohydr. Polym.</t>
  </si>
  <si>
    <t>10.1016/j.carbpol.2014.01.034</t>
  </si>
  <si>
    <t>Chemistry, Applied; Chemistry, Organic; Polymer Science</t>
  </si>
  <si>
    <t>Chemistry; Polymer Science</t>
  </si>
  <si>
    <t>AE2FC</t>
  </si>
  <si>
    <t>WOS:000333787700028</t>
  </si>
  <si>
    <t>Aponte, JC; Tarozo, R; Alexandre, MR; Alexander, CMO; Charnley, SB; Hallmann, C; Summons, RE; Huang, YS</t>
  </si>
  <si>
    <t>Aponte, Jose C.; Tarozo, Rafael; Alexandre, Marcelo R.; Alexander, Conel M. O'D.; Charnley, Steven B.; Hallmann, Christian; Summons, Roger E.; Huang, Yongsong</t>
  </si>
  <si>
    <t>Chirality of meteoritic free and IOM-derived monocarboxylic acids and implications for prebiotic organic synthesis</t>
  </si>
  <si>
    <t>MAGNETIC CIRCULAR-DICHROISM; STAR-FORMATION REGIONS; AMINO-ACIDS; ASYMMETRIC AUTOCATALYSIS; ENANTIOMERIC EXCESSES; MURCHISON METEORITE; POLARIZED-LIGHT; ORIGIN; RACEMIZATION; DERIVATIVES</t>
  </si>
  <si>
    <t>The origin of homochirality and its role in the development of life on Earth are among the most intriguing questions in science. It has been suggested that carbonaceous chondrites seeded primitive Earth with the initial organic compounds necessary for the origin of life. One of the strongest pieces of evidence supporting this theory is that certain amino acids in carbonaceous chondrites display a significant L-enantiomeric excess (ee), similar to those use by terrestrial life. Analyses of ee in meteoritic molecules other than amino acids would shed more light on the origins of homochirality. In this study we investigated the stereochemistry of two groups of compounds: (1) free monocarboxylic acids (MCAs) from CM2 meteorites LON 94101 and Murchison; and (2) the aliphatic side chains present in the insoluble organic matter (IOM) and extracted in the form of monocarboxylic acids (MCAs) from EET 87770 (CR2) and Orgueil (CI1). Contrary to the well-known ee observed for amino acids in meteorites, we found that meteoritic branched free and IOM-derived MCAs with 5-8 carbon atoms are essentially racemic. The racemic nature of these compounds is used to discuss the possible influence of ultraviolet circularly polarized light (UVCPL) and aqueous alterations on the parent body on chirality observed in in carbonaceous chondrites. (C) 2014 Elsevier Ltd. All rights reserved.</t>
  </si>
  <si>
    <t>[Aponte, Jose C.; Tarozo, Rafael; Huang, Yongsong] Brown Univ, Dept Geol Sci, Providence, RI 02912 USA; [Alexandre, Marcelo R.] Univ Fed Sergipe, Dept Quim, BR-49100000 Sao Cristovao, SE, Brazil; [Alexander, Conel M. O'D.] Carnegie Inst Sci, Dept Terr Magnetism, Washington, DC 20015 USA; [Charnley, Steven B.] NASA, Goddard Space Flight Ctr, Goddard Ctr Astrobiol, Greenbelt, MD 20771 USA; [Hallmann, Christian; Summons, Roger E.] MIT, Dept Earth Atmospher &amp; Planetary Sci, Cambridge, MA 02139 USA; [Hallmann, Christian] Max Planck Inst Biogeochem, D-28359 Bremen, Germany; [Hallmann, Christian] Univ Bremen, MARUM, D-28359 Bremen, Germany</t>
  </si>
  <si>
    <t>Brown University; Universidade Federal de Sergipe; Carnegie Institution for Science; National Aeronautics &amp; Space Administration (NASA); NASA Goddard Space Flight Center; Massachusetts Institute of Technology (MIT); Max Planck Society; University of Bremen</t>
  </si>
  <si>
    <t>Aponte, JC (corresponding author), NASA, Goddard Space Flight Ctr, NASA Postdoctoral Program, Greenbelt, MD 20771 USA.</t>
  </si>
  <si>
    <t>jose.c.aponte@nasa.gov; yongsong_huang@brown.edu</t>
  </si>
  <si>
    <t>Summons, Roger Everett/AAL-3789-2020; Hallmann, Christian/D-2477-2009; da Rosa Alexandre, Marcelo/AAD-8570-2020; Alexander, Conel M. O'D./N-7533-2013; Charnley, Steven B/C-9538-2012; Aponte, Jose C./B-9091-2013</t>
  </si>
  <si>
    <t>da Rosa Alexandre, Marcelo/0000-0003-2446-8305; Alexander, Conel M. O'D./0000-0002-8558-1427; Hallmann, Christian/0000-0003-3696-7371; Aponte, Jose C./0000-0002-0131-1981</t>
  </si>
  <si>
    <t>NSF; NASA; NASA Astrobiology and Exobiology Grant [NNX09AM82G]; Agouron Institute; NASA Astrobiology Institute [NNA08CN84A]; NASA [113071, NNX09AM82G, 103831, NNA08CN84A] Funding Source: Federal RePORTER</t>
  </si>
  <si>
    <t>NSF(National Science Foundation (NSF)); NASA(National Aeronautics &amp; Space Administration (NASA)); NASA Astrobiology and Exobiology Grant; Agouron Institute(Pfizer); NASA Astrobiology Institute; NASA(National Aeronautics &amp; Space Administration (NASA))</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</si>
  <si>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research was entirely supported by NASA Astrobiology and Exobiology Grant NNX09AM82G to YH. JCA is grateful to the NASA Postdoctoral Program Administered by Oak Ridge Associated Universities. RES and CH were supported by the Agouron Institute and the NASA Astrobiology Institute (NNA08CN84A). JCA and YH acknowledge Michel Nuevo for helpful discussions during preparation of the manuscript, and associate editor George Cooper and three anonymous reviewers for their valuable criticisms during the review process.</t>
  </si>
  <si>
    <t>10.1016/j.gca.2014.01.035</t>
  </si>
  <si>
    <t>AD5YS</t>
  </si>
  <si>
    <t>WOS:000333330100001</t>
  </si>
  <si>
    <t>Fraser, CI; Terauds, A; Smellie, J; Convey, P; Chown, SL</t>
  </si>
  <si>
    <t>Fraser, Ceridwen I.; Terauds, Aleks; Smellie, John; Convey, Peter; Chown, Steven L.</t>
  </si>
  <si>
    <t>Geothermal activity helps life survive glacial cycles</t>
  </si>
  <si>
    <t>dispersal; GIS; polar region; volcano; Last Glacial Maximum</t>
  </si>
  <si>
    <t>SOUTH SANDWICH ISLANDS; ANTARCTIC ICE-SHEET; VICTORIA LAND; SPECIES RICHNESS; LARSEMANN HILLS; DIVERSITY; MOSS; REFUGIA; BIOGEOGRAPHY; DISPERSAL</t>
  </si>
  <si>
    <t>Climate change has played a critical role in the evolution and structure of Earth's biodiversity. Geothermal activity, which can maintain ice-free terrain in glaciated regions, provides a tantalizing solution to the question of how diverse life can survive glaciations. No comprehensive assessment of this geothermal glacial refugia hypothesis has yet been undertaken, but Antarctica provides a unique setting for doing so. The continent has experienced repeated glaciations that most models indicate blanketed the continent in ice, yet many Antarctic species appear to have evolved in almost total isolation for millions of years, and hence must have persisted in situ throughout. How could terrestrial species have survived extreme glaciation events on the continent? Under a hypothesis of geothermal glacial refugia and subsequent recolonization of nongeothermal regions, we would expect to find greater contemporary diversity close to geothermal sites than in nongeothermal regions, and significant nestedness by distance of this diversity. We used spatial modeling approaches and the most comprehensive, validated terrestrial biodiversity dataset yet created for Antarctica to assess spatial patterns of diversity on the continent. Models clearly support our hypothesis, indicating that geothermally active regions have played a key role in structuring biodiversity patterns in Antarctica. These results provide critical insights into the evolutionary importance of geothermal refugia and the history of Antarctic species.</t>
  </si>
  <si>
    <t>[Fraser, Ceridwen I.; Terauds, Aleks] Australian Natl Univ, Fenner Sch Environm &amp; Soc, Canberra, ACT 0200, Australia; [Terauds, Aleks] Australian Antarctic Div, Dept Environm, Kingston, Tas 7050, Australia; [Smellie, John] Univ Leicester, Dept Geol, Leicester LE1 7RH, Leics, England; [Convey, Peter] British Antarctic Survey, Cambridge CB3 0ET, England; [Convey, Peter] Univ Canterbury, Gateway Antarctica, Christchurch 8140, New Zealand; [Chown, Steven L.] Monash Univ, Sch Biol Sci, Melbourne, Vic 3800, Australia</t>
  </si>
  <si>
    <t>Australian National University; Australian Antarctic Division; University of Leicester; UK Research &amp; Innovation (UKRI); Natural Environment Research Council (NERC); NERC British Antarctic Survey; University of Canterbury; Monash University</t>
  </si>
  <si>
    <t>Fraser, CI (corresponding author), Australian Natl Univ, Fenner Sch Environm &amp; Soc, GPO Box 4, Canberra, ACT 0200, Australia.</t>
  </si>
  <si>
    <t>ceridwen.fraser@gmail.com</t>
  </si>
  <si>
    <t>Terauds, Aleks/A-4991-2010; Convey, Peter/AAV-5728-2020; Chown, Steven/ABD-7646-2021; Chown, Steven/H-3347-2011</t>
  </si>
  <si>
    <t>Convey, Peter/0000-0001-8497-9903; Chown, Steven/0000-0001-6069-5105; Fraser, Ceridwen/0000-0002-6918-8959</t>
  </si>
  <si>
    <t>Australian Research Council Discovery Early Career Research Award [DE140101715]; Australian Antarctic Division; Natural Environment Research Council; Scientific Committee on Antarctic Research (SCAR) State of the Antarctic Ecosystem (AntEco) Science Program; NERC [bas0100026, bas0100025] Funding Source: UKRI; Natural Environment Research Council [bas0100026, bas0100025] Funding Source: researchfish; Australian Research Council [DE140101715] Funding Source: Australian Research Council</t>
  </si>
  <si>
    <t>Australian Research Council Discovery Early Career Research Award(Australian Research Council); Australian Antarctic Division; Natural Environment Research Council(UK Research &amp; Innovation (UKRI)Natural Environment Research Council (NERC)); Scientific Committee on Antarctic Research (SCAR) State of the Antarctic Ecosystem (AntEco) Science Program; NERC(UK Research &amp; Innovation (UKRI)Natural Environment Research Council (NERC)); Natural Environment Research Council(UK Research &amp; Innovation (UKRI)Natural Environment Research Council (NERC)); Australian Research Council(Australian Research Council)</t>
  </si>
  <si>
    <t>We thank Thomas van Boeckel, Bruno Danis, Chris Carson, Alessio Mortelliti, and Craig Cary for discussions; a wide range of researchers for biological records that contributed to the biodiversity database used in this research; and two anonymous reviewers for their insightful comments. The Australian Antarctic Data Centre provided the Radarsat Antarctic Mapping Project digital elevation model, Simon Wotherspoon provided statistical advice, and Ben Raymond helped generate the RR data. Research funds were provided by Australian Research Council Discovery Early Career Research Award DE140101715 (to C. I. F.), and A. T. was supported by the Australian Antarctic Division and the Scientific Committee on Antarctic Research (SCAR) State of the Antarctic Ecosystem (AntEco) Science Program. P. C. is supported by Natural Environment Research Council core funding to the British Antarctic Survey programs Ecosystems and Environmental Change and Evolution. This paper contributes to the SCAR AntEco research program.</t>
  </si>
  <si>
    <t>10.1073/pnas.1321437111</t>
  </si>
  <si>
    <t>AE8YI</t>
  </si>
  <si>
    <t>Bronze, Green Published, Green Submitted, Green Accepted</t>
  </si>
  <si>
    <t>WOS:000334288600051</t>
  </si>
  <si>
    <t>Scientists Alarmed Over Dwindling Antarctic Research</t>
  </si>
  <si>
    <t>APR 11</t>
  </si>
  <si>
    <t>AE6JD</t>
  </si>
  <si>
    <t>WOS:000334096300004</t>
  </si>
  <si>
    <t>Sterling, JT; Springer, AM; Iverson, SJ; Johnson, SP; Pelland, NA; Johnson, DS; Lea, MA; Bond, NA</t>
  </si>
  <si>
    <t>Sterling, Jeremy T.; Springer, Alan M.; Iverson, Sara J.; Johnson, Shawn P.; Pelland, Noel A.; Johnson, Devin S.; Lea, Mary-Anne; Bond, Nicholas A.</t>
  </si>
  <si>
    <t>The Sun, Moon, Wind, and Biological Imperative-Shaping Contrasting Wintertime Migration and Foraging Strategies of Adult Male and Female Northern Fur Seals (Callorhinus ursinus)</t>
  </si>
  <si>
    <t>MIXED-LAYER DEPTH; ARCTOCEPHALUS-GAZELLA; ZOOPLANKTON DISTRIBUTION; SEXUAL SEGREGATION; VERTICAL MIGRATION; MARINE PREDATOR; ELEPHANT SEALS; COASTAL ORIGIN; PACIFIC EDDY; NE PACIFIC</t>
  </si>
  <si>
    <t>Adult male and female northern fur seals (Callorhinus ursinus) are sexually segregated in different regions of the North Pacific Ocean and Bering Sea during their winter migration. Explanations for this involve interplay between physiology, predator-prey dynamics, and ecosystem characteristics, however possible mechanisms lack empirical support. To investigate factors influencing the winter ecology of both sexes, we deployed five satellite-linked conductivity, temperature, and depth data loggers on adult males, and six satellite-linked depth data loggers and four satellite transmitters on adult females from St. Paul Island (Bering Sea, Alaska, USA) in October 2009. Males and females migrated to different regions of the North Pacific Ocean: males wintered in the Bering Sea and northern North Pacific Ocean, while females migrated to the Gulf of Alaska and California Current. Horizontal and vertical movement behaviors of both sexes were influenced by wind speed, season, light (sun and moon), and the ecosystem they occupied, although the expression of the behaviors differed between sexes. Male dive depths were aligned with the depth of the mixed layer during daylight periods and we suspect this was the case for females upon their arrival to the California Current. We suggest that females, because of their smaller size and physiological limitations, must avoid severe winters typical of the northern North Pacific Ocean and Bering Sea and migrate long distances to areas of more benign environmental conditions and where prey is shallower and more accessible. In contrast, males can better tolerate often extreme winter ocean conditions and exploit prey at depth because of their greater size and physiological capabilities. We believe these contrasting winter behaviors 1) are a consequence of evolutionary selection for large size in males, important to the acquisition and defense of territories against rivals during the breeding season, and 2) ease environmental/physiological constraints imposed on smaller females.</t>
  </si>
  <si>
    <t>[Sterling, Jeremy T.; Johnson, Devin S.] NOAA, Natl Marine Mammal Lab, Alaska Fisheries Sci Ctr, Natl Marine Fisheries Serv, Seattle, WA 98115 USA; [Springer, Alan M.] Univ Alaska Fairbanks, Inst Marine Sci, Fairbanks, AK USA; [Iverson, Sara J.] Dalhousie Univ, Dept Biol, Halifax, NS, Canada; [Johnson, Shawn P.] Johnson Vet Serv, Marine Mammal Ctr, Sausalito, CA USA; [Pelland, Noel A.] Univ Washington, Sch Oceanog, Seattle, WA 98195 USA; [Lea, Mary-Anne] Univ Tasmania, Inst Marine &amp; Antarctic Studies, Hobart, Tas, Australia; [Bond, Nicholas A.] Univ Washington, JISAO, Seattle, WA 98195 USA</t>
  </si>
  <si>
    <t>National Oceanic Atmospheric Admin (NOAA) - USA; University of Alaska System; University of Alaska Fairbanks; Dalhousie University; University of Washington; University of Washington Seattle; University of Tasmania; University of Washington; University of Washington Seattle</t>
  </si>
  <si>
    <t>Sterling, JT (corresponding author), NOAA, Natl Marine Mammal Lab, Alaska Fisheries Sci Ctr, Natl Marine Fisheries Serv, Seattle, WA 98115 USA.</t>
  </si>
  <si>
    <t>Jeremy.Sterling@noaa.gov</t>
  </si>
  <si>
    <t>; Lea, Mary-Anne/E-9054-2013</t>
  </si>
  <si>
    <t>Iverson, Sara/0000-0003-2842-4094; Lea, Mary-Anne/0000-0001-8318-9299</t>
  </si>
  <si>
    <t>NOAA's Undersea Research Program; NOAA's National Cooperative Research Program</t>
  </si>
  <si>
    <t>Principal financial support for this study was provided by NOAA's Undersea Research Program (http://www.nurp.noaa.gov). Additional crucial support was provided by the National Marine Fisheries Service (http://www.nmfs.noaa.gov), Alaska Sea Life Center (http://www.alaskasealife.org), and the TEMPEST project funded by NOAA's National Cooperative Research Program (http://www.st.nmfs.noaa.gov/ cooperative-research/index). The funders had no role in study design, data collection and analysis, decision to publish, or preparation of the manuscript.</t>
  </si>
  <si>
    <t>APR 10</t>
  </si>
  <si>
    <t>e93068</t>
  </si>
  <si>
    <t>10.1371/journal.pone.0093068</t>
  </si>
  <si>
    <t>AI5LS</t>
  </si>
  <si>
    <t>Green Published, gold, Green Accepted, Green Submitted</t>
  </si>
  <si>
    <t>WOS:000336909100013</t>
  </si>
  <si>
    <t>Deng, LQ; Yu, HQ; Liu, YP; Jiao, PP; Zhou, SF; Zhang, SZ; Li, WC; Fu, FL</t>
  </si>
  <si>
    <t>Deng, Long-Qun; Yu, Hao-Qiang; Liu, Yan-Ping; Jiao, Pei-Pei; Zhou, Shu-Feng; Zhang, Su-Zhi; Li, Wan-Chen; Fu, Feng-Ling</t>
  </si>
  <si>
    <t>Heterologous expression of antifreeze protein gene AnAFP from Ammopiptanthus nanus enhances cold tolerance in Escherichia coli and tobacco</t>
  </si>
  <si>
    <t>Ammopiptanthus nanus; Antifreeze protein; Cold tolerance; Heterologous expression; Escherichia coli; Tobacco</t>
  </si>
  <si>
    <t>THERMAL HYSTERESIS PROTEINS; RICH-REPEAT PROTEIN; WINTER RYE LEAVES; TRANSGENIC TOBACCO; ICE RECRYSTALLIZATION; LOLIUM-PERENNE; TARGETED EXPRESSION; PHYSICAL-PROPERTIES; ANTARCTIC FISHES; SYNTHETIC GENE</t>
  </si>
  <si>
    <t>Antifreeze proteins are a class of polypeptides produced by certain animals, plants, fungi and bacteria that permit their survival under the subzero environments. Ammopiptanthus nanus is the unique evergreen broadleaf bush endemic to the Mid-Asia deserts. It survives at the west edge of the Tarim Basin from the disappearance of the ancient Mediterranean in the Tertiary Period. Its distribution region is characterized by the arid climate and extreme temperatures, where the extreme temperatures range from - 30 degrees C to 40 degrees C. In the present study, the antifreeze protein gene AnAFP of A. nanus was used to transform Escherichia coli and tobacco, after bioinformatics analysis for its possible function. The transformed E. coli strain expressed the heterologous AnAFP gene under the induction of isopropyl beta-D-thiogalactopyranoside, and demonstrated significant enhancement of cold tolerance. The transformed tobacco lines expressed the heterologous AnAFP gene in response to cold stress, and showed a less change of relative electrical conductivity under cold stress, and a less wilting phenotype after 16 h of 3 C cold stress and thawing for 1 h than the untransformed wild-type plants. All these results imply the potential value of the AnAFP gene to be used in genetic modification of commercially important crops for improvement of cold tolerance. (C) 2014 Elsevier B.V. All rights reserved.</t>
  </si>
  <si>
    <t>[Deng, Long-Qun; Yu, Hao-Qiang; Zhou, Shu-Feng; Zhang, Su-Zhi; Li, Wan-Chen; Fu, Feng-Ling] Sichuan Agr Univ, Maize Res Inst, Chengdu 611130, Sichuan, Peoples R China; [Liu, Yan-Ping; Jiao, Pei-Pei] Tarim Univ, Fac Plant Sci, Alar 843300, Xinjiang, Peoples R China</t>
  </si>
  <si>
    <t>Sichuan Agricultural University; Tarim University</t>
  </si>
  <si>
    <t>Li, WC (corresponding author), Sichuan Agr Univ, Maize Res Inst, Chengdu 611130, Sichuan, Peoples R China.</t>
  </si>
  <si>
    <t>aumdyms@sicau.edu.cn; ffl@sicau.edu.cn</t>
  </si>
  <si>
    <t>fang, yu/KCK-2014-2024; liu, yan/HCI-5542-2022; liu, yan/HGV-1365-2022</t>
  </si>
  <si>
    <t>National Key Science and Technology Special Project [2013ZX08003-005]; Key Laboratory of Biology and Genetic Improvement of Maize in Southwest Region</t>
  </si>
  <si>
    <t>National Key Science and Technology Special Project; Key Laboratory of Biology and Genetic Improvement of Maize in Southwest Region</t>
  </si>
  <si>
    <t>This work was supported by the National Key Science and Technology Special Project (2013ZX08003-005). The authors thank the technical support from Key Laboratory of Biology and Genetic Improvement of Maize in Southwest Region.</t>
  </si>
  <si>
    <t>10.1016/j.gene.2014.01.013</t>
  </si>
  <si>
    <t>AD8DK</t>
  </si>
  <si>
    <t>WOS:000333496500019</t>
  </si>
  <si>
    <t>Cowan, DA; Makhalanyane, TP; Dennis, PG; Hopkins, DW</t>
  </si>
  <si>
    <t>Cowan, Don A.; Makhalanyane, Thulani P.; Dennis, Paul G.; Hopkins, David W.</t>
  </si>
  <si>
    <t>Microbial ecology and biogeochemistry of continental Antarctic soils</t>
  </si>
  <si>
    <t>antarctica; microbial ecology; soil; hypoliths; nitrogen; carbon; adaptation; threats and impacts</t>
  </si>
  <si>
    <t>MCMURDO DRY VALLEYS; BACTERIAL DIVERSITY; GENOME SEQUENCE; COMMUNITY COMPOSITION; LATITUDINAL GRADIENT; CLIMATE-CHANGE; VICTORIA LAND; MINERAL SOILS; COLD; TEMPERATURE</t>
  </si>
  <si>
    <t>The Antarctica Dry Valleys are regarded as the coldest hyperarid desert system on Earth. While a wide variety of environmental stressors including very low minimum temperatures, frequent freeze-thaw cycles and low water availability impose severe limitations to life, suitable niches for abundant microbial colonization exist. Antarctic desert soils contain much higher levels of microbial diversity than previously thought. Edaphic niches, including cryptic and refuge habitats, microbial mats and permafrost soils all harbor microbial communities which drive key biogeochemical cycling processes. For example, lithobionts (hypoliths and endoliths) possess a genetic capacity for nitrogen and carbon cycling, polymer degradation, and other system processes. Nitrogen fixation rates of hypoliths, as assessed through acetylene reduction assays, suggest that these communities are a significant input source for nitrogen into these oligotrophic soils. Here we review aspects of microbial diversity in Antarctic soils with an emphasis on functionality and capacity. We assess current knowledge regarding adaptations to Antarctic soil environments and highlight the current threats to Antarctic desert soil communities.</t>
  </si>
  <si>
    <t>[Cowan, Don A.; Makhalanyane, Thulani P.] Univ Pretoria, Ctr Microbial Ecol &amp; Genom, Dept Genet, ZA-0028 Pretoria, South Africa; [Dennis, Paul G.] Univ Queensland, Sch Agr &amp; Food Sci, Brisbane, Qld, Australia; [Hopkins, David W.] Heriot Watt Univ, Sch Life Sci, Edinburgh, Midlothian, Scotland</t>
  </si>
  <si>
    <t>University of Pretoria; University of Queensland; Heriot Watt University</t>
  </si>
  <si>
    <t>Cowan, DA (corresponding author), Univ Pretoria, Ctr Microbial Ecol &amp; Genom, Dept Genet, Nat Sci 2 Bldg, ZA-0028 Pretoria, South Africa.</t>
  </si>
  <si>
    <t>Makhalanyane, Thulani P./C-6815-2012; Dennis, Paul G/H-2141-2017; Cowan, Donald A/E-3991-2012</t>
  </si>
  <si>
    <t>Makhalanyane, Thulani P./0000-0002-8173-1678; Cowan, Donald A/0000-0001-8059-861X; Hopkins, David/0000-0003-0953-8643</t>
  </si>
  <si>
    <t>University of Pretoria Genomics Research Institute; South African National Research Foundation (SANAP program); Antarctica New Zealand; University of Waikato NZTABS program; UK Natural Environment Research Council (Antarctic Funding Initiative); British Antarctic Survey; NERC [NBAF010002] Funding Source: UKRI; Natural Environment Research Council [NBAF010002] Funding Source: researchfish</t>
  </si>
  <si>
    <t>University of Pretoria Genomics Research Institute; South African National Research Foundation (SANAP program); Antarctica New Zealand; University of Waikato NZTABS program; UK Natural Environment Research Council (Antarctic Funding Initiative); British Antarctic Survey; NERC(UK Research &amp; Innovation (UKRI)Natural Environment Research Council (NERC)); Natural Environment Research Council(UK Research &amp; Innovation (UKRI)Natural Environment Research Council (NERC))</t>
  </si>
  <si>
    <t>We wish to thank the University of Pretoria Genomics Research Institute, The South African National Research Foundation (SANAP program), Antarctica New Zealand, the University of Waikato NZTABS program, the UK Natural Environment Research Council (Antarctic Funding Initiative) and the British Antarctic Survey for funding and logistics support for our Antarctic research.</t>
  </si>
  <si>
    <t>APR 9</t>
  </si>
  <si>
    <t>10.3389/fmicb.2014.00154</t>
  </si>
  <si>
    <t>AE8UN</t>
  </si>
  <si>
    <t>WOS:000334278300001</t>
  </si>
  <si>
    <t>Double, MC; Andrews-Goff, V; Jenner, KCS; Jenner, MN; Laverick, SM; Branch, TA; Gales, NJ</t>
  </si>
  <si>
    <t>Double, Michael C.; Andrews-Goff, Virginia; Jenner, K. Curt S.; Jenner, Micheline-Nicole; Laverick, Sarah M.; Branch, Trevor A.; Gales, Nicholas J.</t>
  </si>
  <si>
    <t>Migratory Movements of Pygmy Blue Whales (Balaenoptera musculus brevicauda) between Australia and Indonesia as Revealed by Satellite Telemetry</t>
  </si>
  <si>
    <t>SOUTHERN-HEMISPHERE; NINGALOO REEF; WESTERN-AUSTRALIA; RHINCODON-TYPUS; SYMPATRIC AREA; CETACEANS; TRACKING; LINKS</t>
  </si>
  <si>
    <t>In Australian waters during the austral summer, pygmy blue whales (Balaenoptera musculus brevicauda) occur predictably in two distinct feeding areas off western and southern Australia. As with other blue whale subspecies, outside the austral summer their distribution and movements are poorly understood. In order to describe the migratory movements of these whales, we present the satellite telemetry derived movements of eleven individuals tagged off western Australia over two years. Whales were tracked from between 8 and 308 days covering an average distance of 3,0096892 km (mean 6 se; range: 832 km-14,101 km) at a rate of 21.94 +/- 0.74 km per day (0.09 km-455.80 km/day). Whales were tagged during March and April and ultimately migrated northwards post tag deployment with the exception of a single animal which remained in the vicinity of the Perth Canyon/Naturaliste Plateau for its eight day tracking period. The tagged whales travelled relatively near to the Australian coastline (100.0 +/- 1.7 km) until reaching a prominent peninsula in the north-west of the state of Western Australia (North West Cape) after which they travelled offshore (238.0 +/- 13.9 km). Whales reached the northern terminus of their migration and potential breeding grounds in Indonesian waters by June. One satellite tag relayed intermittent information to describe aspects of the southern migration from Indonesia with the animal departing around September to arrive in the subtropical frontal zone, south of western Australia in December. Throughout their migratory range, these whales are exposed to impacts associated with industry, fishing and vessel traffic. These movements therefore provide a valuable tool to industry when assessing potential interactions with pygmy blue whales and should be considered by conservation managers and regulators when mitigating impacts of development. This is particularly relevant for this species as it continues to recover from past exploitation.</t>
  </si>
  <si>
    <t>[Double, Michael C.; Andrews-Goff, Virginia; Laverick, Sarah M.; Gales, Nicholas J.] Australian Antarctic Div, Australian Marine Mammal Ctr, Kingston, Tas, Australia; [Jenner, K. Curt S.; Jenner, Micheline-Nicole] Ctr Whale Res Western Australia Inc, Fremantle, WA, Australia; [Branch, Trevor A.] Univ Washington, Sch Aquat &amp; Fishery Sci, Seattle, WA 98195 USA</t>
  </si>
  <si>
    <t>Australian Antarctic Division; University of Washington; University of Washington Seattle</t>
  </si>
  <si>
    <t>Double, MC (corresponding author), Australian Antarctic Div, Australian Marine Mammal Ctr, Kingston, Tas, Australia.</t>
  </si>
  <si>
    <t>Mike.Double@aad.gov.au</t>
  </si>
  <si>
    <t>Andrews-Goff, Virginia/0000-0002-4609-7317</t>
  </si>
  <si>
    <t>Western Australian Marine Science Institute (WAMSI); Woodside Energy Ltd.</t>
  </si>
  <si>
    <t>This project was partly funded by the Western Australian Marine Science Institute (WAMSI). WAMSI received financial support for this project from Woodside Energy Ltd. as the operator of the Browse LNG Development. The funders had no role in study design, data collection and analysis, decision to publish, or preparation of the manuscript. No additional external funding was received for this study.</t>
  </si>
  <si>
    <t>e93578</t>
  </si>
  <si>
    <t>10.1371/journal.pone.0093578</t>
  </si>
  <si>
    <t>AE9PC</t>
  </si>
  <si>
    <t>WOS:000334339000035</t>
  </si>
  <si>
    <t>Malyutina, MV; Brandt, A</t>
  </si>
  <si>
    <t>Malyutina, Marina V.; Brandt, Angelika</t>
  </si>
  <si>
    <t>New species of the deep-sea munnopsid genus Tytthocope (Crustacea, Isopoda, Asellota) from the South Atlantic and the Southern Ocean</t>
  </si>
  <si>
    <t>Crustacea; Isopoda; Janiroidea; Munnopsidae; Tytthocope; benthos; deep sea; abyssal; Southern Ocean; Southern Atlantic; ANDEEP; DIVA</t>
  </si>
  <si>
    <t>EPIBENTHIC SLEDGE; REDESCRIPTION; BAEONECTES; EURYCOPE; BASIN; NOV</t>
  </si>
  <si>
    <t>In the benthic samples collected during the deep-sea expeditions ANDEEP from the Weddell Sea and DIVA from the Argentine Basin the isopod family Munnopsidae was the most specious and numerous. Among the collected munnopsids three new species of Tytthocope Wilson &amp; Hessler, 1981 have been discovered. Tytthocope is one of six genera of the subfamily Eurycopinae. It differs from other genera of the Eurycopinae by having a strongly reduced pereonite 7 and inflated pleotelson. Until now the genus consisted of five described species: four of them are known from the northern Atlantic and only one species, T. sulcifrons (Barnard, 1920) was described from the southern Atlantic off the South Africa coast. The five known species of Tytthocope have been recorded from depths less than 1461 m. Descriptions of three new species of Tytthocope collected in the South Atlantic and Southern Ocean at depths between 1530-4608 m, T. divae sp. nov., T. fahrbachi sp. nov. and T. longitelson sp. nov. are presented in the paper. T. sulcifrons is redescribed herein based on the type material.</t>
  </si>
  <si>
    <t>[Malyutina, Marina V.] FEB RAS, AV Zhirmunsky Inst Marine Biol, Vladivostok 690041, Russia; [Malyutina, Marina V.] Far East Fed Univ, Vladivostok 690600, Russia; Univ Hamburg, Bioctr Grindel, D-20146 Hamburg, Germany; Univ Hamburg, Zool Museum, D-20146 Hamburg, Germany</t>
  </si>
  <si>
    <t>Russian Academy of Sciences; National Scientific Center of Marine Biology, Far East Branch of the Russian Academy of Sciences; Far Eastern Federal University; University of Hamburg; University of Hamburg</t>
  </si>
  <si>
    <t>Malyutina, MV (corresponding author), FEB RAS, AV Zhirmunsky Inst Marine Biol, 17 Palchevskogo Str, Vladivostok 690041, Russia.</t>
  </si>
  <si>
    <t>m_malyutina@mail.ru; Abrandt@uni-hamburg.de</t>
  </si>
  <si>
    <t>Malyutina, Marina/A-6839-2014; Malyutina, Marina/JAC-6506-2023; Brandt, Angelika/C-1630-2018</t>
  </si>
  <si>
    <t>Malyutina, Marina/0000-0003-2161-3917</t>
  </si>
  <si>
    <t>German Science Foundation [Br 1121/26, Br 1121/38, Br 1121/43]; Russian Foundation of Basis Research [11-04-98586]; Russian Federaton Government grant [11.G34.31.0010]</t>
  </si>
  <si>
    <t>German Science Foundation(German Research Foundation (DFG)); Russian Foundation of Basis Research; Russian Federaton Government grant</t>
  </si>
  <si>
    <t>We are very grateful to the crews of the RVs Polarstern and Meteor, to the German Science Foundation for financial support (Br 1121/26; 38; 43), the Russian Foundation of Basis Research (project 11-04-98586), Russian Federaton Government grant No 11.G34.31.0010 and the German Centre for Marine Biodiversity Research (DZMB) for logistics, especially to Drs. Saskia Brix and Stefanie Kaiser and all pickers and sorters of the ANDEEP and DIVA material. We thank Ms. Elizabeth Hoenson, Marine Invertebrates Collections of the Iziko South African Museums of Cape Town (SAM) for the loan of the type material of T. sulcifrons and anonymous reviewers for their constructive comments which helped to improve the manuscript. Dr. Rowan J. Whittle from the British Antarctic Survey kindly corrected the English. This is ANDEEP publication # 185.</t>
  </si>
  <si>
    <t>APR 8</t>
  </si>
  <si>
    <t>AE3RC</t>
  </si>
  <si>
    <t>WOS:000333892900001</t>
  </si>
  <si>
    <t>Van de Vijver, B; Kopalová, K</t>
  </si>
  <si>
    <t>Van de Vijver, Bart; Kopalova, Katerina</t>
  </si>
  <si>
    <t>Four Achnanthidium species (Bacillariophyta) formerly identified as Achnanthidium minutissimum from the Antarctic Region</t>
  </si>
  <si>
    <t>Achnanthidium; Bacillariophyta; Antarctic Region; new species; biogeography</t>
  </si>
  <si>
    <t>SOUTH SHETLAND ISLANDS; WATER DIATOM COMMUNITIES; LIVINGSTON ISLAND; GENUS ACHNANTHIDIUM; SP-NOV; ECOLOGY; MORPHOLOGY; REVISION; STREAMS</t>
  </si>
  <si>
    <t>Four taxa belonging to the complex of species around Achnanthidium minutissimum were found during the ongoing taxonomic revision of the Antarctic freshwater and limno-terrestrial diatom flora. Two taxa were previously described as Achnanthidium lailae and A. sieminskae. Two others were formerly identified as A. minutissimum but detailed light and scanning electron microscopical observations revealed sufficient morphological differences compared to the type of A. minutissimum, to justify their separation and description as new taxa: Achnanthidium indistinctum and A. maritimo-antarcticum. The morphology and ecology of all four taxa are discussed comparing the species with morphologically similar taxa. The biogeographical consequences of the splitting of the former A. minutissimum complex in the Antarctic Region are discussed.</t>
  </si>
  <si>
    <t>[Van de Vijver, Bart] Bot Garden Meise, Dept Bryophyta &amp; Thallophyta, B-1860 Meise, Belgium; [Van de Vijver, Bart] Univ Antwerp, Dept Biol, ECOBE, B-2610 Antwerp, Belgium; [Kopalova, Katerina] Charles Univ Prague, Fac Sci, Dept Ecol, CZ-12844 Prague 2, Czech Republic</t>
  </si>
  <si>
    <t>University of Antwerp; Charles University Prague</t>
  </si>
  <si>
    <t>Kopalova, Katerina/M-6207-2017</t>
  </si>
  <si>
    <t>Kopalova, Katerina/0000-0002-7905-4268</t>
  </si>
  <si>
    <t>French Polar Institute-Paul-Emile Victor [136]; Ministerio de Ciencia y Tecnologia, Spain [POL2006-06635]; GA UK [394211]; Belspo CCAMBIO project; EU Synthesys grant</t>
  </si>
  <si>
    <t>French Polar Institute-Paul-Emile Victor; Ministerio de Ciencia y Tecnologia, Spain(Spanish Government); GA UK; Belspo CCAMBIO project; EU Synthesys grant</t>
  </si>
  <si>
    <t>The authors wish to thank Niek J.M. Gremmen and Louis Beyens for the collection of samples on Heard Island, Prince Edward Islands and South Georgia. Sampling on Crozet and Kerguelen has been made possible thanks to the logistic and financial support of the French Polar Institute-Paul-Emile Victor in the framework of the terrestrial program 136 (Marc Lebouvier &amp; Yves Frenot). Samples on Byers Peninsula were taken in the framework of the IPY-Limnopolar Project POL2006-06635 (Ministerio de Ciencia y Tecnologia, Spain). The authors would also like to thank the members of expeditions to the Czech J.G. Mendel Antarctic Station for field support and assistance. K. Kopalova benefited from the GA UK grant nr. 394211. Part of the research was funded within the Belspo CCAMBIO project and an EU Synthesys grant to BVDV to visit the National History Museum in London, UK. Alex Ball, the staff of the EMMA laboratory and Eileen J. Cox at the Natural History Museum are thanked for their help with the scanning electron microscopy.</t>
  </si>
  <si>
    <t>APR 7</t>
  </si>
  <si>
    <t>10.5852/ejt.2014.79</t>
  </si>
  <si>
    <t>CA4TW</t>
  </si>
  <si>
    <t>WOS:000348899300001</t>
  </si>
  <si>
    <t>Suckling, CC; Clark, MS; Peck, LS; Cook, EJ</t>
  </si>
  <si>
    <t>Suckling, C. C.; Clark, M. S.; Peck, L. S.; Cook, E. J.</t>
  </si>
  <si>
    <t>Experimental influence of pH on the early life-stages of sea urchins I: different rates of introduction give rise to different responses</t>
  </si>
  <si>
    <t>CO2; settlement; echinoderm; Psammechinus miliaris; ocean acidification; larvae</t>
  </si>
  <si>
    <t>ACID-BASE-BALANCE; CO2-DRIVEN OCEAN ACIDIFICATION; PSAMMECHINUS-MILIARIS; LARVAL DEVELOPMENT; SEAWATER ACIDIFICATION; MARINE CALCIFIERS; ATMOSPHERIC CO2; CARBONIC-ACID; GROWTH; SURVIVAL</t>
  </si>
  <si>
    <t>Many early life-stage response studies to ocean acidification utilize gametes/offspring obtained from ambient-sourced parents, which are then directly introduced to experimentally altered seawater pH. This approach may produce a stress response potentially impacting development and survival. Hence, this study determined whether this approach is suitable by subjecting embryos/larvae to different rates of introduction to lowered seawater pH to assess larval success under acute and staggered experimental pH scenarios. Embryos and 4-armed larvae of the sea urchin Psammechinus miliaris were introduced to pH conditions, widely used in ocean acidification studies, from ambient conditions utilizing 380, 470, 560, 700 and 840 ppm CO2 changed at incremental steps at two rates: fast (every 3rd hour) or slow (every 48th hour). Direct transfers from ambient to low seawater pH gave rise to dramatic negative impacts (smaller size and low survival), but slower rates of introductions gave rise to lesser negative responses (low survival). There was no treatment effect on settled juveniles. Fast introductions utilized in many studies are likely not ideal approaches when assessing pre-settlement larval developmental responses. Therefore, careful consideration of the pattern of response is needed when studies report the responses of offspring, derived from ambient conditions, introduced directly to forecasted ocean acidification conditions.</t>
  </si>
  <si>
    <t>[Suckling, C. C.; Clark, M. S.; Peck, L. S.] British Antarctic Survey, Nat Environm Res Council, Cambridge CB3 0ET, England; [Suckling, C. C.] Univ Cambridge, Dept Earth Sci, Cambridge CB2 3EQ, England; [Suckling, C. C.; Cook, E. J.] Scottish Marine Inst, Scottish Assoc Marine Sci, Oban PA37 1QA, Argyll, Scotland</t>
  </si>
  <si>
    <t>UK Research &amp; Innovation (UKRI); Natural Environment Research Council (NERC); NERC British Antarctic Survey; University of Cambridge; UHI Millennium Institute</t>
  </si>
  <si>
    <t>Clark, Melody/D-7371-2014</t>
  </si>
  <si>
    <t>Clark, Melody/0000-0002-3442-3824; Suckling, Coleen/0000-0002-8572-0909; Cottier-Cook, Elizabeth/0000-0002-1466-6802</t>
  </si>
  <si>
    <t>British Antarctic Survey Adaptations and Physiology Group under the BAS Polar Sciences for Planet Earth Programme; NERC (Natural Environment Research Council) algorithm studentship [NE/G523539/1]; SAMS (Scottish Association for Marine Science) Research Bursary; NERC [bas0100025] Funding Source: UKRI; Natural Environment Research Council [bas0100025] Funding Source: researchfish</t>
  </si>
  <si>
    <t>British Antarctic Survey Adaptations and Physiology Group under the BAS Polar Sciences for Planet Earth Programme; NERC (Natural Environment Research Council) algorithm studentship(UK Research &amp; Innovation (UKRI)Natural Environment Research Council (NERC)); SAMS (Scottish Association for Marine Science) Research Bursary; NERC(UK Research &amp; Innovation (UKRI)Natural Environment Research Council (NERC)); Natural Environment Research Council(UK Research &amp; Innovation (UKRI)Natural Environment Research Council (NERC))</t>
  </si>
  <si>
    <t>This project was partially financed by core funding to the British Antarctic Survey Adaptations and Physiology Group under the BAS Polar Sciences for Planet Earth Programme; a NERC (Natural Environment Research Council) algorithm studentship (NE/G523539/1) and a SAMS (Scottish Association for Marine Science) Research Bursary. The authors would like to thank CCAP for use of their facilities and Elizabeth Harper, Andrew J. Davies and Leonardo Yokoyama for their comments on this manuscript.</t>
  </si>
  <si>
    <t>APR 3</t>
  </si>
  <si>
    <t>10.1080/07924259.2013.875950</t>
  </si>
  <si>
    <t>AE7IE</t>
  </si>
  <si>
    <t>WOS:000334170000009</t>
  </si>
  <si>
    <t>Tranquilla, LAM; Montevecchi, WA; Fifield, DA; Hedd, A; Gaston, AJ; Robertson, GJ; Phillips, RA</t>
  </si>
  <si>
    <t>Tranquilla, Laura A. McFarlane; Montevecchi, William A.; Fifield, David A.; Hedd, April; Gaston, Anthony J.; Robertson, Gregory J.; Phillips, Richard A.</t>
  </si>
  <si>
    <t>Individual Winter Movement Strategies in Two Species of Murre ( Uria spp.) in the Northwest Atlantic</t>
  </si>
  <si>
    <t>TRANS-EQUATORIAL MIGRATION; HABITAT USE; PHENOTYPIC PLASTICITY; LAYING DATE; SEABIRD; TRACKING; OCEAN; DIET; REPEATABILITIES; DECISIONS</t>
  </si>
  <si>
    <t>Individual wintering strategies and patterns of winter site fidelity in successive years are highly variable among seabird species. Yet, an understanding of consistency in timing of movements and the degree of site fidelity is essential for assessing how seabird populations might be influenced by, and respond to, changing conditions on wintering grounds. To explore annual variation in migratory movements and wintering areas, we applied bird-borne geolocators on Thick-billed Murres (Uria lomvia, n = 19) and Common Murres (U. aalge, n = 20) from 5 colonies in the Northwest Atlantic for 2-4 consecutive years. Thick-billed Murres ranged widely and among-individual wintering strategies were highly variable, whereas most Common Murres wintered relatively near their colonies, with among-individual variation represented more by the relative use of inshore vs. offshore habitat. Within individuals, some aspects of the wintering strategy were more repeatable than others: colony arrival and departure dates were more consistent by individual Common than Thick-billed Murres, while the sizes of home ranges (95% utilization distributions) and distances travelled to wintering area were more repeatable for both species. In consecutive years, individual home ranges overlapped from 0- 64% (Thick-billed Murres) and 0-95% (Common Murres); and the winter centroids were just 239 km and 169 km apart (respectively). Over the 3-4 year timescale of our study, individuals employed either fixed or flexible wintering strategies; although most birds showed high winter site fidelity, some shifted core ranges after 2 or 3 years. The capacity among seabird species for a combination of fidelity and flexibility, in which individuals may choose from a range of alternative strategies, deserves further, longer term attention.</t>
  </si>
  <si>
    <t>[Tranquilla, Laura A. McFarlane; Montevecchi, William A.; Fifield, David A.; Hedd, April] Mem Univ Newfoundland, Dept Psychol, St John, NF, Canada; [Gaston, Anthony J.] Carleton Univ, Natl Wildlife Res Ctr, Environm Canada, Ottawa, ON K1S 5B6, Canada; [Robertson, Gregory J.] Environm Canada, Wildlife Res Div, Mt Pearl, NF, Canada; [Phillips, Richard A.] British Antarctic Survey, NERC, Cambridge CB3 0ET, England</t>
  </si>
  <si>
    <t>Memorial University Newfoundland; Environment &amp; Climate Change Canada; Canadian Wildlife Service; National Wildlife Research Centre - Canada; Carleton University; Environment &amp; Climate Change Canada; Canadian Wildlife Service; Wildlife Research Division - Environment Canada; UK Research &amp; Innovation (UKRI); Natural Environment Research Council (NERC); NERC British Antarctic Survey</t>
  </si>
  <si>
    <t>Tranquilla, LAM (corresponding author), Mem Univ Newfoundland, Dept Psychol, St John, NF, Canada.</t>
  </si>
  <si>
    <t>lat@alumni.sfu.ca</t>
  </si>
  <si>
    <t>Robertson, Greg/AAI-5849-2020</t>
  </si>
  <si>
    <t>Robertson, Greg/0000-0001-8452-5506; Hedd, April/0000-0003-2222-2627</t>
  </si>
  <si>
    <t>National Sciences and Engineering Research Council (NSERC); Wildlife Habitat Canada and Bird Studies Canada Murre Fund of Newfoundland and Labrador; Government of Canada's International Polar Year; Northern Scientific Training Programs; Polar Continental Shelf Project of Natural Resources Canada; NSERC PGS-D Scholarship; Environment Canada; NERC [bas0100025] Funding Source: UKRI; Natural Environment Research Council [bas0100025] Funding Source: researchfish</t>
  </si>
  <si>
    <t>National Sciences and Engineering Research Council (NSERC)(Natural Sciences and Engineering Research Council of Canada (NSERC)); Wildlife Habitat Canada and Bird Studies Canada Murre Fund of Newfoundland and Labrador; Government of Canada's International Polar Year; Northern Scientific Training Programs; Polar Continental Shelf Project of Natural Resources Canada; NSERC PGS-D Scholarship(Natural Sciences and Engineering Research Council of Canada (NSERC)); Environment Canada(CGIAR); NERC(UK Research &amp; Innovation (UKRI)Natural Environment Research Council (NERC)); Natural Environment Research Council(UK Research &amp; Innovation (UKRI)Natural Environment Research Council (NERC))</t>
  </si>
  <si>
    <t>This research was funded by a National Sciences and Engineering Research Council (NSERC) Discovery Grant (WAM); the Wildlife Habitat Canada and Bird Studies Canada Murre Fund of Newfoundland and Labrador (WAM); the Government of Canada's International Polar Year (WAM, AJG) and Northern Scientific Training Programs (LMT), the Polar Continental Shelf Project of Natural Resources Canada (AJG), an NSERC PGS-D Scholarship (LMT) and by logistical and financial support from Environment Canada. The funders had no role in study design, data collection and analysis, decision to publish, or preparation of the manuscript.</t>
  </si>
  <si>
    <t>APR 2</t>
  </si>
  <si>
    <t>e90583</t>
  </si>
  <si>
    <t>10.1371/journal.pone.0090583</t>
  </si>
  <si>
    <t>AE6LC</t>
  </si>
  <si>
    <t>Green Submitted, gold, Green Published, Green Accepted</t>
  </si>
  <si>
    <t>WOS:000334103000009</t>
  </si>
  <si>
    <t>Przybyla, C; Fievet, J; Callier, M; Blancheton, JP</t>
  </si>
  <si>
    <t>Przybyla, Cyrille; Fievet, Julie; Callier, Myriam; Blancheton, Jean-Paul</t>
  </si>
  <si>
    <t>Effect of dietary water content on European sea bass (Dicentrarchus labrax) growth and disease resistance</t>
  </si>
  <si>
    <t>AQUATIC LIVING RESOURCES</t>
  </si>
  <si>
    <t>Fish aquaculture; Dietary moisture content; Feed pellets; Fish growth; Immunity; Dicentrarchus labrax; Vibrio anguillarum</t>
  </si>
  <si>
    <t>RAINBOW-TROUT; VIBRIO-ANGUILLARUM; BODY-COMPOSITION; FOOD CONVERSION; JUVENILE TURBOT; MARINE TELEOST; FISH; DRY; BACTERIA; MOIST</t>
  </si>
  <si>
    <t>The effect of dietary water content on Dicentrarchus labrax growth parameters and resistance to Vibrio anguillarum infection was investigated using commercial pellets with identical energy contents and different moisture levels. The first experiment hypothesis was that moisturizing pelleted ration can have an impact on Dicentrarchus labrax growth performance by the osmoregulation energy cost reduction. In a second time, the experiment explores the effect of water addition in pellets on the fish resistance to a disease. A specific device was built to uniformly moisturize dry pellets to different moisture levels, i.e. 8%, 20%, 40% and 60%. After an acclimation period and a 54-day rearing period, the control fish had grown from 72.7 +/- 17.9 g to 133.3 +/- 29.4 g. No significant differences were recorded for fish growth parameters. After the growth period, the tagged fish were mixed and challenged by bath exposure to live Vibrio anguillarum in triplicate. After 7 days, mortality was significantly lower in the group of fish fed with pellets containing 60% water. Adding water to Dicentrarchus labrax feed did not affect fish growth parameters but increase its resistance to a Vibrio anguillarum infection. The moisturizing process could be used to add specific compounds (such as probiotics or vitamins) to pellets just before fish feeding and could have a positive effect on fish rearing.</t>
  </si>
  <si>
    <t>[Przybyla, Cyrille; Callier, Myriam; Blancheton, Jean-Paul] IFREMER, Unite Biol Organismes Marins Exploites, UMR Ecosym 5119, Chemin Maguelone, F-34250 Palavas Les Flots, France; [Fievet, Julie] IFREMER, Ctr Pacifique, Unite Ressources Marines Polynesie Francaise, Taravao, Tahiti, France</t>
  </si>
  <si>
    <t>Ifremer; Ifremer</t>
  </si>
  <si>
    <t>Przybyla, C (corresponding author), IFREMER, Unite Biol Organismes Marins Exploites, UMR Ecosym 5119, Chemin Maguelone, F-34250 Palavas Les Flots, France.</t>
  </si>
  <si>
    <t>cyrille.przybyla@ifremer.fr</t>
  </si>
  <si>
    <t>PRZYBYLA, Cyrille/0000-0001-8093-8426; CALLIER, Myriam/0000-0002-2778-5720</t>
  </si>
  <si>
    <t>ERG</t>
  </si>
  <si>
    <t>This study was carried out with grants from ERG Aquafood. The author is grateful to the Palavas les Flots IFREMER team, in particular M.J. Debos for the library research and B. Rollin, B. Devogue and S. Triplet for their continued technical assistance. The Ifremer station in Montpellier was also of great assistance for the pathogenic agent cultivation, especially A. Vergnes. Thanks to the Imares Research Institute in Netherlands, particularly to O. Schneider, J. Vanderheul, E. Schram, J. Kars for their opinions and fruitful exchanges and H. Zeedijk for the administrative management. The author pays tribute to Dr. Luigi Michaud friend and Italian scientist from the University of Messina who died in January 2014 in the Newfoundland Bay (Antarctic) in the performance of his duties during a scientific mission.</t>
  </si>
  <si>
    <t>0990-7440</t>
  </si>
  <si>
    <t>1765-2952</t>
  </si>
  <si>
    <t>AQUAT LIVING RESOUR</t>
  </si>
  <si>
    <t>Aquat. Living Resour.</t>
  </si>
  <si>
    <t>APR</t>
  </si>
  <si>
    <t>10.1051/alr/2014007</t>
  </si>
  <si>
    <t>AW6CD</t>
  </si>
  <si>
    <t>WOS:000346356100003</t>
  </si>
  <si>
    <t>Acuña-Rodríguez, IS; Oses, R; Cortés-Vasquez, J; Torres-Díaz, C; Molina-Montenegro, MA</t>
  </si>
  <si>
    <t>Acuna-Rodriguez, Ian S.; Oses, Romulo; Cortes-Vasquez, Jorge; Torres-Diaz, Cristian; Molina-Montenegro, Marco A.</t>
  </si>
  <si>
    <t>Genetic diversity of Colobanthus quitensis across the Drake Passage</t>
  </si>
  <si>
    <t>PLANT GENETIC RESOURCES-CHARACTERIZATION AND UTILIZATION</t>
  </si>
  <si>
    <t>AFLP; Antarctic vascular plants; Colobanthus quitensis; genetic diversity</t>
  </si>
  <si>
    <t>DESCHAMPSIA-ANTARCTICA DESV.; POPULATIONS; ISLANDS</t>
  </si>
  <si>
    <t>The Drake Passage arises as a likely route for gene flow into Antarctica, as it is the shortest path between this continent and the rest of the world. Despite this, long-distance dispersion into Antarctica could be particularly complex for terrestrial biota. To compare the levels of genetic diversity between Antarctic and South American populations of the Antarctic pearlwort, Colobanthus quitensis, we conducted the first estimation of genetic diversity in this species using amplified fragment length polymorphism. Four populations across the Drake Passage were selected and their genetic composition was characterized. Differences among the levels of genetic diversity were found between the populations analysed as well as between their allelic identities. However, interestingly, their spatial distribution across the Drake Passage suggests a north-to-south gradient of increasing genetic diversity.</t>
  </si>
  <si>
    <t>[Acuna-Rodriguez, Ian S.; Oses, Romulo; Molina-Montenegro, Marco A.] Univ Catolica Norte, Fac Ciencias Mar, CEAZA, Coquimbo, Chile; [Acuna-Rodriguez, Ian S.] Univ La Serena, Dept Biol, La Serena, Chile; [Cortes-Vasquez, Jorge; Torres-Diaz, Cristian] Univ Bio Bio, Dept Ciencias Basicas, Lab Genom &amp; Biodiversidad, Chillan, Chile</t>
  </si>
  <si>
    <t>Universidad Catolica del Norte; Universidad de La Serena; Universidad del Bio-Bio</t>
  </si>
  <si>
    <t>Acuña-Rodríguez, IS (corresponding author), Univ Catolica Norte, Fac Ciencias Mar, CEAZA, Coquimbo, Chile.</t>
  </si>
  <si>
    <t>ian.acuna@ceaza.cl</t>
  </si>
  <si>
    <t>Torres Diaz, Cristian/0000-0002-5741-5288; Molina-Montenegro, Marco/0000-0001-6801-8942; Oses-Pedraza, Romulo/0000-0003-2310-3339</t>
  </si>
  <si>
    <t>Chilean Antarctic Institute (INACH) [INACH T-14-08]</t>
  </si>
  <si>
    <t>Chilean Antarctic Institute (INACH)</t>
  </si>
  <si>
    <t>This work was funded by the INACH T-14-08 project of the Chilean Antarctic Institute (INACH). We thank INACH, the Chilean Navy and the Arctowski Polish Antarctic Station for their logistical support. We also thank K.J. Chwedorzewska and one anonymous reviewer for their valuable comments. The corresponding author thanks Arturo Restrepo for his opportune assistance.</t>
  </si>
  <si>
    <t>1479-2621</t>
  </si>
  <si>
    <t>1479-263X</t>
  </si>
  <si>
    <t>PLANT GENET RESOUR-C</t>
  </si>
  <si>
    <t>Plant Genet. Resour.-Charact. Util.</t>
  </si>
  <si>
    <t>10.1017/S1479262113000270</t>
  </si>
  <si>
    <t>Plant Sciences; Genetics &amp; Heredity</t>
  </si>
  <si>
    <t>AQ3CJ</t>
  </si>
  <si>
    <t>WOS:000342666200017</t>
  </si>
  <si>
    <t>Tikhonenkov, D</t>
  </si>
  <si>
    <t>Tikhonenkov, Denis</t>
  </si>
  <si>
    <t>Species diversity and changes of communities of heterotrophic flagellates (protista) in response to glacial melt in King George Island, the South Shetland Islands, Antarctica</t>
  </si>
  <si>
    <t>abundance and biomass; climate change; glacier melting; marine plankton; species structure</t>
  </si>
  <si>
    <t>WEDDELL SEA; ABUNDANCE; MARINE; HELIOZOA; BIOMASS; AMEBAS; WATERS; SEDIMENTS; WEST; SIZE</t>
  </si>
  <si>
    <t>Glacial melt has a great influence on biological communities of the Antarctic Peninsula. Annual changes in heterotrophic flagellates from March 2008-March 2009 and effects of glacial melting on heterotrophic flagellates from December 2008-March 2009 were studied within the coastal zone of King George Island. The maximum abundance and biomass occurred in November and December (950.6-1236.2 individuals ml(-1); 0.02-0.035 mu g C ml(-1)), and the minimum in May and June (419.8-456.8 individuals ml(-1); 0.018-0.019 mu g C ml(-1)). Forty-five species were identified. The diversity of choanoflagellates, euglenids, bicosoecids, kinetoplastids and incertae sedis flagellates was greatest. Glacial melt between December and April resulted in the freshening of the surface water at the Collins Bay, giving rise to a vertical gradient of salinity (from 26 parts per thousand at the surface to 34 parts per thousand at the near-bottom layer). The trophic, size and species structure of the heterotrophic flagellates was simplified due to freshening of the surface waters. Eurybiontic and cosmopolitan species were significantly enriched in the freshened surface layer, with prevalence of small-sized mobile bacterio-detritovorous forms. The simplification of structure of the assemblage of heterotrophic flagellates can affect the stability of biological communities.</t>
  </si>
  <si>
    <t>[Tikhonenkov, Denis] Russian Acad Sci, Inst Biol Inland Waters, Borok 152742, Russia; [Tikhonenkov, Denis] Univ British Columbia, Canadian Inst Adv Res, Vancouver, BC V6T 1Z4, Canada</t>
  </si>
  <si>
    <t>Russian Academy of Sciences; Papanin Institute for Biology of Inland Waters; University of British Columbia; Canadian Institute for Advanced Research (CIFAR)</t>
  </si>
  <si>
    <t>Tikhonenkov, D (corresponding author), Russian Acad Sci, Inst Biol Inland Waters, Borok 152742, Russia.</t>
  </si>
  <si>
    <t>tikho-denis@yandex.ru</t>
  </si>
  <si>
    <t>Tikhonenkov, Denis/E-9449-2014; Tikhonenkov, Denis/ABA-4225-2020</t>
  </si>
  <si>
    <t>Tikhonenkov, Denis/0000-0002-4882-2148;</t>
  </si>
  <si>
    <t>Russian Foundation for Basic Research [11-04-00084-a, 11-04-00077-a, 12-04-33067-mol_a_ved]</t>
  </si>
  <si>
    <t>The author would like to thank Nikolay Usov (Zoological Institute RAS) for consultations on different aspects of this study, as well as the chief of Bellingshausen Station Alexander Orup and the mechanic-driver Alexander Solov'ev for the invaluable help in organisation of investigations. The author is grateful to Kevin Wakeman, Andrei Tsyganov and Yana Eglit for language clarification. This study was supported by the Russian Foundation for Basic Research (grant numbers 11-04-00084-a, 11-04-00077-a and 12-04-33067-mol_a_ved). The constructive comments of the reviewers are gratefully acknowledged.</t>
  </si>
  <si>
    <t>10.1017/S0954102013000448</t>
  </si>
  <si>
    <t>AL8GH</t>
  </si>
  <si>
    <t>WOS:000339375600004</t>
  </si>
  <si>
    <t>Cuthbert, RJ; Cooper, J; Ryan, PG</t>
  </si>
  <si>
    <t>Cuthbert, Richard J.; Cooper, John; Ryan, Peter G.</t>
  </si>
  <si>
    <t>Population trends and breeding success of albatrosses and giant petrels at Gough Island in the face of at-sea and on-land threats</t>
  </si>
  <si>
    <t>conservation; demography; fisheries bycatch; house mouse; predation; Tristan da Cunha</t>
  </si>
  <si>
    <t>LONGLINE FISHERY; DIOMEDEA-EXULANS; INDIAN-OCEAN; MICE; CONSERVATION; IMPACT; DEMOGRAPHY; PREDATION; MORTALITY; DYNAMICS</t>
  </si>
  <si>
    <t>Several factors threaten populations of albatrosses and giant petrels, including the impact of fisheries bycatch and, at some colonies, predation from introduced mammals. We undertook population monitoring on Gough Island of three albatross species (Tristan albatross Diomedea dabbenena L., sooty albatross Phoebetria fusca Hilsenberg, Atlantic yellow-nosed albatross Thalassarche chlororhynchos Gmelin) and southern giant petrels Macronectes giganteus (Gmelin). Over the study period, numbers of the Critically Endangered Tristan albatross decreased at 3.0% a year. Breeding success for this species was low (23%), and in eight count areas was correlated (r(2) = 0.808) with rates of population decline, demonstrating chick predation by house mice Mus musculus L. is driving site-specific trends and an overall decline. Numbers of southern giant petrels were stable, contrasting with large increases in this small population since 1979. Significant population declines were not detected for either the Atlantic yellow-nosed or sooty albatross, however, caution should be applied to these results due to the small proportion of the population monitored (sooty albatross) and significant interannual variation in numbers. These trends confirm the Critically Endangered status of the Tristan albatross but further information, including a more accurate estimate of sooty albatross population size, is required before determining island wide and global population trends of the remaining species.</t>
  </si>
  <si>
    <t>[Cuthbert, Richard J.] Royal Soc Protect Birds, Sandy SG19 2DL, Beds, England; [Cooper, John] Univ Stellenbosch, Fac Sci, DST NRF Ctr Excellence Invas Biol, ZA-7602 Matieland, South Africa; [Ryan, Peter G.] Univ Cape Town, DST NRF Ctr Excellence, Percy FitzPatrick Inst, ZA-7701 Rondebosch, South Africa</t>
  </si>
  <si>
    <t>Royal Society for Protection of Birds; Stellenbosch University; National Research Foundation - South Africa; National Research Foundation - South Africa; University of Cape Town</t>
  </si>
  <si>
    <t>Cuthbert, RJ (corresponding author), Royal Soc Protect Birds, Sandy SG19 2DL, Beds, England.</t>
  </si>
  <si>
    <t>richard_cuthbert@yahoo.co.uk</t>
  </si>
  <si>
    <t>UK Foreign and Commonwealth Office; UK Government's Overseas Territories Environment Programme (OTEP); RSPB; Agreement on the Conservation of Albatrosses and Petrels; Royal Naval Birdwatching Society</t>
  </si>
  <si>
    <t>We thank Andrea Angel, Karen Bourgeois, Marie-Helene Burle, Ross Cowlin, Sylvain Dromzee, Henk Louw, Jeroen Lurling, Nic le Maitre, Graham Parker, Kalinka Rexer-Huber, Erica Sommer, Paul Visser, Ross Wanless and Johnny Wilson for undertaking monitoring over the year on Gough Island, with volunteer support from numerous members of the South African meteorological teams over the last decade. James Glass, Norman Glass, Trevor Glass, Warren Glass, Patrick Green and Julian Repetto from Tristan da Cunha and Marienne de Villiers, Bruce Dyer, Justin Fiske, Andre Fourie, Richard Halsey, Norman Ratcliffe, Brian Schultz and Richard White assisted with counts during annual visits. Geoff Hilton is thanked for his involvement in establishing this programme. Thanks are due to Anton Wolfaardt and Rob Crawford, and to an anonymous reviewer, for helpful comments that improved this manuscript. Permission to undertake the work was given by the Tristan Conservation Department. Logistical support was provided by the South African Department of Environmental Affairs, through the South African National Antarctic Programme (SANAP), the University of Cape Town and the Royal Society for the Protection of Birds (RSPB). Long-term monitoring on Gough Island was established with a grant from the UK Foreign and Commonwealth Office with further support over the years from the UK Government's Overseas Territories Environment Programme (OTEP), the RSPB, the Agreement on the Conservation of Albatrosses and Petrels and the Royal Naval Birdwatching Society.</t>
  </si>
  <si>
    <t>10.1017/S0954102013000424</t>
  </si>
  <si>
    <t>WOS:000339375600007</t>
  </si>
  <si>
    <t>Adams, CJ; Bradshaw, JD; Ireland, TR</t>
  </si>
  <si>
    <t>Adams, C. J.; Bradshaw, J. D.; Ireland, T. R.</t>
  </si>
  <si>
    <t>Provenance connections between late Neoproterozoic and early Palaeozoic sedimentary basins of the Ross Sea region, Antarctica, south-east Australia and southern Zealandia</t>
  </si>
  <si>
    <t>detrital zircon geochronology; Marie Byrd Land; New Zealand; northern Victoria Land; provenance studies; Tasmania</t>
  </si>
  <si>
    <t>DETRITAL-ZIRCON AGES; SILICICLASTIC ROCKS; GONDWANA MARGIN; GEOCHRONOLOGY; GEOCHEMISTRY; METAMORPHISM; CONSTRAINTS; SUBDUCTION; GREENLAND; TERRANES</t>
  </si>
  <si>
    <t>Thick successions of turbidites are widespread in the Ross-Delamerian and Lachlan orogens and are now dispersed through Australia, Antarctica and New Zealand. U-Pb detrital zircon age patterns for latest Precambrian, Cambrian and Ordovician metagreywackes show a closely related provenance. The latest Neoproterozoic-early Palaeozoic sedimentary rocks have major components, at c. 525, 550, and 595 Ma, i.e. about 40-80 million years older than deposition. Zircons in these components increase from the Neoproterozoic to Ordovician. Late Mesoproterozoic age components, 1030 and 1070 Ma, probably originate from igneous/metamorphic rocks in the Gondwanaland hinterland whose exact locations are unknown. Although small, the youngest zircon age components are coincident with estimated depositional ages suggesting that they reflect contemporaneous and minor, volcanic sources. Overall, the detrital zircon provenance patterns reflect the development of plutonic/metamorphic complexes of the Ross-Delamerian Orogen in the Transantarctic Mountains and southern Australia that, upon exhumation, supplied sediment to regional scale basin(s) at the Gondwana margin. Tasmanian detrital zircon age patterns differ from those seen in intra-Ross Orogen sandstones of northern Victoria Land and from the oldest metasediments in the Transantarctic Mountains. A comparison with rocks from the latter supports an allochthonous western Tasmania model and amalgamation with Australia in late Cambrian time.</t>
  </si>
  <si>
    <t>[Adams, C. J.] GNS Sci, Dunedin 9054, New Zealand; [Bradshaw, J. D.] Univ Canterbury, Dept Earth Sci, Christchurch 1, New Zealand; [Ireland, T. R.] Australian Natl Univ, Res Sch Earth Sci, Canberra, ACT 0200, Australia</t>
  </si>
  <si>
    <t>GNS Science - New Zealand; Australian National University</t>
  </si>
  <si>
    <t>Adams, CJ (corresponding author), GNS Sci, Private Bag 1930, Dunedin 9054, New Zealand.</t>
  </si>
  <si>
    <t>argon@gns.cri.nz</t>
  </si>
  <si>
    <t>Ireland, Trevor R./GSJ-1884-2022; Ireland, Trevor R/A-4993-2008</t>
  </si>
  <si>
    <t>Ireland, Trevor R/0000-0001-7617-3889</t>
  </si>
  <si>
    <t>10.1017/S0954102013000461</t>
  </si>
  <si>
    <t>WOS:000339375600008</t>
  </si>
  <si>
    <t>Cassano, JJ</t>
  </si>
  <si>
    <t>Cassano, John J.</t>
  </si>
  <si>
    <t>Observations of atmospheric boundary layer temperature profiles with a small unmanned aerial vehicle</t>
  </si>
  <si>
    <t>Antarctica; atmosphere; climate; meteorology; remotely piloted aircraft (RPA); unmanned aerial systems (UAS)</t>
  </si>
  <si>
    <t>Small Unmanned Meteorological Observer (SUMO) unmanned aerial vehicles (UAVs) were used to observe atmospheric boundary layer temperature profiles in the vicinity of McMurdo Station, Antarctica during January and September 2012. The observations from four flight days are shown and exhibit a variety of boundary layer temperature profiles ranging from deep, well-mixed conditions to strong, shallow inversions. Repeat UAV profiles over short periods of time (tens of minutes to several hours) revealed rapid changes in boundary layer structure. The success of the SUMO flights described here demonstrates the potential for using small UAVs for Antarctic research.</t>
  </si>
  <si>
    <t>Univ Colorado, Cooperat Inst Res Environm Sci, Dept Atmospher &amp; Ocean Sci, Boulder, CO 80309 USA</t>
  </si>
  <si>
    <t>University of Colorado System; University of Colorado Boulder</t>
  </si>
  <si>
    <t>Cassano, JJ (corresponding author), Univ Colorado, Cooperat Inst Res Environm Sci, Dept Atmospher &amp; Ocean Sci, 216 UCB, Boulder, CO 80309 USA.</t>
  </si>
  <si>
    <t>CASSANO, JOHN/0000-0003-3176-3978</t>
  </si>
  <si>
    <t>US National Science Foundation [ANT-0943952, ANT-1043657]; Office of Polar Programs (OPP); Directorate For Geosciences [1043657] Funding Source: National Science Foundation; Office of Polar Programs (OPP); Directorate For Geosciences [0943952] Funding Source: National Science Foundation</t>
  </si>
  <si>
    <t>US National Science Foundation(National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</si>
  <si>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work was funded by US National Science Foundation grants ANT-0943952 and ANT-1043657. The author thanks Martin Muller and Christian Lindenberg for providing the SUMO UAVs and the training necessary to successfully operate these UAVs, Alice DuVivier, Shelley Knuth, and Lee Welhouse for their assistance in conducting the SUMO flights, Brad Herried of the University of Minnesota Polar Geospatial Center for providing the map in Fig. 3, and the many people affiliated with the United States Antarctic Program that provided the logistic support for this effort. The constructive comments of the reviewers are gratefully acknowledged.</t>
  </si>
  <si>
    <t>10.1017/S0954102013000539</t>
  </si>
  <si>
    <t>WOS:000339375600011</t>
  </si>
  <si>
    <t>Guglielmin, M; Fratte, MD; Cannone, N</t>
  </si>
  <si>
    <t>Guglielmin, Mauro; Fratte, Michele Dalle; Cannone, Nicoletta</t>
  </si>
  <si>
    <t>Permafrost warming and vegetation changes in continental Antarctica</t>
  </si>
  <si>
    <t>ENVIRONMENTAL RESEARCH LETTERS</t>
  </si>
  <si>
    <t>climate change; active layer; permafrost; vegetation; Antarctica; mosses; snow; ground water content; incoming radiation</t>
  </si>
  <si>
    <t>NORTHERN VICTORIA-LAND; TERRA-NOVA BAY; ICE-FREE AREAS; ACTIVE-LAYER; THERMAL REGIME; LATITUDINAL GRADIENT; VASCULAR PLANTS; CLIMATE-CHANGE; SIGNY ISLAND; KAR PLATEAU</t>
  </si>
  <si>
    <t>Continental Antarctica represents the last pristine environment on Earth and is one of the most suitable contexts to analyze the relations between climate, active layer and vegetation. In 2000 we started long-term monitoring of the climate, permafrost, active layer and vegetation in Victoria Land, continental Antarctica. Our data confirm the stability of mean annual and summer air temperature, of snow cover, and an increasing trend of summer incoming short wave radiation. The active layer thickness is increasing at a rate of 0 : 3 cm y(-1). The active layer is characterized by large annual and spatial differences. The latter are due to scarce vegetation, a patchy and very thin organic layer and large spatial differences in snow accumulation. The active layer thickening, probably due to the increase of incoming short wave radiation, produced a general decrease of the ground water content due to the better drainage of the ground. The resultant drying may be responsible for the decline of mosses in xeric sites, while it provided better conditions for mosses in hydric sites, following the species-specific water requirements. An increase of lichen vegetation was observed where the climate drying occurred. This evidence emphasizes that the Antarctic continent is experiencing changes that are in total contrast to the changes reported from maritime Antarctica.</t>
  </si>
  <si>
    <t>[Guglielmin, Mauro] Insubria Univ, Dept Theoret &amp; Appl Sci, I-21100 Varese, VA, Italy; [Fratte, Michele Dalle; Cannone, Nicoletta] Insubria Univ, Dept Theoret &amp; Appl Sci, I-22100 Como, CO, Italy</t>
  </si>
  <si>
    <t>University of Insubria; University of Insubria</t>
  </si>
  <si>
    <t>Guglielmin, M (corresponding author), Insubria Univ, Dept Theoret &amp; Appl Sci, Via J H Dunant 3, I-21100 Varese, VA, Italy.</t>
  </si>
  <si>
    <t>nicoletta.cannone@uninsubria.it</t>
  </si>
  <si>
    <t>Cannone, Nicoletta/W-8651-2019; Fratte, Michele Dalle/A-8918-2015</t>
  </si>
  <si>
    <t>Cannone, Nicoletta/0000-0002-3390-3965; Fratte, Michele Dalle/0000-0002-7907-1586</t>
  </si>
  <si>
    <t>We are very grateful to the PNRA (Progetto Nazionale Ricerche in Antartide) for funding and logistical support. This paper also contributes to the SCAR 'AnT-ERA' (Antarctic Thresholds- Ecosystem Resilience and Adaptation) and 'AntECO' (State of the Antarctic Ecosystem) programs. We thank Paolo Grigioni and the Meteo-Climatological Observatory of PNRA (www.climantartide.it) for supplying air temperature and solar radiation data at the AWS Eneide.</t>
  </si>
  <si>
    <t>1748-9326</t>
  </si>
  <si>
    <t>ENVIRON RES LETT</t>
  </si>
  <si>
    <t>Environ. Res. Lett.</t>
  </si>
  <si>
    <t>10.1088/1748-9326/9/4/045001</t>
  </si>
  <si>
    <t>AK9XD</t>
  </si>
  <si>
    <t>WOS:000338781000015</t>
  </si>
  <si>
    <t>Bindeman, IN; Serebryakov, NS; Schmitt, AK; Vazquez, JA; Guan, Y; Azimov, PY; Astafiev, BY; Palandri, J; Dobrzhinetskaya, L</t>
  </si>
  <si>
    <t>Bindeman, I. N.; Serebryakov, N. S.; Schmitt, A. K.; Vazquez, J. A.; Guan, Y.; Azimov, P. Ya.; Astafiev, B. Yu.; Palandri, J.; Dobrzhinetskaya, L.</t>
  </si>
  <si>
    <t>Field and microanalytical isotopic investigation of ultradepleted in 18O Paleoproterozoic Slushball Earth rocks from Karelia, Russia</t>
  </si>
  <si>
    <t>GEOSPHERE</t>
  </si>
  <si>
    <t>PB ZIRCON AGES; TI-IN-ZIRCON; U-PB; TRACE-ELEMENT; METAMORPHIC ROCKS; BALTIC SHIELD; BELOMORIAN BELT; FACIES METAMORPHISM; MAGMATIC PROCESSES; METASOMATIC ROCKS</t>
  </si>
  <si>
    <t>The 1.85 Ga Belomorian Belt, Karelia, Russia, hosts ultralow delta O-18 and delta D (as low as -27.3% and -235% standard mean ocean water [SMOW], respectively), high-Al gneisses and amphibolites that we attribute to the Paleoproterozoic Slushball Earth glaciation. They now occur in at least 11 localities spanning 450 km. To constrain distribution of O-18-depleted rocks, we performed detailed field mapping in Khitostrov, where delta O-18 values are the lowest. Using 430 new and previously published laser fluorination isotope analyses, we show that the elongated, concentrically zoned area of delta O-18 depletion is greater than 6 x 2 km in areal extent, similar to 10 times larger than previously thought. Relationships between delta O-17 versus delta O-18 strictly adhere to the equilibrium terrestrial mass-dependent fractionation with a slope of 0.527. We also report the results of ion microprobe U-Pb geochronology of zircons coupled with co-registered oxygen isotope spot analyses for mafic intrusions and host gneisses in six localities. The 2.9-2.7 Ga gneiss zircon cores are normal in delta O-18 (5%-7%). They show truncated oscillatory cathodoluminescence (CL) patterns and rounded shape indicative of original igneous crystallization with subsequent detrital overprinting. A younger 2.6-2.55 Ga metamorphic zircon domain with normal delta O-18, low Th/U, dark cathodoluminescence, and also with rounded crystal morphology is commonly preserved. Cores are surrounded by ubiquitous rims highly depleted in delta O-18 (re-) crystallized with Svecofennian (1.85-1.89 Ga) ages. Rims are interpreted as metamorphic due to bright and uniform CL and Th/U &lt;0.05. Mafic intrusions preserve few igneous zircon crystals between ca. 2.23 and 2.4 Ga in age, but neoblastic zircon in these intrusions originated mostly during 1.85 Ga Svecofennian metamorphism. The delta O-18-age relationship for metamorphic rims in zircon and corundum grains suggests that delta O-18 values of fluids were subtly increasing with time during metamorphism. Large metamorphic corundum grains have similar to 3% intracrystalline delta O-18 isotope zonation from -24 to -21%, which likely developed during interaction with metamorphic fluids. The Zr-in-rutile geothermometer temperatures are in the range of 760 to 720 degrees C, in accordance with mineral assemblages and amphibolite metamorphic grade. High and irregular rare-earth element (REE) abundance in cores and rims of many zircons correlates with high phosphorus content and is explained by nanometer-scale xenotime and monazite inclusions, likely in metamict zones during 1.85 Ga Svecofennian metamorphism. A survey of oxygen isotopes in ultrahigh-pressure diamond and coesitebearing metamorphic terrains around the world reveals normal to high-delta O-18 values, suggesting that the low delta O-18 in metamorphic rocks of Dabie Shan, Kokchetav, and in Karelia, are genetically unrelated to metamorphism. We discuss alternative ways to achieve extreme delta O-18 depletion by kinetic, Rayleigh, and thermal diffusion processes, and by metamorphism. We prefer an interpretation where the low-delta O-18 and high-Al signature of the rocks predates metamorphism, and is caused by shallow hydrothermal alteration and partial dissolution of the protolith surrounding shallow mafic intrusions by glacial meltwaters during pan-global Paleoproterozoic Slushball Earth glaciations between ca. 2. 4 and ca. 2.23 Ga.</t>
  </si>
  <si>
    <t>[Bindeman, I. N.; Palandri, J.] Univ Oregon, Dept Geol Sci, Eugene, OR 97403 USA; [Serebryakov, N. S.] Russian Acad Sci, Inst Petrog Mineral &amp; Geol Ore Deposits IGEM, Moscow, Russia; [Schmitt, A. K.] Univ Calif Los Angeles, Dept Earth &amp; Space Sci, Los Angeles, CA 90095 USA; [Vazquez, J. A.] US Geol Survey, Menlo Pk, CA 94025 USA; [Guan, Y.] CALTECH, Div Geol &amp; Planetary Sci, Pasadena, CA 91125 USA; [Azimov, P. Ya.; Astafiev, B. Yu.] Russian Acad Sci, Inst Precambrian Geol &amp; Geochronol, St Petersburg 199034, Russia; [Dobrzhinetskaya, L.] Univ Calif Riverside, Dept Earth Sci, Riverside, CA 92521 USA</t>
  </si>
  <si>
    <t>University of Oregon; Russian Academy of Sciences; Institute of Geology of Ore Deposits, Petrography, Mineralogy &amp; Geochemistry; University of California System; University of California Los Angeles; United States Department of the Interior; United States Geological Survey; California Institute of Technology; Russian Academy of Sciences; Institute of Precambrian Geology &amp; Geochronology of the Russian Academy of Sciences; University of California System; University of California Riverside</t>
  </si>
  <si>
    <t>Bindeman, IN (corresponding author), Univ Oregon, Dept Geol Sci, Eugene, OR 97403 USA.</t>
  </si>
  <si>
    <t>Serebryakov, Nikolay Stanislavovich/N-3381-2013; Azimov, Pavel/A-9513-2019; Schmitt, Axel K/A-1279-2010; Bindeman, Ilya/D-2497-2012</t>
  </si>
  <si>
    <t>Serebryakov, Nikolay Stanislavovich/0000-0002-7392-623X; Bindeman, Ilya/0000-0003-2778-9083; Schmitt, Axel/0000-0002-9029-4211</t>
  </si>
  <si>
    <t>National Science Foundation [EAR-1049351, EAR-CAREER 0805972]; CAMECA [1270]; University of California, Los Angeles; Russian Foundation for Basic Research [12-05-00706a]; Division Of Earth Sciences; Directorate For Geosciences [1049351] Funding Source: National Science Foundation</t>
  </si>
  <si>
    <t>National Science Foundation(National Science Foundation (NSF)); CAMECA; University of California, Los Angeles(University of California System); Russian Foundation for Basic Research(Russian Foundation for Basic Research (RFBR)Spanish Government); Division Of Earth Sciences; Directorate For Geosciences(National Science Foundation (NSF)NSF - Directorate for Geosciences (GEO))</t>
  </si>
  <si>
    <t>We thank the National Science Foundation for funding of grants EAR-1049351 and EAR-CAREER 0805972; IF-EAR funding of the CAMECA 1270 ion microprobe facility; the University of California, Los Angeles; and the Russian Foundation for Basic Research for grant 12-05-00706a. We also thank Pavel Medvedev, Sergei Svetov, and Denis Korpechkov for help during fieldwork of 2011 and 2012, and Markus Walle for help with LA-ICP MS. V. Kulikov kindly supplied samples from Vetreny Belt, and Kurt Panter is thanked for collaboration on Antarctic secondary quartz. J. Eiler and Caltech Ion microprobe facility are thanked for hosting I. Bindeman during sabbatical, and Cliff Dax is thanked for electronics support. Associate Editor Aaron Cavosie and two anonymous reviewers are thanked for their careful reviews.</t>
  </si>
  <si>
    <t>1553-040X</t>
  </si>
  <si>
    <t>Geosphere</t>
  </si>
  <si>
    <t>10.1130/GES00952.1</t>
  </si>
  <si>
    <t>AK8AK</t>
  </si>
  <si>
    <t>WOS:000338649300008</t>
  </si>
  <si>
    <t>Dsouza, M; Taylor, MW; Ryan, J; MacKenzie, A; Lagutin, K; Anderson, RF; Turner, SJ; Aislabie, J</t>
  </si>
  <si>
    <t>Dsouza, Melissa; Taylor, Michael W.; Ryan, Jason; MacKenzie, Andrew; Lagutin, Kirill; Anderson, Robert F.; Turner, Susan J.; Aislabie, Jackie</t>
  </si>
  <si>
    <t>Paenibacillus darwinianus sp nova, isolated from gamma-irradiated Antarctic soil</t>
  </si>
  <si>
    <t>FATTY-ACIDS; GEN. NOV.; BACTERIA; PSYCHROTOLERANT; TEMPERATURE; RESISTANT</t>
  </si>
  <si>
    <t>A novel bacterium, strain Br-T, was isolated from gamma-irradiated soils of the Britannia drift, Lake Wellman Region, Antarctica. This isolate was rod-shaped, endospore forming, Gram-stain-variable, catalase-positive, oxidase-negative and strictly aerobic. Cells possessed a monotrichous flagellum. Optimal growth was observed at 18 degrees C, pH 7.0 in PYGV or R2A broth. The major cellular fatty acid was anteiso-C-15:0 (63.4%). Primary identified lipids included phosphatidylethanolamine, diphosphatidylglycerol and phosphatidylglycerol. Total phospholipid was 60% (w/w) of the total lipid extract. MK-7 was the dominant isoprenoid quinone. The genomic DNA G+C content was 55.6 mol%. Based on 16S rRNA gene sequence similarity, strain Br-T clusters within the genus Paenibacillus with similarity values ranging from 93.9 to 95.1%. Phylogenetic analyses by maximum-likelihood, maximum-parsimony and neighbour-joining methods revealed that strain Br-T clusters with Paenibacillus daejeonensis (AF200016), Paenibacillus tarimensis (EF125184) and Paenibacillus pinihumi (GQ423057), albeit with weak bootstrap support. On the basis of phenotypic, chemotaxonomic and phylogenetic characteristics, we propose that strain Br-T represents a novel species, Paenibacillus darwinianus sp. nov. The type strain is Br-T (=DSM 27245(T)=ICMP 19912(T)).</t>
  </si>
  <si>
    <t>[Dsouza, Melissa; Taylor, Michael W.; Turner, Susan J.] Univ Auckland, Sch Biol Sci, Ctr Microbial Innovat, Auckland 1142, New Zealand; [Ryan, Jason; MacKenzie, Andrew; Lagutin, Kirill] Callaghan Innovat Ltd, Lower Hutt 5040, New Zealand; [Anderson, Robert F.] Univ Auckland, Sch Chem Sci, Auckland 1142, New Zealand; [Turner, Susan J.] BioDiscovery New Zealand Ltd, Auckland, New Zealand; [Aislabie, Jackie] Landcare Res, Hamilton, New Zealand</t>
  </si>
  <si>
    <t>University of Auckland; Callaghan Innovation; University of Auckland; Landcare Research - New Zealand</t>
  </si>
  <si>
    <t>Dsouza, M (corresponding author), Univ Auckland, Sch Biol Sci, Ctr Microbial Innovat, Private Bag 92019, Auckland 1142, New Zealand.</t>
  </si>
  <si>
    <t>melissa33in@gmail.com</t>
  </si>
  <si>
    <t>Lagutin, Kirill/0000-0001-5276-844X; Taylor, Michael/0000-0002-0463-7813</t>
  </si>
  <si>
    <t>10.1099/ijs.0.056697-0</t>
  </si>
  <si>
    <t>AJ8CT</t>
  </si>
  <si>
    <t>WOS:000337931000051</t>
  </si>
  <si>
    <t>Lin, SC</t>
  </si>
  <si>
    <t>Lin, Shu-Chuan</t>
  </si>
  <si>
    <t>Three-dimensional mantle circulations and lateral slab deformation in the southern Chilean subduction zone</t>
  </si>
  <si>
    <t>TRENCH-PARALLEL FLOW; OCEAN-RIDGE BASALTS; SEISMIC ANISOTROPY; PLATE MOTIONS; NAZCA PLATE; BENEATH; LITHOSPHERE; CONSTRAINTS; DYNAMICS; MODEL</t>
  </si>
  <si>
    <t>The along-strike variation in plate properties is a common feature in the subduction zones. The southern Chilean subduction is a notable example where the slab age and length, and the thickness of the overriding plate, vary substantially in the trench-parallel direction. In this study the combined effects of these factors are examined using regional subduction zone models. In the models lateral slab deformation and along-arc pressure gradient in the mantle occur in response to the differential slab retrograde motion due to variations in slab buoyancy and slab strength. The lower portion of the deep segments acts as a slab edge in part, while rollback of the neighboring, shallower segments influences the toroidal motion induced by the adjacent deep segments. These factors together give rise to complex flow patterns and lead to a great extent of trench-parallel components in the mantle wedge and subslab mantle and significant upwelling in the back arc. Mantle circulations are characterized by variable length scales for both toroidal and poloidal motions extending over similar to 1500 km. Such three-dimensional circulations may lead to complicated patterns of seismic anisotropy. The upwelling may result in decompression melting to cause the extensive Patagonian plateau basalts. Our model results indicate that certain segments of the Antarctic slab reach at least 100 km depth. The trajectories of passive tracers show intricate patterns such as helical streamlines and suggest that a recent input from the adjacent subduction zone for slab-derived components of lavas from the Chilean Ridge cannot be ruled out.</t>
  </si>
  <si>
    <t>Acad Sinica, Inst Earth Sci, Taipei 115, Taiwan</t>
  </si>
  <si>
    <t>Academia Sinica - Taiwan</t>
  </si>
  <si>
    <t>Lin, SC (corresponding author), Acad Sinica, Inst Earth Sci, Taipei 115, Taiwan.</t>
  </si>
  <si>
    <t>sky@earth.sinica.edu.tw</t>
  </si>
  <si>
    <t>National Science Council, Taiwan, Republic of China [NSC 102-2116-M-001-001, NSC 102-2811-M-001-083]</t>
  </si>
  <si>
    <t>National Science Council, Taiwan, Republic of China(Ministry of Science and Technology, Taiwan)</t>
  </si>
  <si>
    <t>The author thanks Fabio A. Capitanio, Vlad C. Manea, and Margarete Jadamec for the thorough and constructive reviews that help to significantly improve the manuscript. The author thanks the Editor Michael Walter. The author is grateful to Sun-Lin Chung for the extensive discussions and the support, Ling-Yu Chiao for the detailed discussions on slab deformation, and Ban-Yuan Kuo for the discussions and the help. The author thanks Peter van Keken, Paul Tackley, Hana Cizkova, Laurent Husson, J. Huw Davies, Douglas Wien, Suzanne Kay, Eh Tan, Federic Dechamps, and Wen-Tzong Liang for discussions. This work is supported by National Science Council, Taiwan, Republic of China (grants NSC 102-2116-M-001-001 and NSC 102-2811-M-001-083).</t>
  </si>
  <si>
    <t>10.1002/2013JB010864</t>
  </si>
  <si>
    <t>AJ4ZG</t>
  </si>
  <si>
    <t>WOS:000337688600065</t>
  </si>
  <si>
    <t>Seton, M; Whittaker, JM; Wessel, P; Müller, RD; DeMets, C; Merkouriev, S; Cande, S; Gaina, C; Eagles, G; Granot, R; Stock, J; Wright, N; Williams, SE</t>
  </si>
  <si>
    <t>Seton, Maria; Whittaker, Joanne M.; Wessel, Paul; Mueller, R. Dietmar; DeMets, Charles; Merkouriev, Sergey; Cande, Steve; Gaina, Carmen; Eagles, Graeme; Granot, Roi; Stock, Joann; Wright, Nicky; Williams, Simon E.</t>
  </si>
  <si>
    <t>Community infrastructure and repository for marine magnetic identifications</t>
  </si>
  <si>
    <t>magnetic anomaly; marine; plate tectonics</t>
  </si>
  <si>
    <t>PACIFIC TECTONIC EVOLUTION; PLATE KINEMATICS; SOUTH-ATLANTIC; NORTH-AMERICA; 20 MA; SEA; FLOOR; ANOMALIES; MOTION; OCEAN</t>
  </si>
  <si>
    <t>Magnetic anomaly identifications underpin plate tectonic reconstructions and form the primary data set from which the age of the oceanic lithosphere and seafloor spreading regimes in the ocean basins can be determined. Although these identifications are an invaluable resource, their usefulness to the wider scientific community has been limited due to the lack of a central community infrastructure to organize, host, and update these interpretations. We have developed an open-source, community-driven online infrastructure as a repository for quality-checked magnetic anomaly identifications from all ocean basins. We provide a global sample data set that comprises 96,733 individually picked magnetic anomaly identifications organized by ocean basin and publication reference, and provide accompanying Hellinger-format files, where available. Our infrastructure is designed to facilitate research in plate tectonic reconstructions or research that relies on an assessment of plate reconstructions, for both experts and nonexperts alike. To further enhance the existing repository and strengthen its value, we encourage others in the community to contribute to this effort.</t>
  </si>
  <si>
    <t>[Seton, Maria; Mueller, R. Dietmar; Wright, Nicky; Williams, Simon E.] Univ Sydney, Sch Geosci, EarthByte Grp, Sydney, NSW 2006, Australia; [Whittaker, Joanne M.] Univ Tasmania, Inst Marine &amp; Antarctic Studies, Hobart, Tas, Australia; [Wessel, Paul] Univ Hawaii Manoa, SOEST, Honolulu, HI 96822 USA; [DeMets, Charles] Univ Wisconsin, Dept Geosci, Madison, WI USA; [Merkouriev, Sergey] Russian Acad Sci, Pushkov Inst Terr Magnetism, St Petersburg 196140, Russia; [Cande, Steve] Univ Calif San Diego, Scripps Inst Oceanog, La Jolla, CA 92093 USA; [Gaina, Carmen] Univ Oslo, Ctr Earth Evolut &amp; Dynam, Oslo, Norway; [Eagles, Graeme] Helmholtz Ctr Marine &amp; Polar Res, Alfred Wegener Inst, Bremerhaven, Germany; [Granot, Roi] Ben Gurion Univ Negev, Dept Geol &amp; Environm Sci, IL-84105 Beer Sheva, Israel; [Stock, Joann] CALTECH, Seismol Lab, Pasadena, CA 91125 USA</t>
  </si>
  <si>
    <t>University of Sydney; University of Tasmania; University of Hawaii System; University of Hawaii Manoa; University of Wisconsin System; University of Wisconsin Madison; Russian Academy of Sciences; University of California System; University of California San Diego; Scripps Institution of Oceanography; University of Oslo; Helmholtz Association; Alfred Wegener Institute, Helmholtz Centre for Polar &amp; Marine Research; Ben Gurion University; California Institute of Technology</t>
  </si>
  <si>
    <t>Seton, M (corresponding author), Univ Sydney, Sch Geosci, EarthByte Grp, Sydney, NSW 2006, Australia.</t>
  </si>
  <si>
    <t>maria.seton@sydney.edu.au</t>
  </si>
  <si>
    <t>Seton, Maria/H-8272-2013; Müller, Dietmar/L-1200-2019; Gaina, Carmen/I-5213-2015; Stock, Joann Miriam/AAN-1526-2021; Granot, Roi/F-4555-2012; Merkuryev, Sergey/K-1202-2015; Whittaker, Joanne/B-3695-2010</t>
  </si>
  <si>
    <t>Seton, Maria/0000-0001-8541-1367; Müller, Dietmar/0000-0002-3334-5764; Gaina, Carmen/0000-0001-5533-8103; Stock, Joann Miriam/0000-0003-4816-7865; Merkuryev, Sergey/0000-0002-1520-110X; Williams, Simon/0000-0003-4670-8883; Wright, Nicky/0000-0002-5600-3193; Granot, Roi/0000-0001-5366-188X; Whittaker, Joanne/0000-0002-3170-3935; Eagles, Graeme/0000-0001-5325-0810</t>
  </si>
  <si>
    <t>Statoil; Australian Research Council (ARC) [DP0987713]; ARC [FL0992245]; US National Science Foundation [OCE-0752543]; Geological Survey of Canada; Geological Survey of Norway; Science and Industry Endowment Fund; Research Council of Norway through its Centres of Excellence [223272]; Division Of Ocean Sciences; Directorate For Geosciences [1434069] Funding Source: National Science Foundation</t>
  </si>
  <si>
    <t>Statoil; Australian Research Council (ARC)(Australian Research Council); ARC(Australian Research Council); US National Science Foundation(National Science Foundation (NSF)); Geological Survey of Canada(Natural Resources Canada); Geological Survey of Norway; Science and Industry Endowment Fund; Research Council of Norway through its Centres of Excellence(Research Council of Norway); Division Of Ocean Sciences; Directorate For Geosciences(National Science Foundation (NSF)NSF - Directorate for Geosciences (GEO))</t>
  </si>
  <si>
    <t>We would like to extend thanks to the many researchers who have directly or indirectly contributed magnetic anomaly identifications to the wider community and the NGDC for hosting the marine magnetic anomaly data sets. MS and JMW would like to thank support from Statoil, MS for support from Australian Research Council (ARC) grant DP0987713, RDM and SEW for support from ARC grant FL0992245, and PW for support from US National Science Foundation grant OCE-0752543. CG acknowledges the Geological Survey of Canada and Geological Survey of Norway for their support and access to digital magnetic databases. This research is supported by the Science and Industry Endowment Fund and also partly supported by the Research Council of Norway through its Centres of Excellence funding scheme, project number 223272.</t>
  </si>
  <si>
    <t>10.1002/2013GC005176</t>
  </si>
  <si>
    <t>AH9VR</t>
  </si>
  <si>
    <t>WOS:000336493400048</t>
  </si>
  <si>
    <t>Winton, VHL; Dunbar, GB; Bertler, NAN; Millet, MA; Delmonte, B; Atkins, CB; Chewings, JM; Andersson, P</t>
  </si>
  <si>
    <t>Winton, V. H. L.; Dunbar, G. B.; Bertler, N. A. N.; Millet, M. -A.; Delmonte, B.; Atkins, C. B.; Chewings, J. M.; Andersson, P.</t>
  </si>
  <si>
    <t>The contribution of aeolian sand and dust to iron fertilization of phytoplankton blooms in southwestern Ross Sea, Antarctica</t>
  </si>
  <si>
    <t>iron solubility; Ross Sea; dust; dissolved iron; phytoplankton; Antarctica</t>
  </si>
  <si>
    <t>OCEAN BIOLOGICAL RESPONSE; SOUTHERN-OCEAN; EAST ANTARCTICA; ICE CORE; CIRCUMPOLAR CURRENT; VICTORIA-LAND; DOME-C; DISSOLVED IRON; TRACE-METALS; WEDDELL SEA</t>
  </si>
  <si>
    <t>Iron is a limiting micronutrient for primary production in the Ross Sea, Antarctica. Recent observations reveal low dissolved Fe (dFe) concentrations in the Ross Sea polynya following high initial rates of primary production in summer, after the dFe winter reserve has been consumed. Significant new sources of dFe are therefore required to further sustain phytoplankton blooms. Iron from aeolian sand and dust (ASD) released from melting sea ice is one potential source. To constrain aeolian Fe inputs, we determined ASD mass accumulation rates and the total and soluble Fe content of ASD on sea ice in McMurdo Sound, southwestern (SW) Ross Sea. The mean mass accumulation rate was similar to 1.5gm(-2)yr(-1), total Fe content of this ASD was 41 wt %, and the percentage of soluble Fe was 111%. Our mean estimate of the bulk aeolian dFe flux of 122.1 mu molm(-2)yr(-1) for the McMurdo Sound region suggests that aeolian Fe can support between 9.0x10(9) and 4.1x10(11)mol C yr(-1) (0.1-4.9 Tg C yr(-1)) of new primary production. This equates to only similar to 15% of new primary production in the SW Ross Sea, suggesting that aeolian dFe is a minor component of seasonal Fe supply. The very high ASD accumulation on sea ice in McMurdo Sound compared to other regions of Antarctica suggests that our results represent the upper limit of dFe supply to the ocean from this source in the Ross Sea.</t>
  </si>
  <si>
    <t>[Winton, V. H. L.; Dunbar, G. B.; Bertler, N. A. N.; Chewings, J. M.] Victoria Univ Wellington, Antarctic Res Ctr, Wellington, New Zealand; [Winton, V. H. L.; Bertler, N. A. N.] GNS Sci, Natl Isotope Ctr, Lower Hutt, New Zealand; [Millet, M. -A.; Atkins, C. B.; Chewings, J. M.] Victoria Univ Wellington, Sch Geog Environm &amp; Earth Sci, Wellington, New Zealand; [Delmonte, B.] Univ Milano Bicocca, Dept Earth &amp; Environm Sci, Milan, Italy; [Andersson, P.] Swedish Museum Nat Hist, Dept Geosci, S-10405 Stockholm, Sweden</t>
  </si>
  <si>
    <t>Victoria University Wellington; GNS Science - New Zealand; Victoria University Wellington; University of Milano-Bicocca; Swedish Museum of Natural History</t>
  </si>
  <si>
    <t>Winton, VHL (corresponding author), Curtin Univ, Dept Imaging &amp; Appl Phys, Perth, WA 6845, Australia.</t>
  </si>
  <si>
    <t>holly.winton@postgrad.curtin.edu.au</t>
  </si>
  <si>
    <t>Winton, Holly/J-5486-2019; Delmonte, Barbara/L-2555-2015; Atkins, cliff B/E-9458-2011; Bertler, Nancy A N/F-3967-2011</t>
  </si>
  <si>
    <t>Winton, Holly/0000-0001-7112-6768; Delmonte, Barbara/0000-0002-9074-2061; Atkins, C/0000-0002-6513-6924; Bertler, Nancy/0000-0001-6028-4891; Millet, Marc-Alban/0000-0003-2710-5374</t>
  </si>
  <si>
    <t>New Zealand Post and Antarctica New Zealand; Victoria University of Wellington; Golden Key; GNS Science; Ministry of Science and Innovation [CO5X0902, VUW0704]; Past Antarctic Climate, and Future Implications (ANDRILL-NZ) Program [C05X1001]; SYNTHESYS [SE-TAF-212]; European Community</t>
  </si>
  <si>
    <t>New Zealand Post and Antarctica New Zealand; Victoria University of Wellington; Golden Key; GNS Science; Ministry of Science and Innovation(Spanish Government); Past Antarctic Climate, and Future Implications (ANDRILL-NZ) Program; SYNTHESYS; European Community</t>
  </si>
  <si>
    <t>We would like to thank Antarctica New Zealand and Scott Base personnel for logistics support. We are also grateful to Tim Haskell and the K131 event team for fieldwork support. Thanks also to event K043 and, in particular, Ana Aguilar-Islas for collecting samples at Granite Harbour and also equipment and advice on the Fe leaching method. Thanks to Lionel Carter, Ross Edwards, and Peter Sedwick for advice on an earlier version of this manuscript. V.H.L.W. would like to thank the following organizations for scholarship and other funding support: New Zealand Post and Antarctica New Zealand (New Zealand Post Scholarship), Victoria University of Wellington (J.L. and Kathleen Stewart Postgraduate Research Experience Travel Award, Kathleen Stewart Scholarship, and Antarctic Research Endowed Development Funds), and Golden Key (Asia-Pacific Travel Award). This project was funded by Victoria University of Wellington, GNS Science, and the Ministry of Science and Innovation through contracts: Global Change Through Time (CO5X0902), Antarctica-New Zealand Interglacial Climate Extremes ANZICE(VUW0704), the Past Antarctic Climate, and Future Implications (ANDRILL-NZ) Program (C05X1001). Isotopic analyses for provenance characterization were carried out at the Swedish Museum of Natural History and were supported by SYNTHESYS funding (project SE-TAF-212) made available by the European Community-Research Infrastructure Action under the FP6 Structuring the European Research Area Program. We would like to acknowledge the Norwegian Polar Institute for the use of the Qantarctica package. Additional thanks for the helpful comments and suggestions of two anonymous reviewers that aided in revision of this manuscript.</t>
  </si>
  <si>
    <t>10.1002/2013GB004574</t>
  </si>
  <si>
    <t>AH0KT</t>
  </si>
  <si>
    <t>WOS:000335809500007</t>
  </si>
  <si>
    <t>Oliveira, FNM; Carvalho, LMV; Ambrizzi, T</t>
  </si>
  <si>
    <t>Oliveira, Flavio N. M.; Carvalho, Leila M. V.; Ambrizzi, Tercio</t>
  </si>
  <si>
    <t>A new climatology for Southern Hemisphere blockings in the winter and the combined effect of ENSO and SAM phases</t>
  </si>
  <si>
    <t>blocking; El Nino; southern oscillation; Antarctic oscillation; austral winter</t>
  </si>
  <si>
    <t>ROSSBY-WAVE PROPAGATION; NCEP-NCAR REANALYSIS; NORTHERN-HEMISPHERE; ANTARCTIC OSCILLATION; PERSISTENT ANOMALIES; OBSERVATIONAL DATA; PACIFIC-OCEAN; ANNULAR MODES; TIME-SERIES; ZONAL FLOW</t>
  </si>
  <si>
    <t>This study presents 53-year climatology of Southern Hemisphere (SH) blockings in the winter using daily 500-hPa geopotential height data from NCEP-NCAR reanalysis. The variability of SH blocking events and their relationships with combined phases of El Nino/southern oscillation (ENSO) and the southern annular mode (SAM) are examined. Conventional indices were revised and a slightly modified index is proposed to detect latitudinal variations of SH blockings. The South Pacific region is examined in detail. There is no statistically significant long-term trend in the SH blockings. During moderate El Nino, the preferred location SH blocking is observed over East Pacific, and we show that the blocking frequency increases during negative SAM phases. During moderate La Nina the SH blockings are significantly suppressed over Central Pacific, with lower blocking frequency during positive SAM phases. These results indicate that the daily variability of SH blocking is strongly modulated by both ENSO and SAM phases.</t>
  </si>
  <si>
    <t>[Oliveira, Flavio N. M.; Ambrizzi, Tercio] Univ Sao Paulo, Dept Atmospher Sci, BR-05508 Sao Paulo, Brazil; [Oliveira, Flavio N. M.] Natl Inst Meteorol, BR-69057001 Manaus, Amazonas, Brazil; [Carvalho, Leila M. V.] Univ Calif Santa Barbara, Dept Geog, Santa Barbara, CA 93106 USA; [Carvalho, Leila M. V.] Univ Calif Santa Barbara, Earth Res Inst, Santa Barbara, CA 93106 USA</t>
  </si>
  <si>
    <t>Universidade de Sao Paulo; University of California System; University of California Santa Barbara; University of California System; University of California Santa Barbara</t>
  </si>
  <si>
    <t>Oliveira, FNM (corresponding author), Natl Inst Meteorol, Ave Mario Ypiranga 1041, BR-69057001 Manaus, Amazonas, Brazil.</t>
  </si>
  <si>
    <t>flavio.natal@inmet.gov.br</t>
  </si>
  <si>
    <t>Ambrizzi, Tercio/A-4636-2008</t>
  </si>
  <si>
    <t>CAPES; CNPQ; NOAA Office of Global Programs [NA10OAR4310170]</t>
  </si>
  <si>
    <t>CAPES(Coordenacao de Aperfeicoamento de Pessoal de Nivel Superior (CAPES)); CNPQ(Conselho Nacional de Desenvolvimento Cientifico e Tecnologico (CNPQ)); NOAA Office of Global Programs(National Oceanic Atmospheric Admin (NOAA) - USA)</t>
  </si>
  <si>
    <t>NCEP/NCAR Reanalysis data was provided by the NOAA/OAR/ESRL PSD, Boulder, Colorado, USA, from their website at http://www.cdc.noaa.gov. Dr. Flavio de Oliveira thanks funding from CAPES and CNPQ and Dr. Leila M. V. Carvalho from NOAA Office of Global Programs [NA10OAR4310170]. Dr. Tercio Ambrizzi also acknowledges FAPESP (08/58101-9) and INCT-MC/CNPQ.</t>
  </si>
  <si>
    <t>10.1002/joc.3795</t>
  </si>
  <si>
    <t>AE1VN</t>
  </si>
  <si>
    <t>WOS:000333759100027</t>
  </si>
  <si>
    <t>Heeszel, DS; Fricker, HA; Bassis, JN; O'Neel, S; Walter, F</t>
  </si>
  <si>
    <t>Heeszel, David S.; Fricker, Helen A.; Bassis, Jeremy N.; O'Neel, Shad; Walter, Fabian</t>
  </si>
  <si>
    <t>Seismicity within a propagating ice shelf rift: The relationship between icequake locations and ice shelf structure</t>
  </si>
  <si>
    <t>Amery Ice Shelf; Ice Shelf Rifting; Back projection; Glacial seismology; East Antarctica</t>
  </si>
  <si>
    <t>AMERY ICE; EAST ANTARCTICA; MARINE ICE; MOMENT TENSORS; GORNERGLETSCHER; EARTHQUAKES; INVERSIONS; PARAMETERS; VELOCITY; WAVES</t>
  </si>
  <si>
    <t>Iceberg calving is a dominant mass loss mechanism for Antarctic ice shelves, second only to basal melting. An important process involved in calving is the initiation and propagation of through-penetrating fractures called rifts; however, the mechanisms controlling rift propagation remain poorly understood. To investigate the mechanics of ice shelf rifting, we analyzed seismicity associated with a propagating rift tip on the Amery Ice Shelf, using data collected during the austral summers of 2004-2007. We apply a suite of passive seismological techniques including icequake locations, back projection, and moment tensor inversion. We confirm previous results that show ice shelf rifting is characterized by periods of relative quiescence punctuated by swarms of intense seismicity of 1 to 3 h. Even during periods of quiescence, we find significant deformation around the rift tip. Moment tensors, calculated for a subset of the largest icequakes (M-w&gt;-2.0) located near the rift tip, show steeply dipping fault planes, horizontal or shallowly plunging stress orientations, and often have a significant volumetric component. They also reveal that much of the observed seismicity is limited to the upper 50 m of the ice shelf. This suggests a complex system of deformation that involves the propagating rift, the region behind the rift tip, and a system of rift-transverse crevasses. Small-scale variations in the mechanical structure of the ice shelf, especially rift-transverse crevasses and accreted marine ice, play an important role in modulating the rate and location of seismicity associated with the propagating ice shelf rifts.</t>
  </si>
  <si>
    <t>[Heeszel, David S.; Fricker, Helen A.] Univ Calif San Diego, Scripps Inst Oceanog, La Jolla, CA 92093 USA; [Bassis, Jeremy N.] Univ Michigan, Dept Atmospher Ocean &amp; Space Sci, Ann Arbor, MI 48109 USA; [O'Neel, Shad] US Geol Survey, Alaska Sci Ctr, Anchorage, AK USA; [Walter, Fabian] Univ Grenoble 1, CNRS, Inst Sci Terre, Grenoble, France</t>
  </si>
  <si>
    <t>University of California System; University of California San Diego; Scripps Institution of Oceanography; University of Michigan System; University of Michigan; United States Department of the Interior; United States Geological Survey; Communaute Universite Grenoble Alpes; Universite Grenoble Alpes (UGA); Centre National de la Recherche Scientifique (CNRS); Institut de Recherche pour le Developpement (IRD); Universite Gustave-Eiffel; Universite Savoie Mont Blanc</t>
  </si>
  <si>
    <t>Heeszel, DS (corresponding author), Univ Calif San Diego, Scripps Inst Oceanog, La Jolla, CA 92093 USA.</t>
  </si>
  <si>
    <t>david.heeszel@nrc.gov</t>
  </si>
  <si>
    <t>Bassis, Jeremy/ABB-8628-2021; Walter, Fabian/B-7490-2014</t>
  </si>
  <si>
    <t>Bassis, Jeremy/0000-0003-2946-7176; Fricker, Helen Amanda/0000-0002-0921-1432; Walter, Fabian/0000-0001-6952-2761</t>
  </si>
  <si>
    <t>NSF [OPP-0739769, OPP-0337838]; NASA [NNX10AB216G]; NSF CAREER [ANT-114085]; NSF grant EAGER-NSF-ARC; USGS Climate and Land Use Change Mission Area; Cecil H. and Ida B. Green Foundation at IGGP, Scripps Institution of Oceanography; Program for Array Seismic Studies of the Continental Lithosphere (PASSCAL), part of the Incorporated Research Institutions for Seismology (IRIS)</t>
  </si>
  <si>
    <t>NSF(National Science Foundation (NSF)); NASA(National Aeronautics &amp; Space Administration (NASA)); NSF CAREER(National Science Foundation (NSF)NSF - Office of the Director (OD)); NSF grant EAGER-NSF-ARC; USGS Climate and Land Use Change Mission Area; Cecil H. and Ida B. Green Foundation at IGGP, Scripps Institution of Oceanography; Program for Array Seismic Studies of the Continental Lithosphere (PASSCAL), part of the Incorporated Research Institutions for Seismology (IRIS)</t>
  </si>
  <si>
    <t>Funding for this research was provided by NSF grants OPP-0739769 and OPP-0337838. J.N. Bassis was supported by NASA grant NNX10AB216G, NSF CAREER grant ANT-114085, and NSF grant EAGER-NSF-ARC. S. O'Neel was supported by the USGS Climate and Land Use Change Mission Area. D. S. Heeszel was partially supported by the Cecil H. and Ida B. Green Foundation at IGGP, Scripps Institution of Oceanography. The Program for Array Seismic Studies of the Continental Lithosphere (PASSCAL), part of the Incorporated Research Institutions for Seismology (IRIS), provided seismic equipment. Archived data are available at IRIS online (http://www.iris.edu/hq). The Australian Antarctic Division provided logistical support for fieldwork. We thank Jacob Walter and four anonymous reviewers for helpful comments that improved the clarity of this manuscript. We thank William and Carl Tape for making their lune plotting scripts available.</t>
  </si>
  <si>
    <t>10.1002/2013JF002849</t>
  </si>
  <si>
    <t>AH9TX</t>
  </si>
  <si>
    <t>WOS:000336487100003</t>
  </si>
  <si>
    <t>Sanial, V; van Beek, P; Lansard, B; d'Ovidio, F; Kestenare, E; Souhaut, M; Zhou, M; Blain, S</t>
  </si>
  <si>
    <t>Sanial, Virginie; van Beek, Pieter; Lansard, Bruno; d'Ovidio, Francesco; Kestenare, Elodie; Souhaut, Marc; Zhou, Meng; Blain, Stephane</t>
  </si>
  <si>
    <t>Study of the phytoplankton plume dynamics off the Crozet Islands (Southern Ocean): A geochemical-physical coupled approach</t>
  </si>
  <si>
    <t>Southern Ocean; Crozet Islands; iron fertilization; radium; altimetry; GEOTRACES</t>
  </si>
  <si>
    <t>DELAYED COINCIDENCE COUNTER; RADIUM ISOTOPES; IRON FERTILIZATION; EQUATORIAL PACIFIC; KERGUELEN PLATEAU; BLOOM; RA-226; WATERS; VICINITY; SPECTROMETRY</t>
  </si>
  <si>
    <t>The Crozet Archipelago, in the Indian sector of the Southern Ocean, constitutes one of the few physical barriers to the Antarctic Circumpolar Current. Interaction of the currents with the sediments deposited on the margins of these islands contributes to the supply of chemical elementsincluding iron and other micro-nutrientsto offshore high-nutrient, low-chlorophyll (HNLC) waters. This natural fertilization sustains a phytoplankton bloom that was studied in the framework of the KEOPS-2 project. In this work, we investigated the time scales of the surface water transport between the Crozet Island shelves and the offshore waters, a transport that contributes iron to the phytoplankton bloom. We report shelf-water contact ages determined using geochemical tracers (radium isotopes) and physical data based on in situ drifter data and outputs of a model based on altimetric Lagrangian surface currents. The apparent ages of surface waters determined using the three independent methods are in relatively good agreement with each other. Our results provide constraints on the time scales of the transport between the shelf and offshore waters near the Crozet Islands and highlight the key role played by horizontal transport in natural iron fertilization and in defining the extension of the chlorophyll plume in this HNLC region of the Southern Ocean. Key Points Study of the natural iron fertilization in the Southern Ocean Combined geochemical-physical approach to investigate the exchange rates of waters</t>
  </si>
  <si>
    <t>[Sanial, Virginie; van Beek, Pieter; Kestenare, Elodie; Souhaut, Marc] Lab Etud Geophys &amp; Oceanog Spatiales CNRS CNES IR, Observ Midi Pyrenees, Toulouse, France; [Lansard, Bruno] Lab Sci Climat &amp; Environm IPSL CEA CNRS UVSQ, Gif Sur Yvette, France; [d'Ovidio, Francesco] Lab Oceanog &amp; Climat CNRS IRD UPMC MNHN, LOCEAN IPSL, Paris, France; [Zhou, Meng] Univ Massachusetts, Dept Environm Earth &amp; Ocean Sci, Boston, MA 02125 USA; [Blain, Stephane] Lab Oceanog Microbienne CNRS UPMC, Observ Banyuls Sur Mer, Banyuls S Mer, France</t>
  </si>
  <si>
    <t>Universite de Toulouse; Universite Toulouse III - Paul Sabatier; Centre National de la Recherche Scientifique (CNRS); Institut de Recherche pour le Developpement (IRD); Laboratoire d'Etudes en Geophysique et oceanographie spatiales; Universite Paris Saclay; CEA; Centre National de la Recherche Scientifique (CNRS); Sorbonne Universite; Museum National d'Histoire Naturelle (MNHN); University of Massachusetts System; University of Massachusetts Boston; Sorbonne Universite; Centre National de la Recherche Scientifique (CNRS)</t>
  </si>
  <si>
    <t>Sanial, V (corresponding author), Lab Etud Geophys &amp; Oceanog Spatiales CNRS CNES IR, Observ Midi Pyrenees, Toulouse, France.</t>
  </si>
  <si>
    <t>virginie.sanial@legos.obs-mip.fr</t>
  </si>
  <si>
    <t>Lansard, Bruno/B-3000-2013; d'Ovidio, Francesco/ABA-8461-2021; Sanial, Virginie/D-6160-2019; blain, stephane/F-6917-2010</t>
  </si>
  <si>
    <t>KESTENARE, Elodie/0000-0002-6665-2146; d'Ovidio, Francesco/0000-0002-9664-7778; van Beek, Pieter/0000-0002-3872-8916; Sanial, Virginie/0000-0002-0800-5127; blain, stephane/0000-0002-5234-2446; Lansard, Bruno/0000-0002-9059-6981</t>
  </si>
  <si>
    <t>CNES; ANR [ANR-2010-BLAN-614]; IPEV; INSU/CNRS; Directorate For Geosciences; Office of Polar Programs (OPP) [1142082] Funding Source: National Science Foundation</t>
  </si>
  <si>
    <t>CNES(Centre National D'etudes Spatiales); ANR(Agence Nationale de la Recherche (ANR)); IPEV; INSU/CNRS(Centre National de la Recherche Scientifique (CNRS)); Directorate For Geosciences; Office of Polar Programs (OPP)(National Science Foundation (NSF)NSF - Directorate for Geosciences (GEO))</t>
  </si>
  <si>
    <t>The authors would like to thank Bernard Queguiner, chief scientist of the KEOPS-2 cruise. We thank the captain and crew members of the R/V Marion Dufresne. We are especially grateful to Pierre Sangiardi (IPEV) who designed the pump that allowed us to collect surface water samples in this project. We are grateful to Sarah Nicholas and Rosemary Morrow for constructive discussions on the manuscript. We thank EDF for kindly allowing us to place our gamma detectors in the tunnel of Ferrie res (Ariee, French Pyrenees). The altimeter and color/temperature products for the Kerguelen area were produced by Ssalto/Duacs (http://www.aviso.oceanobs.com/en/data/product-information/duacs/) and CLS (http://www.cls.fr/welcome_en.html) with support from CNES. We thank Laurent Testut for providing the data of the tidal model MOG2D. This work was funded by ANR (ANR-2010-BLAN-614), IPEV, and INSU/CNRS. The altimetry-based Lagrangian analysis is a contribution to the OSTST ALTIMECO project. We thank Bradley Moran, Editor, and the two anonymous reviewers for their constructive comments that allowed us to improve significantly the quality of the paper.</t>
  </si>
  <si>
    <t>10.1002/2013JC009305</t>
  </si>
  <si>
    <t>AH6AN</t>
  </si>
  <si>
    <t>WOS:000336213200007</t>
  </si>
  <si>
    <t>Stevens, CL; McPhee, MG; Forrest, AL; Leonard, GH; Stanton, T; Haskell, TG</t>
  </si>
  <si>
    <t>Stevens, C. L.; McPhee, M. G.; Forrest, A. L.; Leonard, G. H.; Stanton, T.; Haskell, T. G.</t>
  </si>
  <si>
    <t>The influence of an Antarctic glacier tongue on near-field ocean circulation and mixing</t>
  </si>
  <si>
    <t>glacier tongue; Antarctica; ocean mixing; blocking; turbulence; supercooling</t>
  </si>
  <si>
    <t>MCMURDO SOUND; ICE-SHELF; PLATELET ICE; COASTAL CURRENT; TIDAL FLOW; ROSS SEA; BASE</t>
  </si>
  <si>
    <t>In situ measurements of flow and stratification in the vicinity of the Erebus Glacier Tongue, a 12 km long floating Antarctic glacier, show the significant influence of the glacier. Three ADCPs (75, 300, and 600 kHz) were deployed close (&lt;50 m) to the sidewall of the glacier in order to capture near-field flow distortion. Scalar (temperature and conductivity) and shear microstructure profiling captured small-scale vertical variability. Flow magnitudes exceeded 0.3 m s(-1) through a combination of tidal flow (approximate to 8 cm s(-1)) and a background/residual flow (approximate to 4-10 cm s(-1)) flowing to the NW. Turbulence was dominated by deeper mixing during spring tide, likely indicative of the role of bathymetric variation which locally forms an obstacle as great as the glacier. During the neap tide, near-surface mixing was as energetic as that seen in the spring tide, suggesting the presence of buoyancy-driven near-surface flows. Estimates of integrated dissipation rate suggest that these floating extensions of the Antarctic ice sheet alter energy budgets through enhanced dissipation, and thus influence coastal near-surface circulation. Key Points A blocking layer is generated by the floating glacier Tidal rectification or substantial residual flow results in tidal asymmetry Upper water column mixing is at least as strong during neap tides as spring</t>
  </si>
  <si>
    <t>[Stevens, C. L.] Natl Inst Water &amp; Atmospher Res, Wellington, New Zealand; [Stevens, C. L.] Univ Auckland, Dept Phys, Auckland, New Zealand; [McPhee, M. G.] McPhee Res Co, Naches, WA USA; [Forrest, A. L.] Univ Tasmania, Australian Maritime Coll, Launceston, Tas 7250, Australia; [Forrest, A. L.] Univ Calif Davis, Tahoe Environm Res Ctr, Davis, CA 95616 USA; [Leonard, G. H.] Univ Otago, Sch Surveying, Dunedin, New Zealand; [Stanton, T.] Naval Postgrad Sch, Monterey, CA USA; [Haskell, T. G.] Ind Res Ltd, Lower Hutt, New Zealand</t>
  </si>
  <si>
    <t>National Institute of Water &amp; Atmospheric Research (NIWA) - New Zealand; University of Auckland; University of Tasmania; Australian Maritime College; University of California System; University of California Davis; University of Otago; United States Department of Defense; United States Navy; Naval Postgraduate School; Callaghan Innovation</t>
  </si>
  <si>
    <t>Stevens, CL (corresponding author), Natl Inst Water &amp; Atmospher Res, Wellington, New Zealand.</t>
  </si>
  <si>
    <t>c.stevens@niwa.cri.nz</t>
  </si>
  <si>
    <t>Forrest, Alexander L/C-3765-2014; Leonard, Greg/F-7157-2010</t>
  </si>
  <si>
    <t>Stevens, Craig/0000-0002-4730-6985; Leonard, Greg/0000-0001-7679-9486</t>
  </si>
  <si>
    <t>New Zealand Royal Society; US NSF; Air New Zealand</t>
  </si>
  <si>
    <t>New Zealand Royal Society(Royal Society of New Zealand); US NSF(National Science Foundation (NSF)); Air New Zealand</t>
  </si>
  <si>
    <t>The authors wish to thank Brett Grant, Martin Doble, Jim Stockel, and the staff of Scott Base for their support in the field. Patricia Langhorne, Craig Stewart, Natalie Robinson, Bernard Laval, Robin Robertson, and Michael Williams are thanked for their valuable discussions of the analysis. Andrew Hamilton is thanked for his coordination of the Canadian research component and discussions with Air New Zealand. Joseph Wright assisted in the collection of the GPS data. Satellite imagery is courtesy of NASA. Two anonymous Reviewers are thanked for their comments on an earlier version of this manuscript. Metadata are lodged with Antarctica New Zealand. The work was funded by The New Zealand Royal Society administered Marsden Fund, and US NSF support to Stanton and McPhee. Logistic support was provided by Antarctica New Zealand and travel funding from Air New Zealand.</t>
  </si>
  <si>
    <t>10.1002/2013JC009070</t>
  </si>
  <si>
    <t>WOS:000336213200013</t>
  </si>
  <si>
    <t>Hunt, BPV; Nelson, RJ; Williams, B; McLaughlin, FA; Young, KV; Brown, KA; Vagle, S; Carmack, EC</t>
  </si>
  <si>
    <t>Hunt, Brian P. V.; Nelson, R. John; Williams, Bill; McLaughlin, Fiona A.; Young, Kelly V.; Brown, Kristina A.; Vagle, Svein; Carmack, Eddy C.</t>
  </si>
  <si>
    <t>Zooplankton community structure and dynamics in the Arctic Canada Basin during a period of intense environmental change (2004-2009)</t>
  </si>
  <si>
    <t>Beaufort Sea; Arctic; zooplankton; interannual change; climate change</t>
  </si>
  <si>
    <t>VERTICAL-DISTRIBUTION; ANTARCTIC COPEPODS; LIFE-CYCLES; SEA-ICE; OCEAN; MESOZOOPLANKTON; BIOMASS; ASSEMBLAGES; DIVERSITY; ABUNDANCE</t>
  </si>
  <si>
    <t>Mesozooplankton were sampled in the Canada Basin in the summers of 2004, 2006, 2007, 2008, and fall 2009. Six taxa (Calanus hyperboreus, Calanus glacialis, Oithona similis, Limacina helicina, Microcalanus pygmaeus, and Pseudocalanus spp.) accounted for 77-91% of the abundance in all years, and 70-80% of biomass in 2004-2008. The biomass of C. hyperboreus and C. glacialis was reduced in 2009, likely due to seasonal migration below the sampling depth. Mean abundance was consistent across surveys while biomass increased from 18.92 to 32.56 mg dry weight m(-3) between 2004 and 2008. Multivariate analysis identified a clear separation between shelf and deep basin (&gt;1000 m) assemblages. Within the deep basin abundance and biomass were higher in the west, associated with a higher chlorophyll maximum. In 2007 and 2008 considerable heterogeneity developed in the assemblage structure, associated with variability in the contribution of the short-lived (&lt;1 year) copepod species O. similis and M. pygmaeus. Conversely, the long lived (2 years) C. hyperboreus and C. glacialis showed an increasingly consistent spatial distribution of high biomass from 2004 to 2008. We propose that a greater dependence on autochthonous basin production by the short-lived species resulted in their decreased secondary production in the freshening Beaufort Gyre in 2007 and 2008. Conversely, long-lived species were supported by high allochthonous production on the Beaufort and Chukchi shelves and lipid stores accumulated from this source enabled them to persist in the low chlorophyll a biomass conditions of the Canada Basin. Key Points Mesoscale distribution of Arctic zooplankton communities Climate change impacts on Arctic zooplankton Allochthonous versus autochthonous production in the Canada Basin</t>
  </si>
  <si>
    <t>[Hunt, Brian P. V.; Brown, Kristina A.] Univ British Columbia, Dept Earth Ocean &amp; Atmospher Sci, Vancouver, BC V5Z 1M9, Canada; [Nelson, R. John] Univ Victoria, Dept Biol, Ctr Biomed Res, Victoria, BC V8W 2Y2, Canada; [Williams, Bill; McLaughlin, Fiona A.; Young, Kelly V.; Vagle, Svein; Carmack, Eddy C.] Dept Fisheries &amp; Oceans Canada, Inst Ocean Sci, Sidney, BC, Canada</t>
  </si>
  <si>
    <t>University of British Columbia; University of Victoria; Fisheries &amp; Oceans Canada</t>
  </si>
  <si>
    <t>Hunt, BPV (corresponding author), Univ British Columbia, Dept Earth Ocean &amp; Atmospher Sci, Vancouver, BC V5Z 1M9, Canada.</t>
  </si>
  <si>
    <t>bhunt@eos.ubc.ca</t>
  </si>
  <si>
    <t>Fisheries and Oceans Canada; U.S. National Science Foundation Office of Polar Programs [OPP-0424864]; National Sciences and Engineering Research Council of Canada</t>
  </si>
  <si>
    <t>Fisheries and Oceans Canada; U.S. National Science Foundation Office of Polar Programs(National Science Foundation (NSF)); National Sciences and Engineering Research Council of Canada(Natural Sciences and Engineering Research Council of Canada (NSERC))</t>
  </si>
  <si>
    <t>We acknowledge financial and ship time support from Fisheries and Oceans Canada, the U.S. National Science Foundation Office of Polar Programs (grant OPP-0424864) support for the Beaufort Gyre Exploration Project and its PI Andrey Proshutinsky, and the National Sciences and Engineering Research Council of Canada. We greatly appreciate the assistance and support of the men and women of the Canadian Coast Guard icebreaker Louis S St Laurent for their assistance in sample collection. We thank four anonymous reviewers whose insightful comments greatly improved the final manuscript.</t>
  </si>
  <si>
    <t>10.1002/2013JC009156</t>
  </si>
  <si>
    <t>WOS:000336213200022</t>
  </si>
  <si>
    <t>Zilberman, NV; Roemmich, DH; Gille, ST</t>
  </si>
  <si>
    <t>Zilberman, N. V.; Roemmich, D. H.; Gille, S. T.</t>
  </si>
  <si>
    <t>Meridional volume transport in the South Pacific: Mean and SAM-related variability</t>
  </si>
  <si>
    <t>volume transport; Southern Pacific Ocean; water mass; Argo; ENSO; SAM</t>
  </si>
  <si>
    <t>EAST AUSTRALIAN CURRENT; OCEAN CIRCULATION EXPERIMENT; SUBTROPICAL MODE WATER; INTERANNUAL VARIABILITY; OVERTURNING CIRCULATION; HYDROGRAPHIC SECTIONS; SHALLOW; HEAT; DEEP; TEMPERATURE</t>
  </si>
  <si>
    <t>The large increase in upper-ocean sampling during the past decade enables improved estimation of the mean meridional volume transport in the midlatitude South Pacific, and hence of the climatically important Meridional Overturning Circulation. Transport is computed using Argo float profile data for geostrophic shear and trajectory data for reference velocities at 1000 m. For the period 2004-2012, the mean geostrophic transport across 32 degrees S is 20.66.0 Sv in the top 2000 m of the ocean. From west to east, this includes the southward East Australian Current (23.32.9 Sv), its northward recirculation (16.33.6 Sv), the broad interior northward flow (18.4 +/- 4.1 Sv), and the net northward flow (9.2 +/- 2.2 Sv) in opposing currents in the eastern Pacific. The basin-integrated geostrophic transport includes 7.3 +/- 0.9 Sv of surface and thermocline waters, 4.9 +/- 1.0 Sv of Subantarctic Mode Water, and 4.9 +/- 1.4 Sv of Antarctic Intermediate Water. Interannual variability in volume transport across 32 degrees S in the South Pacific shows a Southern Annual Mode signature characterized by an increase during the positive phase of the Southern Annular Mode and a decrease during the negative phase. Maximum amplitudes in geostrophic transport anomalies, seen in the East Australian Current and East Australian Current recirculation, are consistent with wind stress curl anomalies near the western boundary. Key Points Improved meridional volume transport in the South Pacific using Argo EAC transport variability tied to the SAM</t>
  </si>
  <si>
    <t>[Zilberman, N. V.; Roemmich, D. H.; Gille, S. T.] Univ Calif San Diego, Scripps Inst Oceanog, La Jolla, CA 92093 USA</t>
  </si>
  <si>
    <t>Zilberman, NV (corresponding author), Univ Calif San Diego, Scripps Inst Oceanog, La Jolla, CA 92093 USA.</t>
  </si>
  <si>
    <t>nzilberman@ucsd.edu</t>
  </si>
  <si>
    <t>U.S. Argo through NOAA [NA10OAR4310139]; NASA [NNX13AE82G]; Centre National d'Etudes Spatiales (CNES); NASA [474141, NNX13AE82G] Funding Source: Federal RePORTER</t>
  </si>
  <si>
    <t>U.S. Argo through NOAA; NASA(National Aeronautics &amp; Space Administration (NASA)); Centre National d'Etudes Spatiales (CNES)(Centre National D'etudes Spatiales); NASA(National Aeronautics &amp; Space Administration (NASA))</t>
  </si>
  <si>
    <t>The Argo data used here were collected and are made freely available by the International Argo Program and by the national programs that contribute to it. The authors thank John Gilson, Megan Scanderbeg, and Lisa Lehmann for valuable suggestions. This work was supported by U.S. Argo through NOAA grant NA10OAR4310139 (SIO CIMEC Argo) and NASA grant NNX13AE82G. The altimeter products were provided by AVISO with support from the Centre National d'Etudes Spatiales (CNES).</t>
  </si>
  <si>
    <t>10.1002/2013JC009688</t>
  </si>
  <si>
    <t>WOS:000336213200030</t>
  </si>
  <si>
    <t>Kubyshkina, DI; Sormakov, DA; Sergeev, VA; Semenov, VS; Erkaev, NV; Kubyshkin, IV; Ganushkina, NY; Dubyagin, SV</t>
  </si>
  <si>
    <t>Kubyshkina, D. I.; Sormakov, D. A.; Sergeev, V. A.; Semenov, V. S.; Erkaev, N. V.; Kubyshkin, I. V.; Ganushkina, N. Yu; Dubyagin, S. V.</t>
  </si>
  <si>
    <t>How to distinguish between kink and sausage modes in flapping oscillations?</t>
  </si>
  <si>
    <t>plasma sheet; magnetosphere; flapping waves</t>
  </si>
  <si>
    <t>CURRENT SHEET OSCILLATIONS; MAGNETIC-FIELD; CLUSTER OBSERVATIONS; PLASMA SHEET; MAGNETOTAIL; INSTABILITY; STABILITY; MOTIONS; EARTH</t>
  </si>
  <si>
    <t>Flapping waves are most noticeable large-scale perturbations of the magnetotail current sheet, whose nature is still under discussion. They represent rather slow (an order of magnitude less than typical Alfven speed) waves propagating from the center of the sheet to its flanks with a typical speed of 20-60 km/s, amplitude of 1-2 R-e and quasiperiod of 2-10 min. The double-gradient MHD model, which was elaborated in Erkaev et al. (2007) predicts two (kink and sausage) modes of the flapping waves with differences in their geometry and propagation velocity, but the mode structure is hard to resolve observationally. We investigate the possibility of mode identification by observing the rotation of magnetic field and plasma velocity vectors from a single spacecraft. We test theoretical results by analyzing the flapping oscillations observed by Time History of Events and Macroscale Interactions during Substorms spacecraft and confirm that character of observed rotation is consistent with kink mode determination made by using multispacecraft methods. Also, we checked how the existence of some obstructive conditions, such as noise, combined modes, and multiple sources of the flapping oscillations, can affect on the possibility of the modes separation with suggested method.</t>
  </si>
  <si>
    <t>[Kubyshkina, D. I.; Sergeev, V. A.; Semenov, V. S.; Kubyshkin, I. V.] St Petersburg State Univ, Earth Phys Dept, Fac Sci, St Petersburg 199034, Russia; [Sormakov, D. A.] Arctic &amp; Antarctic Res Inst, St Petersburg 199226, Russia; [Erkaev, N. V.] Inst Computat Modelling SB RAS, Krasnoyarsk, Russia; [Erkaev, N. V.] Siberian Fed Univ, Dept Appl Mech, Polytech Inst, Krasnoyarsk, Russia; [Ganushkina, N. Yu; Dubyagin, S. V.] Finnish Meteorol Inst, FIN-00101 Helsinki, Finland; [Ganushkina, N. Yu] Univ Michigan, Dept Atmospher Ocean &amp; Space Sci, Ann Arbor, MI 48109 USA</t>
  </si>
  <si>
    <t>Saint Petersburg State University; Arctic &amp; Antarctic Research Institute; Russian Academy of Sciences; Krasnoyarsk Science Center of the Siberian Branch of the Russian Academy of Sciences; Institute of Computational Modelling of the Siberian Branch of the Russian Academy of Sciences; Siberian Federal University; Finnish Meteorological Institute; University of Michigan System; University of Michigan</t>
  </si>
  <si>
    <t>Kubyshkina, DI (corresponding author), St Petersburg State Univ, Earth Phys Dept, Fac Sci, St Petersburg 199034, Russia.</t>
  </si>
  <si>
    <t>kubyshkina.darya@gmail.com</t>
  </si>
  <si>
    <t>Sergeev, Victor A/H-1173-2013; Kubyshkin, Igor V/AAL-8904-2021; Kubyshkin, Igor V/F-6243-2013; Erkaev, Nikolai/M-1608-2013; Ganushkina, Natalia/K-6314-2013; Semenov, Vladimir/A-5530-2013; dubyagin, stepan/I-7260-2018; Sormakov, Dmitry/K-1695-2014</t>
  </si>
  <si>
    <t>Sergeev, Victor A/0000-0002-4569-9631; Kubyshkin, Igor V/0000-0001-9887-108X; Erkaev, Nikolai/0000-0001-8993-6400; Ganushkina, Natalia/0000-0002-9259-850X; Semenov, Vladimir/0000-0001-6592-056X; dubyagin, stepan/0000-0002-0888-2517; Kubyshkina, Daria/0000-0001-9137-9818; Sormakov, Dmitry/0000-0003-2829-5982</t>
  </si>
  <si>
    <t>German Ministry for Economy and Technology; German Center for Aviation and Space (DLR) [50 OC 0302]; SPbU [11.38.84.12]; RFBR [12-05-00152-a, 12-05-00918-a]; grant for support of leading Scientific schools [2836.2014.5]; Academy of Finland; Austrian Science Fund (FWF) [I193-N16]; International Space Science Institute (ISSI, Switzerland); European Union [269198, 218816]; Austrian Science Fund (FWF) [I193] Funding Source: Austrian Science Fund (FWF); Austrian Science Fund (FWF) [I 193] Funding Source: researchfish</t>
  </si>
  <si>
    <t>German Ministry for Economy and Technology; German Center for Aviation and Space (DLR)(Helmholtz AssociationGerman Aerospace Centre (DLR)); SPbU; RFBR(Russian Foundation for Basic Research (RFBR)); grant for support of leading Scientific schools(Leading Scientific Schools Program); Academy of Finland(Research Council of Finland); Austrian Science Fund (FWF)(Austrian Science Fund (FWF)); International Space Science Institute (ISSI, Switzerland); European Union(European Union (EU)); Austrian Science Fund (FWF)(Austrian Science Fund (FWF)); Austrian Science Fund (FWF)(Austrian Science Fund (FWF))</t>
  </si>
  <si>
    <t>We thank C. W. Carlson and J. P. McFadden for use of THEMIS ESA data; K. 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The work was partly supported by SPbU grant 11.38.84.12, by RFBR grants 12-05-00152-a and 12-05-00918-a, and by the grant for support of leading Scientific schools 2836.2014.5. The work of S. Dubyagin and N. Ganushkina was partly supported by the Academy of Finland. This work was supported by the Austrian Science Fund (FWF): I193-N16. N. V. E acknowledges the support by the International Space Science Institute (ISSI, Switzerland) and discussions within the ISSI Team 214 on Flow-Driven Instabilities of the Sun-Earth System. The research has received funding also from the European Union Seventh Framework Programme [FP7/2007-2013] under grant agreement 269198-Geoplasmas (Marie Curie International Research Staff Exchange Scheme) and 218816 (SOTERIA project).</t>
  </si>
  <si>
    <t>10.1002/2013JA019477</t>
  </si>
  <si>
    <t>AH6CP</t>
  </si>
  <si>
    <t>WOS:000336218600041</t>
  </si>
  <si>
    <t>Deng, Y; Huang, YS; Wu, Q; Noto, J; Drob, D; Kerr, RB</t>
  </si>
  <si>
    <t>Deng, Yue; Huang, Yanshi; Wu, Qian; Noto, John; Drob, Douglas; Kerr, Robert B.</t>
  </si>
  <si>
    <t>Comparison of the neutral wind seasonal variation from midlatitude conjugate observations</t>
  </si>
  <si>
    <t>neutral wind; seasonal variation; midlatitude; conjugate</t>
  </si>
  <si>
    <t>LATITUDE THERMOSPHERIC WINDS; GLOBAL-MODEL; DYNAMICS; CIRCULATION; ATMOSPHERE; MIDDLE</t>
  </si>
  <si>
    <t>The seasonal variation of F region neutral wind from the midlatitude conjugate Fabry-Perot interferometer observations has been studied. The meridional wind at Palmer station (64 degrees S,64 degrees W) has a significant local time dependence with strong equatorward wind at midnight and polarward wind at dawn and dusk. The zonal wind switches from eastward to westward in the early morning section. From the June solstice (austral winter) to equinox, the maximum meridional wind increases from 90m/s to 130m/s, and the zonal wind switches direction at an earlier local time. The neutral winds from Palmer have been compared with those from the geomagnetic conjugate location, Millstone Hill (MH). At equinox, the local time variation of neutral wind shows a very good conjugacy between these two locations. But at June solstice, the similarity in the zonal wind becomes less clear. This seasonal dependence can be attributed to the seasonal variation of solar and geomagnetic forcings. The annual variation of daily average neutral wind from Palmer and MH has also been compared. The meridional wind shows a clear offset of season, and the magnitude at Palmer is averagely 40m/s more equatorward than that at MH. The zonal wind is dominantly westward at Palmer and eastward at MH. The annual variation of neutral wind, especially the zonal component, is much less symmetric between the two sites than the local time variation. The empirical horizontal wind model shows a good agreement with the observations in both local time and annual variations.</t>
  </si>
  <si>
    <t>[Deng, Yue] Univ Texas Arlington, Dept Phys, Arlington, TX 76019 USA; [Huang, Yanshi] Univ New Mexico, Dept Elect &amp; Comp Engn, Albuquerque, NM 87131 USA; [Huang, Yanshi] Configurable Space Microsyst Innovat &amp; Applicat C, Albuquerque, NM USA; [Wu, Qian] Natl Ctr Atmospher Res, High Altitude Observ, Boulder, CO 80307 USA; [Noto, John] Sci Solut Inc, North Chelmsford, MA USA; [Drob, Douglas] Naval Res Lab, Div Space Sci, Washington, DC USA; [Kerr, Robert B.] SRI Int, Arecibo Observ, Arecibo, PR USA</t>
  </si>
  <si>
    <t>University of Texas System; University of Texas Arlington; University of New Mexico; National Center Atmospheric Research (NCAR) - USA; United States Department of Defense; United States Navy; Naval Research Laboratory; SRI International; National Aeronautics &amp; Space Administration (NASA)</t>
  </si>
  <si>
    <t>Deng, Y (corresponding author), Univ Texas Arlington, Dept Phys, POB 19059, Arlington, TX 76019 USA.</t>
  </si>
  <si>
    <t>yuedeng@uta.edu</t>
  </si>
  <si>
    <t>Huang, Yanhong/GVU-8674-2022; Drob, Douglas/G-4061-2014</t>
  </si>
  <si>
    <t>Wu, Qian/0000-0002-7508-3803; Noto, John/0000-0003-0274-6669; Drob, Douglas/0000-0002-2045-7740</t>
  </si>
  <si>
    <t>NSF [ATM0955629, OPP-0839119, AGS-0640745]; NASA [NNX13AD64G, NNX14AD46G]; AFOSR [1210429]; Office of Naval Research; NASA LWS grant [NNX13AF93G]; U.S. Air Force Office of Scientific Research [FA9550-13-1-0174]; Div Atmospheric &amp; Geospace Sciences; Directorate For Geosciences [0955629, 1354501] Funding Source: National Science Foundation; NASA [NNX13AF93G, 473734] Funding Source: Federal RePORTER</t>
  </si>
  <si>
    <t>NSF(National Science Foundation (NSF)); NASA(National Aeronautics &amp; Space Administration (NASA)); AFOSR(United States Department of DefenseAir Force Office of Scientific Research (AFOSR)); Office of Naval Research(Office of Naval Research); NASA LWS grant; U.S. Air Force Office of Scientific Research(United States Department of DefenseAir Force Office of Scientific Research (AFOSR)); Div Atmospheric &amp; Geospace Sciences; Directorate For Geosciences(National Science Foundation (NSF)NSF - Directorate for Geosciences (GEO)); NASA(National Aeronautics &amp; Space Administration (NASA))</t>
  </si>
  <si>
    <t>This research at the University of Texas at Arlington was supported by NSF through grant ATM0955629, NASA through grants NNX13AD64G and NNX14AD46G, and AFOSR through award 1210429. Douglas Drob's effort was supported by the Office of Naval Research funding to the Naval Research Laboratory. The FPI operation and research at Palmer is supported by NSF grant OPP-0839119. The Millstone Hill FPI operation is supported by NSF grant AGS-0640745. Q. Wu was also supported by NASA LWS grant NNX13AF93G and U.S. Air Force Office of Scientific Research grant FA9550-13-1-0174. Logistical support for this project in Antarctica was provided by the U.S. National Science Foundation through the U.S. Antarctic Program.</t>
  </si>
  <si>
    <t>10.1002/2013JA019716</t>
  </si>
  <si>
    <t>WOS:000336218600043</t>
  </si>
  <si>
    <t>Risch, D; Gales, NJ; Gedamke, J; Kindermann, L; Nowacek, DP; Read, AJ; Siebert, U; Van Opzeeland, IC; Van Parijs, SM; Friedlaender, AS</t>
  </si>
  <si>
    <t>Risch, Denise; Gales, Nicholas J.; Gedamke, Jason; Kindermann, Lars; Nowacek, Douglas P.; Read, Andrew J.; Siebert, Ursula; Van Opzeeland, Ilse C.; Van Parijs, Sofie M.; Friedlaender, Ari S.</t>
  </si>
  <si>
    <t>Mysterious bio-duck sound attributed to the Antarctic minke whale (Balaenoptera bonaerensis)</t>
  </si>
  <si>
    <t>Balaenoptera bonaerensis; bio-duck; Antarctic minke whale; Southern Ocean; acoustic monitoring</t>
  </si>
  <si>
    <t>For decades, the bio-duck sound has been recorded in the Southern Ocean, but the animal producing it has remained a mystery. Heard mainly during austral winter in the Southern Ocean, this ubiquitous sound has been recorded in Antarctic waters and contemporaneously off the Australian west coast. Here, we present conclusive evidence that the bio-duck sound is produced by Antarctic minke whales (Balaenoptera bonaerensis). We analysed data from multi-sensor acoustic recording tags that included intense bio-duck sounds as well as singular downsweeps that have previously been attributed to this species. This finding allows the interpretation of a wealth of long-term acoustic recordings for this previously acoustically concealed species, which will improve our understanding of the distribution, abundance and behaviour of Antarctic minke whales. This is critical information for a species that inhabits a difficult to access sea-ice environment that is changing rapidly in some regions and has been the subject of contentious lethal sampling efforts and ongoing international legal action.</t>
  </si>
  <si>
    <t>[Risch, Denise] Integrated Stat, Falmouth, MA 02540 USA; [Gales, Nicholas J.] Australian Antarctic Div, Kingston, Tas 7050, Australia; [Gedamke, Jason] NOAA, Fisheries Off Sci &amp; Technol, Silver Spring, MD 20910 USA; [Kindermann, Lars; Van Opzeeland, Ilse C.] Alfred Wegener Inst Polar &amp; Marine Res, D-27570 Bremerhaven, Germany; [Nowacek, Douglas P.; Read, Andrew J.] Duke Univ, Marine Lab, Beaufort, NC 28516 USA; [Siebert, Ursula] Univ Vet Med Hannover, Inst Terr &amp; Aquat Wildlife Res, D-25761 Busum, Germany; [Van Parijs, Sofie M.] NOAA, Northeast Fisheries Sci Ctr, Woods Hole, MA 02543 USA; [Friedlaender, Ari S.] Oregon State Univ, Hatfield Marine Sci Ctr, Marine Mammal Inst, Newport, OR 97365 USA</t>
  </si>
  <si>
    <t>Australian Antarctic Division; National Oceanic Atmospheric Admin (NOAA) - USA; Helmholtz Association; Alfred Wegener Institute, Helmholtz Centre for Polar &amp; Marine Research; Duke University; University of Veterinary Medicine Hannover; National Oceanic Atmospheric Admin (NOAA) - USA; Oregon State University</t>
  </si>
  <si>
    <t>Risch, D (corresponding author), Integrated Stat, 172 Shearwater Way, Falmouth, MA 02540 USA.</t>
  </si>
  <si>
    <t>denise.risch@noaa.gov</t>
  </si>
  <si>
    <t>Read, Andrew/AAE-8386-2019; Risch, Denise/W-1070-2019</t>
  </si>
  <si>
    <t>Risch, Denise/0000-0002-3719-7420</t>
  </si>
  <si>
    <t>National Science Foundation's Office of Polar Programs; US Navy Environmental Readiness Division [N45]</t>
  </si>
  <si>
    <t>National Science Foundation's Office of Polar Programs(National Science Foundation (NSF)); US Navy Environmental Readiness Division</t>
  </si>
  <si>
    <t>This research was supported by a grant from the National Science Foundation's Office of Polar Programs. Additional funding to D.R. was provided by the US Navy Environmental Readiness Division (N45).</t>
  </si>
  <si>
    <t>APR 1</t>
  </si>
  <si>
    <t>10.1098/rsbl.2014.0175</t>
  </si>
  <si>
    <t>AH0MD</t>
  </si>
  <si>
    <t>WOS:000335813100017</t>
  </si>
  <si>
    <t>Belyaev, EV</t>
  </si>
  <si>
    <t>Belyaev, E. V.</t>
  </si>
  <si>
    <t>Prospects of Antarctica for finding economic apatite deposits</t>
  </si>
  <si>
    <t>An assessment of the prospects of apatite mineralization with brief characteristic of the expected geological-industrial types, composition, and mineralogical-technological parameters of ores of the forecast deposits is given for the major tectonic structures of Antarctica. The main prospects are related to the rift (protorift, greenstone, and rift) zones of the Antarctic shield.</t>
  </si>
  <si>
    <t>Fed State Unitary Enterprise Cent Sci Res Inst Ge, Kazan 420097, Russia</t>
  </si>
  <si>
    <t>Belyaev, EV (corresponding author), Fed State Unitary Enterprise Cent Sci Res Inst Ge, Ul Zinina 4, Kazan 420097, Russia.</t>
  </si>
  <si>
    <t>bel@geolrud.net</t>
  </si>
  <si>
    <t>10.1134/S1028334X14040023</t>
  </si>
  <si>
    <t>AG9VX</t>
  </si>
  <si>
    <t>WOS:000335769200002</t>
  </si>
  <si>
    <t>Melville, R; Stillinger, A; Gerrard, A; Weatherwax, A</t>
  </si>
  <si>
    <t>Melville, R.; Stillinger, A.; Gerrard, A.; Weatherwax, A.</t>
  </si>
  <si>
    <t>Sustainable energy at the 100 W level for scientific sites on the Antarctic Plateau: Lessons learned from the Polar Experiment Network for Geospace Upper atmosphere Investigations-Automatic Geophysical Observatory project</t>
  </si>
  <si>
    <t>REVIEW OF SCIENTIFIC INSTRUMENTS</t>
  </si>
  <si>
    <t>The need to provide power to unmanned instrumentation over the course of an entire year on the Antarctic plateau presents a large number of engineering and logistical challenges. Designs formulated in ideal laboratory environments often fail in the Antarctic due to the harsh operating conditions, and field experience is necessary to achieve year-round operation in the 100 W power range. In this paper we present our current power design for the Automatic Geophysical Observatories; a design based on over two decades of experience on the ice and allows for relatively continuous operation at the aforementioned power level. We also discuss our various implementation methods, both failures and successes, in an effort assist other unmanned deployments on the ice. (C) 2014 Author(s). All article content, except where otherwise noted, is licensed under a Creative Commons Attribution 3.0 Unported License.</t>
  </si>
  <si>
    <t>[Melville, R.; Stillinger, A.; Gerrard, A.] New Jersey Inst Technol, Ctr Solar Terr Res, Newark, NJ 07102 USA; [Weatherwax, A.] Siena Coll, Dept Phys, Loudonville, NY 12211 USA</t>
  </si>
  <si>
    <t>Gerrard, A (corresponding author), New Jersey Inst Technol, Ctr Solar Terr Res, 323 Martin Luther King Jr Blvd,101 Tiernan Hall, Newark, NJ 07102 USA.</t>
  </si>
  <si>
    <t>gerrard@njit.edu</t>
  </si>
  <si>
    <t>Weatherwax, Allan/0000-0003-4732-358X; Gerrard, Andrew/0000-0002-9626-2085</t>
  </si>
  <si>
    <t>National Science Foundation Office of Polar Programs [NSF-0638587, ANT-083995]; Office of Polar Programs (OPP); Directorate For Geosciences [0638587, 1248062]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</si>
  <si>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t>
  </si>
  <si>
    <t>The research presented here was supported by the National Science Foundation Office of Polar Programs support through NSF-0638587 and ANT-083995. The authors also thank all members of the SPA-MCM-PENGUIn/AGO teams, as well as NJIT students Anthony Teti and Dhvanit Mehta for their contributions.</t>
  </si>
  <si>
    <t>0034-6748</t>
  </si>
  <si>
    <t>1089-7623</t>
  </si>
  <si>
    <t>REV SCI INSTRUM</t>
  </si>
  <si>
    <t>Rev. Sci. Instrum.</t>
  </si>
  <si>
    <t>10.1063/1.4871555</t>
  </si>
  <si>
    <t>Instruments &amp; Instrumentation; Physics, Applied</t>
  </si>
  <si>
    <t>Instruments &amp; Instrumentation; Physics</t>
  </si>
  <si>
    <t>AH1ZN</t>
  </si>
  <si>
    <t>WOS:000335920600083</t>
  </si>
  <si>
    <t>Behera, JK; Sinha, AK; Singh, AK; Rawat, R; Vichare, G; Dhar, A; Pathan, BM; Nair, KU; Selvaraj, C; Elango, P</t>
  </si>
  <si>
    <t>Behera, Jayanta K.; Sinha, A. K.; Singh, Anand K.; Rawat, Rahul; Vichare, Geeta; Dhar, Ajay; Pathan, B. M.; Nair, K. U.; Selvaraj, C.; Elango, P.</t>
  </si>
  <si>
    <t>First results from imaging riometer installed at Indian Antarctic station Maitri</t>
  </si>
  <si>
    <t>JOURNAL OF EARTH SYSTEM SCIENCE</t>
  </si>
  <si>
    <t>Imaging riometer; cosmic noise absorption; magnetospheric substorm; geomagnetic storm; auroral electrojet</t>
  </si>
  <si>
    <t>COSMIC NOISE; IONOSPHERIC ABSORPTION; RADIO NOISE; SUBSTORMS; EVENTS</t>
  </si>
  <si>
    <t>Cosmic noise absorption (CNA) measurred by imaging riometer, is an excellent tool to passively study the high latitude D-region ionospheric conditions and dynamics. An imaging riometer has been installed at Indian Antarctic station Maitri (geographic 70.75 degrees S, 11.75 degrees E; corrected geomagnetic 63.11 degrees S, 53.59 degrees E) in February 2010. This is the first paper using the imaging riometer data from Maitri. The present paper introduces the details of this facility, including its instrumentation, related CNA theory and its applications. Sidereal shift of around 2 hours in the diurnal pattern validates the data obtained from the newly installed instrument. Moreover, the strength of cosmic noise signal on quiet days also varies with months. This is apparently due to solar ionization of D-region ionosphere causing enhanced electron density where collision frequency is already high. The main objective of installing the imaging riometer at Maitri is to study magneotspheric ionospheric coupling during substorm processes. In the current study, we present two typical examples of disturbed time CNA associated with storm-time and non-storm time substorm. Results reveal that CNA is more pronounced during storm-time substorm as compared to non-storm-time substorm. The level of CNA strongly depends upon the strengthening of convectional electric field and the duration of southward turning of interplanetary magnetic field before the substorm onset.</t>
  </si>
  <si>
    <t>[Behera, Jayanta K.; Sinha, A. K.; Rawat, Rahul; Vichare, Geeta; Dhar, Ajay; Pathan, B. M.] Indian Inst Geomagnetism, Navi Mumbai 410218, India; [Singh, Anand K.] Natl Ctr Antarctica &amp; Ocean Res, Vasco Da Gama 403804, Goa, India; [Nair, K. U.; Selvaraj, C.; Elango, P.] Equatorial Geophys Res Lab, Maharajanagar 627011, Tirunelveli, India</t>
  </si>
  <si>
    <t>Department of Science &amp; Technology (India); Indian Institute of Geomagnetism (IIG); Ministry of Earth Sciences (MoES) - India; National Centre for Polar and Ocean Research (NCPOR); Department of Science &amp; Technology (India); Indian Institute of Geomagnetism (IIG)</t>
  </si>
  <si>
    <t>Behera, JK (corresponding author), Indian Inst Geomagnetism, New Panvel W, Navi Mumbai 410218, India.</t>
  </si>
  <si>
    <t>jayanta.sssj@gmail.com</t>
  </si>
  <si>
    <t>Sinha, Ashwini Kumar/0000-0003-1329-6579; Rawat, Rahul/0000-0002-7275-8895</t>
  </si>
  <si>
    <t>National Centre for Antarctic &amp; Ocean Research (Ministry of Earth Sciences)</t>
  </si>
  <si>
    <t>The authors are indebted to F Honary and group from Lancaster University for their invaluable help in installing of imaging riometer and preliminary data processing. The authors express their sincere thanks to National Centre for Antarctic &amp; Ocean Research (Ministry of Earth Sciences) for providing funds for purchase and installation of imaging riometer at Indian Antarctic station, Maitri and all the infrastructural facilities during the antarctic expeditions. The authors would also like to acknowledge the CDAWeb for providing ACE satellite data, World Data Centre (WDC), Kyoto for geomagnetic indices.</t>
  </si>
  <si>
    <t>2347-4327</t>
  </si>
  <si>
    <t>0973-774X</t>
  </si>
  <si>
    <t>J EARTH SYST SCI</t>
  </si>
  <si>
    <t>J. Earth Syst. Sci.</t>
  </si>
  <si>
    <t>10.1007/s12040-014-0412-5</t>
  </si>
  <si>
    <t>Geosciences, Multidisciplinary; Multidisciplinary Sciences</t>
  </si>
  <si>
    <t>Geology; Science &amp; Technology - Other Topics</t>
  </si>
  <si>
    <t>AG7TP</t>
  </si>
  <si>
    <t>WOS:000335622000012</t>
  </si>
  <si>
    <t>Guido, DM; Campbell, KA</t>
  </si>
  <si>
    <t>Guido, Diego M.; Campbell, Kathleen A.</t>
  </si>
  <si>
    <t>A large and complete Jurassic geothermal field at Claudia, Deseado Massif, Santa Cruz, Argentina</t>
  </si>
  <si>
    <t>Cerro Vanguardia; Patagonia; Hot springs; Sinter; Travertine; Paleoenvironmental analysis</t>
  </si>
  <si>
    <t>HOT-SPRING WATERS; PRECAMBRIAN IRON FORMATIONS; YELLOWSTONE-NATIONAL-PARK; NEW-ZEALAND; NORTH-ISLAND; ANTARCTIC PENINSULA; LA MARCIANA; PATAGONIA; DEPOSITS; SILICA</t>
  </si>
  <si>
    <t>Late Jurassic geothermal deposits at Claudia, Argentinean Patagonia, are among the largest (40 km(2)) and most varied in the Deseado Massif, a 60,000 km(2) volcanic province hosting precious metals (Au, Ag) mineralization generated during diffuse back arc spreading and opening of the South Atlantic Ocean. Both siliceous sinter and travertine occur in the same stratigraphic sequence. Deposits range from those interpreted as fluvially reworked hydrothermal silica gels, to extensive apron terraces, to a clustering of high-temperature subaerial vent mounds. Paleoenvironmentally diagnostic textures of sinters include wavy laminated, bubble mat and nodular fabrics, and for travertines comprise fossil terracette rims, wavy laminated, bubble mat, spherulitic, oncoidal, and peloidal fabrics. Of special note is the presence of relatively large (to 25 cm high), inferred subaqueous Conophyton structures in travertines, which serve as analogs for some Precambrian stromatolites and imply the presence of relatively deep pools maintained by voluminous spring discharges. The Claudia geothermal field is geographically and geologically linked to the Cerro Vanguardia epithermal project (total resource of similar to 7.8 million ounces Au equivalent) via proximity, similar veins, and structural linkages, making it an especially large and relevant prospect for the region. The combined Claudia-Cerro Vanguardia hydrothermal system likely represents a fortuitous alignment of focused fluid flow and structure conducive to forming a giant epithermal ore deposit, with respect to size, ore concentration and potentially duration, in the Late Jurassic of Patagonia. (C) 2014 Elsevier B.V. All rights reserved.</t>
  </si>
  <si>
    <t>[Guido, Diego M.] Univ Nacl La Plata, CONICET, Inst Recursos Minerales INREMI, RA-1900 La Plata, Argentina; [Campbell, Kathleen A.] Univ Auckland, Sch Environm, Auckland 1142, New Zealand</t>
  </si>
  <si>
    <t>National University of La Plata; Consejo Nacional de Investigaciones Cientificas y Tecnicas (CONICET); University of Auckland</t>
  </si>
  <si>
    <t>Guido, DM (corresponding author), Univ Nacl La Plata, CONICET, Inst Recursos Minerales INREMI, Calle 64 &amp; 120, RA-1900 La Plata, Argentina.</t>
  </si>
  <si>
    <t>diegoguido@yahoo.com</t>
  </si>
  <si>
    <t>Campbell, Kathleen/0000-0002-4815-2519; Guido, Diego/0000-0003-4696-5644</t>
  </si>
  <si>
    <t>National Geographic Society; University of Auckland's Faculty Research Development Fund; INREMI (Instituto de Recursos Minerales)</t>
  </si>
  <si>
    <t>National Geographic Society(National Geographic Society); University of Auckland's Faculty Research Development Fund; INREMI (Instituto de Recursos Minerales)</t>
  </si>
  <si>
    <t>We gratefully acknowledge the National Geographic Society, INREMI (Instituto de Recursos Minerales), and the University of Auckland's Faculty Research Development Fund for financial and other support of this project. Mirasol Resources supplied the original field data that allowed us to work on the Claudia deposits, while the Hochschild Mining Argentina Company granted access permission for field work on the mining property.</t>
  </si>
  <si>
    <t>10.1016/j.jvolgeores.2014.02.013</t>
  </si>
  <si>
    <t>AG7WE</t>
  </si>
  <si>
    <t>WOS:000335628700006</t>
  </si>
  <si>
    <t>Mansilla, A; Rodriguez, JP; Souza, JMC; Rosenfeld, S; Ojeda, J; Yokoya, NS</t>
  </si>
  <si>
    <t>Mansilla, Andres; Rodriguez, Juan Pablo; Souza, Jonatas M. C.; Rosenfeld, Sebastian; Ojeda, Jaime; Yokoya, Nair S.</t>
  </si>
  <si>
    <t>Growth responses to temperature, salinity and nutrient variations, and biomass variation and phenology of Ahnfeltia plicata (Rhodophyta, Ahnfeltiales): a commercially interesting agarophyte from the Magellanic Region, Chile</t>
  </si>
  <si>
    <t>Ahnfeltiales; Auxins; Cytokinins; Phenology; Salinity; Temperature</t>
  </si>
  <si>
    <t>PHYCOERYTHRIN-DEFICIENT STRAINS; ALGA GRACILARIA-TIKVAHIAE; LIGHT-HARVESTING SYSTEM; BENTHIC MARINE-ALGAE; LIFE-HISTORY; RED; PIGMENT; MORPHOLOGY; TOLERANCE; SEAWEEDS</t>
  </si>
  <si>
    <t>Ahnfeltia plicata (Hudson) E.M. Fries (Rhodophyta, Ahnfeltiales) is one of the most commercially important agarophytes in the world for its production of agar that is high quality and low in sulfate content. In the Magellanic Region, A. plicata forms extensive beds with high biomass production, which could be commercially exploited for agar production. The purposes of this study were to determine the optimal conditions of temperature, salinity, and culture medium; to evaluate the effects of different types and concentrations of auxins and cytokinins on growth of red and yellow gametophytes; and to provide background information on ecological parameters of natural population of A. plicata. Temperatures of 5, 8, 15, and 23 A degrees C were tested, and the interaction of salinity of 25 and 35 psu with Provasoli enriched medium in half (PES/2) and quarter strength (PES/4), and with von Stosch enriched medium in half (VSES/2) and quarter strength (VSES/4) was also conducted. Concentrations of 5.0 and 50.0 mu M of two auxins (indole-3-acetic acid (IAA), 2,4-dichlorophenoxyacetic acid (2,4-D)), and two cytokinins (isopentenyladenine (iP) and benzylaminopurine) were added to VSES medium and gelled with 0.5 % agar. Each treatment was tested with three replicates. Red gametophytes of A. plicata tolerate a range of temperature variation, from 5 to 23 A degrees C, and the optimum temperature for growth was 15 A degrees C. The highest growth rate was observed in salinity of 35 psu with half strength of von Stosch culture medium. Red and yellow gametophytes showed different responses to plant growth regulators, and red gametophytes were more sensitive than yellow ones to the addition of IAA and high concentration of iP. However, growth of red gametophytes of A. plicata was stimulated by 2,4-D. The differential sensitivity of red and yellow gametophytes to plant growth regulators suggests the need to test other types and concentrations of auxins and cytokinins.</t>
  </si>
  <si>
    <t>[Mansilla, Andres; Rodriguez, Juan Pablo; Rosenfeld, Sebastian; Ojeda, Jaime] Univ Magallanes, Lab Macroalgas Antarticas &amp; Subantarticas, Punta Arenas, Chile; [Mansilla, Andres; Rosenfeld, Sebastian] IEB, Santiago, Chile; [Souza, Jonatas M. C.; Yokoya, Nair S.] Nucleo Pesquisa Ficol, Inst Bot, BR-04301012 Sao Paulo, Brazil</t>
  </si>
  <si>
    <t>Universidad de Magallanes; Instituto de Botanica - Sao Paulo</t>
  </si>
  <si>
    <t>Mansilla, A (corresponding author), IEB, Santiago, Chile.</t>
  </si>
  <si>
    <t>Rodriguez, Juan Pablo Loyola/AAP-8193-2020; de Souza, Jonatas MArtinez Canuto/AAY-3538-2020; Yokoya, Nair S/F-1571-2015; Ojeda, Jaime/HHN-1455-2022; Fapesp, Biota/F-8655-2017</t>
  </si>
  <si>
    <t>Rodriguez, Juan Pablo Loyola/0000-0003-0892-0082; de Souza, Jonatas MArtinez Canuto/0000-0003-1325-1899; Rosenfeld, Sebastian/0000-0002-4363-8018; Fapesp, Biota/0000-0002-9887-8449; ojeda, jaime/0000-0003-3863-9750; Mansilla, Andres/0000-0003-3505-7018</t>
  </si>
  <si>
    <t>FONDEF; CONICYT, Chile [DO8I1163, MEC 80100021]; CNPq (Brazil); Institute of Ecology and Biodiversity (Chile) [ICM P05-002]; Master of Science in Conservations and Management of Sub-Antarctic Ecosystem of the University of Magallanes</t>
  </si>
  <si>
    <t>FONDEF; CONICYT, Chile(Comision Nacional de Investigacion Cientifica y Tecnologica (CONICYT)); CNPq (Brazil)(Conselho Nacional de Desenvolvimento Cientifico e Tecnologico (CNPQ)); Institute of Ecology and Biodiversity (Chile); Master of Science in Conservations and Management of Sub-Antarctic Ecosystem of the University of Magallanes</t>
  </si>
  <si>
    <t>The authors thank the support from FONDEF and CONICYT, Chile (Project DO8I1163 to AM and Project MEC 80100021 to NSY). Research fellowship from CNPq (Brazil) to NSY is also acknowledged. Dr. T. Contador, E. Velasquez, and Kelly Moses (University of North Texas, USA) were acknowledge for translation and revision of the English manuscript. S. Rosenfeld would like to thank the scholarship provided by the Institute of Ecology and Biodiversity (Chile) (code ICM P05-002) and the Master of Science in Conservations and Management of Sub-Antarctic Ecosystem of the University of Magallanes.</t>
  </si>
  <si>
    <t>10.1007/s10811-013-0150-0</t>
  </si>
  <si>
    <t>AF1UA</t>
  </si>
  <si>
    <t>WOS:000334498200050</t>
  </si>
  <si>
    <t>Scott, DB; Asioli, A</t>
  </si>
  <si>
    <t>Scott, David B.; Asioli, Alessandra</t>
  </si>
  <si>
    <t>A TESTATE RHIZOPOD ASSEMBLAGE IN AN EXTREME ENVIRONMENT: THE ANTARCTIC PERMANENTLY ICE-COVERED LAKE HOARE (TAYLOR VALLEY)</t>
  </si>
  <si>
    <t>MCMURDO DRY VALLEYS; SOUTHERN VICTORIA-LAND; ALGAL MATS; SEDIMENTS; ECOLOGY; FAUNA; THECAMOEBIANS; ARCELLACEANS; DYNAMICS; HISTORY</t>
  </si>
  <si>
    <t>The McMurdo Dry Valleys comprise the largest relatively ice-free area in Antarctica and are characterized by low precipitation rates. Perennial ice cover on the dry valley lakes decreases the amount of solar radiation reaching the water column, thereby reducing the interaction between the atmosphere and the water column. However, the ice partly shelters the lake ecosystems from the harsh Antarctic climate. Two cores, collected from Lake Hoare in the Taylor Valley in 1995, contained testate rhizopods (mostly Arcella) that have only chitinous organic tests with no agglutinated material, unlike other testate rhizopods that use detrital material to build a test. Additionally, a limited number of possible ostracod carapaces and possible rotifer resting-stage remains were present. The testate rhizopod concentration is generally higher in layers containing abundant bacterial/algal-mat fragments. This reflects the local sedimentation pattern in which layers of alternating mat growth and sediment accumulation on the ice surface subsequently fall to the lake bottom.</t>
  </si>
  <si>
    <t>[Scott, David B.] Dalhousie Univ, Ctr Environm &amp; Marine Geol, Halifax, NS B3H 3J5, Canada; [Asioli, Alessandra] CNR, UOS, Ist Geosci &amp; eorisorse, I-35131 Padua, Italy</t>
  </si>
  <si>
    <t>Dalhousie University; Consiglio Nazionale delle Ricerche (CNR)</t>
  </si>
  <si>
    <t>Scott, DB (corresponding author), Dalhousie Univ, Ctr Environm &amp; Marine Geol, Halifax, NS B3H 3J5, Canada.</t>
  </si>
  <si>
    <t>dbscott@dal.ca</t>
  </si>
  <si>
    <t>Asioli, Alessandra/ACY-3400-2022</t>
  </si>
  <si>
    <t>Asioli, Alessandra/0000-0002-2060-4659</t>
  </si>
  <si>
    <t>10.2113/gsjfr.44.2.177</t>
  </si>
  <si>
    <t>AG1XD</t>
  </si>
  <si>
    <t>WOS:000335208600007</t>
  </si>
  <si>
    <t>Tong, LX; Liu, XH; Wang, YB; Liang, XR</t>
  </si>
  <si>
    <t>Tong, Laixi; Liu, Xiaohan; Wang, Yanbin; Liang, Xirong</t>
  </si>
  <si>
    <t>Metamorphic P-T paths of metapelitic granulites from the Larsemann Hills, East Antarctica</t>
  </si>
  <si>
    <t>LITHOS</t>
  </si>
  <si>
    <t>Metamorphic P-T paths; Metapelitic granulites; Larsemann Hills; East Antarctica</t>
  </si>
  <si>
    <t>PRINCE-CHARLES MOUNTAINS; PRYDZ-BAY; RAUER GROUP; BRATTSTRAND BLUFFS; FACIES PARAGNEISS; SOSTRENE ISLAND; FINAL SUTURE; U-PB; GARNET; CONSTRAINTS</t>
  </si>
  <si>
    <t>Through detailed textural observations, a peak M1 assemblage garnet + orthopyroxene + cordierite + K-feldspar has been identified in a structurally early Al-rich metapelitic granulite lens from the Larsemann Hills, East Antarctica. The M1 assemblage has been overprinted by M2 cordierite corona and M3 orthopyroxene + cordierite symplectite on garnet grains. Quantitative modeling for the peak M1 assemblage via the THERMOCALC program in the KFMASH system suggests that it was formed by the crossing of the univariant reaction garnet + biotite =cordierite + orthopyroxene + K-feldspar+ melt under P-T conditions of 6-8 kbar and 840-880 degrees C, followed by post-peak near isobaric cooling. However, the average P-T calculations for the boron-bearing pelitic granulite indicate that peak M1 conditions reached similar to 9.0 kbar and similar to 900 degrees C, and the overprinting M2 assemblage formed under P-T conditions of similar to 7.0 kbar and 800-850 degrees C, reflecting a post-peak near isothermal decompression. P-T estimates show that M3 conditions reached 4-5 kbar and 700-750 degrees C. These imply that the M1 metamorphic evolution of the region displays contrasting P-T paths, while M2 to M3 evolution indicates a decompression-cooling process. The available chronological data support that the M1 metamorphic evolution occurred during the late Proterozoic (1000-900 Ma) Grenvillian high-grade compression tectonic event (D1), and was accompanied by strong magmatism, showing a close affinity to the northern Prince Charles Mountains and the Rayner complex. However, the overprinted M2 to M3 metamorphic evolution formed during the early Palaeozoic (similar to 530 Ma) Pan-African high-grade tectonic events (D2-D3), and was associated with an important intracontinental reworking. This study presents an example for interpreting a complex polymetamorphic history. (C) 2014 Elsevier B.V. All rights reserved.</t>
  </si>
  <si>
    <t>[Tong, Laixi; Liang, Xirong] Chinese Acad Sci, State Key Lab Isotope Geochem, Guangzhou Inst Geochem, Guangzhou 510640, Guangdong, Peoples R China; [Liu, Xiaohan] Chinese Acad Sci, Inst Tibetan Plateau, Beijing 100085, Peoples R China; [Wang, Yanbin] Chinese Acad Geol Sci, Inst Geol, Beijing 100037, Peoples R China</t>
  </si>
  <si>
    <t>Chinese Academy of Sciences; Guangzhou Institute of Geochemistry, CAS; Chinese Academy of Sciences; Institute of Tibetan Plateau Research, CAS; China Geological Survey; Institute of Geology, Chinese Academy of Geological Sciences; Chinese Academy of Geological Sciences</t>
  </si>
  <si>
    <t>Tong, LX (corresponding author), Chinese Acad Sci, State Key Lab Isotope Geochem, Guangzhou Inst Geochem, Guangzhou 510640, Guangdong, Peoples R China.</t>
  </si>
  <si>
    <t>lxtong@gig.ac.cn</t>
  </si>
  <si>
    <t>NSFC [40976122, 40631004, 41073014]; State Oceanic Administration [10/11ZS03-Z504]; State Geological Survey project [1212011121006]</t>
  </si>
  <si>
    <t>NSFC(National Natural Science Foundation of China (NSFC)); State Oceanic Administration; State Geological Survey project</t>
  </si>
  <si>
    <t>We thank the leaders and members of the 14th and 27th Chinese National Antarctic Research Expedition (CHINARE) for the logistic support during the 1997-1998 and 2010-2011 Antarctic fieldtrips. The constructive comments on the early manuscript of this paper by Prof. C.J.L. Wilson are very much appreciated. We are also very grateful to Dr. Georg Zellmer for his kind help with a careful correction of English expression on this paper. The valuable comments by Editor Prof. M. Scambelluri and the detailed and critical comments and suggestions by Prof. E.S. Grew and an anonymous reviewer are particularly acknowledged. This study has been supported by the NSFC projects (40976122, 40631004, 41073014), the State Oceanic Administration projects (10/11ZS03-Z504), and a State Geological Survey project (1212011121006). This is contribution No. IS-1749 from GIG-CAS.</t>
  </si>
  <si>
    <t>0024-4937</t>
  </si>
  <si>
    <t>1872-6143</t>
  </si>
  <si>
    <t>Lithos</t>
  </si>
  <si>
    <t>10.1016/j.lithos.2014.01.013</t>
  </si>
  <si>
    <t>Geochemistry &amp; Geophysics; Mineralogy</t>
  </si>
  <si>
    <t>AG0JP</t>
  </si>
  <si>
    <t>WOS:000335102100007</t>
  </si>
  <si>
    <t>Carbone, M; Núñez-Pons, L; Ciavatta, ML; Castelluccio, F; Avila, C; Gavagnin, M</t>
  </si>
  <si>
    <t>Carbone, Marianna; Nunez-Pons, Laura; Ciavatta, M. Letizia; Castelluccio, Francesco; Avila, Conxita; Gavagnin, Margherita</t>
  </si>
  <si>
    <t>Occurrence of a Taurine Derivative in an Antarctic Glass Sponge</t>
  </si>
  <si>
    <t>Antarctica; Hexactinellid sponges; Marine natural products; Taurine; Anthranilic acid; 2-Anthranilamidoethanesulfonic acid sodium salt</t>
  </si>
  <si>
    <t>MARINE SPONGE; ACID</t>
  </si>
  <si>
    <t>The n-butanol extract of an Antarctic hexactinellid sponge, Anoxycalyx (Scolymastra) joubini, was found to contain a taurine-conjugated anthranilic acid, never reported so far either as a natural product or by synthesis. The compound was inactive against human cancer cells in an in vitro growth inhibitory test, and also showed no antibacterial activity.</t>
  </si>
  <si>
    <t>[Carbone, Marianna; Ciavatta, M. Letizia; Castelluccio, Francesco; Gavagnin, Margherita] CNR, Ist Chim Biomol, I-80078 Naples, Italy; [Nunez-Pons, Laura; Avila, Conxita] Univ Barcelona, Dept Anim Biol Invertebrates, E-08028 Barcelona, Catalonia, Spain; [Nunez-Pons, Laura; Avila, Conxita] Univ Barcelona, Fac Biol, Biodivers Res Inst IrBIO, E-08028 Barcelona, Catalonia, Spain</t>
  </si>
  <si>
    <t>Consiglio Nazionale delle Ricerche (CNR); Istituto di Chimica Biomolecolare (ICB-CNR); University of Barcelona; University of Barcelona</t>
  </si>
  <si>
    <t>Gavagnin, M (corresponding author), CNR, Ist Chim Biomol, Via Campi Flegrei 34, I-80078 Naples, Italy.</t>
  </si>
  <si>
    <t>mgavagnin@icb.cnr.it</t>
  </si>
  <si>
    <t>Gavagnin, Margherita/B-4584-2012; Avila, Conxita/B-9466-2008; CIAVATTA, MARIA LETIZIA/F-6722-2013</t>
  </si>
  <si>
    <t>Avila, Conxita/0000-0002-5489-8376; CARBONE, MARIANNA/0000-0003-3729-5714; CIAVATTA, MARIA LETIZIA/0000-0002-7308-1011</t>
  </si>
  <si>
    <t>Italian MIUR (PRIM KFMP7Z project); Spanish Government [CGL/2004-03356/ANT, CGL2007-65453/ANT, CTM2010-17415/ANT]</t>
  </si>
  <si>
    <t>Italian MIUR (PRIM KFMP7Z project); Spanish Government(Spanish Government)</t>
  </si>
  <si>
    <t>The staff of the ICB NMR facility is gratefully acknowledged. Thanks are due to V. Mirra for performing 2D NMR experiments, M. Zampa for mass measurements, F. J. Cristobo for sponge taxonomical identification, and W. Arntz and the crew of R/V Polarstern for logistic support during sampling. The authors also acknowledge Drs V. Mathieu and A. Zanfardino for the biological assays. This research work was financially supported by Italian MIUR (PRIM 2009 KFMP7Z project) and the Spanish Government through three Antarctic projects (CGL/2004-03356/ANT, CGL2007-65453/ANT and CTM2010-17415/ANT).</t>
  </si>
  <si>
    <t>NATURAL PRODUCTS INC</t>
  </si>
  <si>
    <t>WESTERVILLE</t>
  </si>
  <si>
    <t>7963 ANDERSON PARK LN, WESTERVILLE, OH 43081 USA</t>
  </si>
  <si>
    <t>AG0CS</t>
  </si>
  <si>
    <t>WOS:000335083500008</t>
  </si>
  <si>
    <t>Esper, O; Gersonde, R</t>
  </si>
  <si>
    <t>Esper, Oliver; Gersonde, Rainer</t>
  </si>
  <si>
    <t>New tools for the reconstruction of Pleistocene Antarctic sea ice</t>
  </si>
  <si>
    <t>Diatoms; Transfer function; Sea ice; Southern Ocean; Paleoceanography</t>
  </si>
  <si>
    <t>MAJOR DIATOM TAXA; SOUTHERN-OCEAN SEDIMENTS; PARTIAL LEAST-SQUARES; LAST GLACIAL MAXIMUM; SURFACE SEDIMENTS; SPATIAL AUTOCORRELATION; ATLANTIC SECTOR; EXTENT; BIOGEOGRAPHY; CALIBRATION</t>
  </si>
  <si>
    <t>Based on the quantitative analysis of diatom assemblages preserved in 274 surface sediment samples recovered in the Pacific, Atlantic and western Indian sectors of the Southern Ocean we have defined a new reference database for quantitative estimation of late-middle Pleistocene Antarctic sea ice fields using the transfer function technique. The Detrended Canonical Analysis (DCA) of the diatom data set points to a unimodal distribution of the diatom assemblages. Canonical Correspondence Analysis (CCA) indicates that not only winter sea ice (WSI) but also summer sea surface temperature (SSST) represent the most prominent environmental variables that control the spatial species distribution. To test the applicability of transfer functions for sea ice reconstruction in terms of concentration and occurrence probability we applied four different methods, the Imbrie and Kipp Method center dot(IKM), the Modem Analog Technique (MAT), Weighted Averaging (WA), and Weighted Averaging Partial Least Squares (WAPLS), using logarithm-transformed diatom data and satellite-derived (1981-2010) sea ice data as a reference. The best performance for IKM results was obtained using a subset of 172 samples with 28 diatom taxa/taxa groups, quadratic regression and a three-factor model (IKM-D172/28/3q) resulting in root mean square errors of prediction (RMSEP) of 7.27% and 11.4% for WSI and summer sea ice (SSI) concentration, respectively. MAT estimates were calculated with different numbers of analogs (4, 6) using a 274-sample/28-taxa reference data set (MAT-D274/28/4an, -6an) resulting in RMSEP ranging from 5.52% (4an) to 5.91% (6an) for WSI as well as 8.93% (4an) to 9.05% (Gan) for SSI. WA and WAPLS performed less well with the D274 data set, compared to MAT, achieving WSI concentration RMSEP of 9.91% with WA and 11.29% with WAPLS, recommending the use of IKM and MAT. The application of IKM and MAT to surface sediment data revealed strong relations to the satellite-derived winter and summer sea ice field. Sea ice reconstructions performed on an Atlantic- and a Pacific Southern Ocean sediment core, both documenting sea ice variability over the past 150,000 yr (MIS 1 MIS 6), resulted in similar glacial/interglacial trends of IKM and MAT-based sea-ice estimates. On the average, however, IKM estimates display smaller WSI and slightly higher SSI concentration and probability at lower variability in comparison with MAT. This pattern is a result of different estimation techniques with integration of WSI and SSI signals in one single factor assemblage by applying IKM and selecting specific single samples, thus keeping close to the original diatom database and included variability, by MAT. In contrast to the estimation of WSI, reconstructions of past SSI variability remain weaker. Combined with diatom-based estimates, the abundance and flux pattern of biogenic opal represents an additional indication for the WSI and SSI extent. (C) 2014 Elsevier B.V. All rights reserved.</t>
  </si>
  <si>
    <t>[Esper, Oliver; Gersonde, Rainer] Helmholtz Zentrum Polar &amp; Meeresforsch, Alfred Wegener Inst, Bremerhaven, Germany</t>
  </si>
  <si>
    <t>Esper, O (corresponding author), Helmholtz Zentrum Polar &amp; Meeresforsch, Alfred Wegener Inst, Bremerhaven, Germany.</t>
  </si>
  <si>
    <t>Oliver.Esper@awi.de</t>
  </si>
  <si>
    <t>Esper, Oliver/0000-0002-4342-3471</t>
  </si>
  <si>
    <t>10.1016/j.palaeo.2014.01.019</t>
  </si>
  <si>
    <t>AF8PP</t>
  </si>
  <si>
    <t>WOS:000334978400021</t>
  </si>
  <si>
    <t>Goutte, A; Bustamante, P; Barbraud, C; Delord, K; Weimerskirch, H; Chastel, O</t>
  </si>
  <si>
    <t>Goutte, A.; Bustamante, P.; Barbraud, C.; Delord, K.; Weimerskirch, H.; Chastel, O.</t>
  </si>
  <si>
    <t>Demographic responses to mercury exposure in two closely related Antarctic top predators</t>
  </si>
  <si>
    <t>survival; Catharacta maccormicki; Brown Skua; capture-recapture; population projections; Southern Ocean; reproductive performance; pollution; heavy metals; Catharacta lonnbergi; population dynamics; South Polar Skua</t>
  </si>
  <si>
    <t>SKUAS CATHARACTA-SKUA; ECOLOGICAL RISK-ASSESSMENT; EXTINCTION RISK; REPRODUCTIVE SUCCESS; TEMPORAL VARIATION; RECAPTURE MODELS; SURVIVAL RATES; CLIMATE-CHANGE; PETRELS; DIET</t>
  </si>
  <si>
    <t>Although toxic chemicals constitute a major threat for wildlife, their effects have been mainly assessed at the individual level and under laboratory conditions. Predicting population-level responses to pollutants in natural conditions is a major and ultimate task in ecological and ecotoxicological research. The present study aims to estimate the effect of mercury (Hg) levels on future apparent survival rates and breeding performances. We used a long-term data set (similar to 10 years) and recently developed methodological tools on two closely related Antarctic top predators, the South Polar Skua Catharacta maccormicki from Adelie Land and the Brown Skua C. lonnbergi from the Kerguelen Archipelago. Adult survival rates and breeding probabilities were not affected by Hg levels, but breeding success in the following year decreased with increasing Hg levels. Although South Polar Skuas exhibited much lower Hg levels than Brown Skuas, they suffered from higher Hg-induced breeding failure. This species difference could be attributed to an interaction between Hg and other environmental perturbations, including climate change and a complex cocktail of pollutants. By including Hg-dependent demographic parameters in population models, we showed a weak population decline in response to increasing Hg levels. This demographic decline was more pronounced in South Polar Skuas than in Brown Skuas. Hence, Hg exposure differently affects closely related species. The wide range of environmental perturbations in Antarctic regions could exacerbate the demographic responses to Hg levels. In that respect, we urge future population modeling to take into account the coupled effects of climate change and anthropogenic pollution to estimate population projections.</t>
  </si>
  <si>
    <t>[Goutte, A.; Barbraud, C.; Delord, K.; Weimerskirch, H.; Chastel, O.] CNRS Univ Rochelle, CEBC, UMR 7372, F-79360 Villiers En Bois, France; [Bustamante, P.] CNRS Univ La Rochelle, Littoral Environm &amp; Soc LIENSs, UMR 7266, F-17000 La Rochelle, France</t>
  </si>
  <si>
    <t>Centre National de la Recherche Scientifique (CNRS); CNRS - Institute of Ecology &amp; Environment (INEE); Centre National de la Recherche Scientifique (CNRS); CNRS - Institute of Ecology &amp; Environment (INEE)</t>
  </si>
  <si>
    <t>Goutte, A (corresponding author), CNRS Univ Rochelle, CEBC, UMR 7372, F-79360 Villiers En Bois, France.</t>
  </si>
  <si>
    <t>Weimerskirch, Henri/K-7306-2019; Barbraud, Christophe/A-5870-2012; Goutte, Aurelie/F-7572-2017; Bustamante, Paco/G-5833-2011; Weimerskirch, Henri/F-5562-2013; Goutte, Aurelie/JZT-6808-2024</t>
  </si>
  <si>
    <t>Weimerskirch, Henri/0000-0002-0457-586X; Barbraud, Christophe/0000-0003-0146-212X; Bustamante, Paco/0000-0003-3877-9390; Goutte, Aurelie/0000-0001-8322-5843</t>
  </si>
  <si>
    <t>French Polar Institute (IPEV) [109]; Agence Nationale de la Recherche (ANR PolarTop); Terres Australes et Antarctiques Francaises, Zone Atelier de Recherches sur l'Environnement Antarctique et Subantarctique (CNRS-INEE)</t>
  </si>
  <si>
    <t>French Polar Institute (IPEV); Agence Nationale de la Recherche (ANR PolarTop)(Agence Nationale de la Recherche (ANR)); Terres Australes et Antarctiques Francaises, Zone Atelier de Recherches sur l'Environnement Antarctique et Subantarctique (CNRS-INEE)</t>
  </si>
  <si>
    <t>This project was supported by the French Polar Institute (IPEV, program 109, H. Weimerskirch), Agence Nationale de la Recherche (ANR PolarTop, O. Chastel), Terres Australes et Antarctiques Francaises, Zone Atelier de Recherches sur l'Environnement Antarctique et Subantarctique (CNRS-INEE). Field procedures and blood sampling were authorized by the Ethics Committee of IPEV and by the Comite de l'Environnement Polaire. The authors thank G. Bouteloup, R. Bernard, F. Angelier, B. Moe, and all the wintering field-workers involved in the long-term monitoring programs for their help on the field, and D. Besson for managing the long-term data base.</t>
  </si>
  <si>
    <t>10.1890/13-1229.1</t>
  </si>
  <si>
    <t>AF2WQ</t>
  </si>
  <si>
    <t>WOS:000334573600025</t>
  </si>
  <si>
    <t>Lohaiza, F; Velasco, H; Ayub, JJ; Rizzotto, M; Di Gregorio, DE; Huck, H; Valladares, DL</t>
  </si>
  <si>
    <t>Lohaiza, F.; Velasco, H.; Ayub, J. Juri; Rizzotto, M.; Di Gregorio, D. E.; Huck, H.; Valladares, D. L.</t>
  </si>
  <si>
    <t>Annual variation of 7Be soil inventory in a semiarid region of central Argentina</t>
  </si>
  <si>
    <t>JOURNAL OF ENVIRONMENTAL RADIOACTIVITY</t>
  </si>
  <si>
    <t>Be-7; Be-7 areal activity; Relaxation mass depth; Arid environments; Central Argentina</t>
  </si>
  <si>
    <t>BERYLLIUM-7; EROSION; DEPOSITION; FALLOUT; CS-137; VARIABILITY; RATES</t>
  </si>
  <si>
    <t>Reliable information on environmental radionuclides atmospheric entrance, and their distribution along the soil profile, is a necessary condition for using these soil and sediment tracers to investigate key environmental processes. To address this need, Be-7 content in rainwater and the wet deposition in a semiarid region at San Luis Province, Argentina, were studied. Following these researches, in the same region, we have assessed the Be-7 content along a soil profile, during 2.5 years from September 2009 to January 2012. As expected, the specific activity values in soil samples in the wet period (November-April) were higher than in the dry period (May-October). During the investigated period (2009 - beginning 2012) and for all sampled points, the maximum value of the Be-7 specific activity (Bq kg(-1)) was measured at the surface level. A typical decreasing exponential function of Be-7 areal activity (Bq m(-2)) with soil mass depth (kg m(-2)) was found and the key distribution parameters were determined for each month. The minimum value of areal activity was 51 Bq m(-2) in August, and the maximum was 438 Bq m(-2) in February. The relaxation mass depth ranges from 2.9 kg m(-2) in March to 1.3 kg m(-2) in August. Be-7 wet deposition can explain in a very significant proportion the Be-7 inventory in soil. During the period of winds in the region (September and October), the Be-7 content in soil was greater than the expected contribution from wet deposition, situation that is compatible with a higher relative contribution of dry deposition at this period of the year. (C) 2014 Elsevier Ltd. All rights reserved.</t>
  </si>
  <si>
    <t>[Lohaiza, F.; Velasco, H.; Ayub, J. Juri; Rizzotto, M.; Valladares, D. L.] Univ Nacl San Luis, CONICET, Inst Matemat Aplicada San Luis, Grp Estudios Ambientales, San Luis, Argentina; [Di Gregorio, D. E.; Huck, H.] Comis Nacl Energia Atom, Dept Fis, RA-1650 San Martin, Buenos Aires, Argentina; [Di Gregorio, D. E.; Huck, H.] Univ Nacl San Martin, Escuela Ciencia &amp; Tecnol, RA-1650 San Martin, Buenos Aires, Argentina</t>
  </si>
  <si>
    <t>Universidad Nacional de San Luis; Consejo Nacional de Investigaciones Cientificas y Tecnicas (CONICET); Comision Nacional de Energia Atomica (CNEA)</t>
  </si>
  <si>
    <t>Velasco, H (corresponding author), Univ Nacl San Luis, CONICET, Inst Matemat Aplicada San Luis, Grp Estudios Ambientales, Ejercito los Andes 950,D5700HHW, San Luis, Argentina.</t>
  </si>
  <si>
    <t>rh.velasco@gmail.com</t>
  </si>
  <si>
    <t>Velasco, Hugo/0000-0002-3850-4621; Juri Ayub, Jimena/0000-0003-3999-5730</t>
  </si>
  <si>
    <t>Consejo Nacional de Investigaciones Cientificas y Tecnicas (CONICET); Universidad Nacional de San Luis; Universidad Nacional de San Martin; Fundacion Bunge y Born, Argentina; International Atomic Energy Agency (IAEA)</t>
  </si>
  <si>
    <t>Consejo Nacional de Investigaciones Cientificas y Tecnicas (CONICET)(Consejo Nacional de Investigaciones Cientificas y Tecnicas (CONICET)); Universidad Nacional de San Luis; Universidad Nacional de San Martin; Fundacion Bunge y Born, Argentina; International Atomic Energy Agency (IAEA)(International Atomic Energy Agency)</t>
  </si>
  <si>
    <t>This research was supported by the Consejo Nacional de Investigaciones Cientificas y Tecnicas (CONICET), Universidad Nacional de San Luis, Universidad Nacional de San Martin, and Fundacion Bunge y Born, Argentina. Investigations were undertaken within the framework of the Co-operation Agreement for the Promotion of Nuclear Science and Technology in Latin America and the Caribbean (ARCAL) RLA 5051: Using Environmental Radionuclides as Indicators of Land Degradation in Latin American, Caribbean and Antarctic Ecosystems, project supported by the International Atomic Energy Agency (IAEA). The authors would like to thank the Ulrich family, which kindly allowed the access to their property to perform our study. The authors are grateful to Dr. Lionel Mabit for his constructive comments and suggestions along all manuscript, which were highly appreciated.</t>
  </si>
  <si>
    <t>0265-931X</t>
  </si>
  <si>
    <t>1879-1700</t>
  </si>
  <si>
    <t>J ENVIRON RADIOACTIV</t>
  </si>
  <si>
    <t>J. Environ. Radioact.</t>
  </si>
  <si>
    <t>10.1016/j.jenvrad.2014.01.006</t>
  </si>
  <si>
    <t>AF1OY</t>
  </si>
  <si>
    <t>WOS:000334484400010</t>
  </si>
  <si>
    <t>Kern, Y; Rodrigues, AR; Absher, TM</t>
  </si>
  <si>
    <t>Kern, Yargos; Rodrigues, Andre Rosch; Absher, Theresinha Monteiro</t>
  </si>
  <si>
    <t>Colonization of soft sediments by benthic communities: An experimental approach in Admiralty Bay, King George Island</t>
  </si>
  <si>
    <t>Antarctica; Colonization; Macrobenthos; Soft-sediment</t>
  </si>
  <si>
    <t>SHALLOW ANTARCTIC WATERS; SEASONAL-VARIATION; PELAGIC LARVAE; MARTEL INLET; SIGNY ISLAND; ECOLOGY; GROWTH; MACROINVERTEBRATES; RECRUITMENT; GASTROPODS</t>
  </si>
  <si>
    <t>In order to understand nearshore biological community colonization following impact events that affect the distribution and occurrence of species and subsequent recovery a manipulative experiment was set up in King George Island. This work aimed to study colonization patterns of benthic macrofauna in defaunated soft sediment, comparing them with occurrence patterns of macrofaunal benthic organisms found in the natural soft sediment of adjacent areas, in shallow waters of Admiralty Bay, King George Island, Antarctic Peninsula. For this, a manipulative field experiment was installed through SCUBA diving at 22 m depth in front of the Antarctic Brazilian Station. Samples of defaunated and natural soft-sediments were analyzed. Defaunated soft sediment in plastic boxes (a = 0.02 m(2)) were deployed in the seabed and examined after 6, 12 or 18 months. Natural soft-sediment collected with cylindrical corers of 10 cm in diameter (a = 0.08 m(2)), in adjacent areas at the experiment installation and during the changing and removal of the experimental boxes, were also analyzed. Altogether, 20,680 organisms belonging to 6 phyla among 42 species were identified. Thirty three taxa out of the 42 recorded were common in both natural and defaunated sediment types, 6 taxa occurred only in natural sediment and 3 taxa only in defaunated sediment. The most abundant groups throughout the experiment were: Oligochaeta, Polychaeta, Bivalvia, Gastropoda and Crustacea. In the natural sediment a total of 10 species were considered Constant, 8 species Accessoiy, 21 species Accidental. In the defaunated sediment 14 species were Constant, 4 species Accessory, 18 species Accidental. Analysis of variance indicated significant differences in total abundance and in Torodrilus sp. abundance in the periods of 6 and 18 months, and MDS analysis showed a clear separation between natural and defaunated treatments. Torodilus sp. was the taxon with the highest relative contribution (26%) in natural sediment. In the defaunated sediment treatments, the most common taxa were cumacean Leuconidae morphotype 1 (19%) and the bivalve Yoldia eightsi (Couthouy, 1839) (18%). The statistical results indicated significant differences between the natural and defaunated treatments with respect to benthic macrofaunal associations. Species richness and abundance in defaunated treatment were less than in natural treatment. The results suggest that recovery levels in Antarctic waters after events of defaunation are very low and in order to be of value experiments may need to be for longer periods. (c) 2014 Elsevier B.V. All rights reserved.</t>
  </si>
  <si>
    <t>[Kern, Yargos; Absher, Theresinha Monteiro] Univ Fed Parana, Ctr Estudo Mar, Lab Moluscos Marinhos, BR-83255976 Pontal Do Parana, PR, Brazil; [Rodrigues, Andre Rosch] Univ Sao Paulo, Inst Oceanog, Dept Oceanog Biol, BR-05508900 Sao Paulo, Brazil</t>
  </si>
  <si>
    <t>Kern, Y (corresponding author), Univ Fed Parana, Ctr Estudo Mar, Lab Moluscos Marinhos, Av Beira Mar S-N, BR-83255976 Pontal Do Parana, PR, Brazil.</t>
  </si>
  <si>
    <t>yargosk@hotmail.com</t>
  </si>
  <si>
    <t>Rodrigues, Andre/D-4131-2015</t>
  </si>
  <si>
    <t>Rodrigues, Andre/0000-0003-1665-1708; Rodrigues, Andre Rosch/0000-0001-9524-0418</t>
  </si>
  <si>
    <t>CNPq (Conselho Nacional de Pesquisa) [Proc. 680044/00-0]; PROANTAR (Brazilian Antarctic Program); Brazilian Navy</t>
  </si>
  <si>
    <t>CNPq (Conselho Nacional de Pesquisa)(Conselho Nacional de Desenvolvimento Cientifico e Tecnologico (CNPQ)); PROANTAR (Brazilian Antarctic Program); Brazilian Navy</t>
  </si>
  <si>
    <t>The field and laboratory work was financially supported by CNPq (Conselho Nacional de Pesquisa - Proc. 680044/00-0) and PROANTAR (Brazilian Antarctic Program) and the Brazilian Navy. Special thanks are due to the crew of the Skua boat for help with the fieldwork. The authors are grateful to the SCUBA divers Prof. Dr. Paulo Cesar de Paiva, Cap. Luiz Cezar Freire and Mauricio Gil Vianna. We also thank Prof Dr Edmundo Ferraz Nonato and Dr Veronica Maria de Oliveira for the polychaete identification, Prof Dr Maria Teresa Valerio Bernardo and Carina Waitman Rodrigues for the crustaceans identification and especially to Professor Pamela Hallock Muller from the College of Marine Science, University of South Florida, for the English review. The research reported in this paper was a part of the principal author's Master degree work in the Post-Graduation Course in Coastal and Oceanic's System (PGSISCO).[SS]</t>
  </si>
  <si>
    <t>10.1016/j.jembe.2013.12.019</t>
  </si>
  <si>
    <t>AF1MB</t>
  </si>
  <si>
    <t>WOS:000334476900001</t>
  </si>
  <si>
    <t>Paital, B; Chainy, GBN</t>
  </si>
  <si>
    <t>Paital, Biswaranjan; Chainy, G. B. N.</t>
  </si>
  <si>
    <t>Effects of temperature on complexes I and II mediated respiration, ROS generation and oxidative stress status in isolated gill mitochondria of the mud crab Scylla serrata</t>
  </si>
  <si>
    <t>Acute habitat warming; Mitochondrial respiration; Oxidative stress; Reactive oxygen species; Thermal adaptation</t>
  </si>
  <si>
    <t>CHILIKA LAGOON; ANTARCTIC BIVALVE; CLIMATE-CHANGE; VITAMIN-E; SULFIDE; CONSERVATION; CONSUMPTION; ADAPTATION; SALINITY; TISSUES</t>
  </si>
  <si>
    <t>Effects of fluctuations in habitat temperature (18-30 degrees) on mitochondrial respiratory behavior and oxidative metabolic responses in the euryhaline ectotherm Scylla serrate are not fully understood. In the present study, effects of different temperatures ranging from 12 to 40 degrees C on glutamate and succinate mediated mitochondrial respiration, respiratory control ratio (RCR), ATP generation rate, ratio for the utilization of phosphate molecules per atomic oxygen consumption (P/O), levels of lipid peroxidation and H2O2 in isolated gill mitochondria of S. serrata are reported. The pattern of variation in the studied parameters was similar for the two substrates at different temperatures. The values recorded for RCR ( &gt;= 3) and P/O ratio (1.4-2.7) at the temperature range of 15-25 degrees C were within the normal range reported for other animals (3-10 for RCR and 1.5-3 for P/O). Values for P/O ratio, ATP generation rate and RCR were highest at 18 degrees C when compared to the other assay temperatures. However, at low and high extreme temperatures, i.e. at 12 and 40 degrees C, states III and IV respiration rates were not clearly distinguishable from each other indicating that mitochondria were completely uncoupled. Positive correlations were noticed between temperature and the levels of both lipid peroxidation and H2O2. It is inferred that fluctuations on either side of ambient habitat temperature may adversely influence mitochondria respiration and oxidative metabolism in S. serrata. The results provide baseline data to understand the impacts of acute changes in temperature on ectotherms inhabiting estuarine or marine environments. (C) 2014 Elsevier Ltd. All rights reserved.</t>
  </si>
  <si>
    <t>[Paital, Biswaranjan; Chainy, G. B. N.] Utkal Univ, Dept Zool, Bhubaneswar 751004, Orissa, India; [Chainy, G. B. N.] Utkal Univ, Dept Biotechnol, Bhubaneswar 751004, Orissa, India</t>
  </si>
  <si>
    <t>Utkal University; Utkal University</t>
  </si>
  <si>
    <t>Paital, B (corresponding author), Indian Inst Sci, Dept Mol Reprod Dev &amp; Genet, GA 10, Bangalore 560012, Karnataka, India.</t>
  </si>
  <si>
    <t>biswaranjanpaital@gmail.com</t>
  </si>
  <si>
    <t>Chainy, Gagan B N/G-7020-2012; Chainy, Gagan B N/JCE-6464-2023; Paital, Biswaranjan/N-1585-2015</t>
  </si>
  <si>
    <t>Chainy, Gagan B N/0000-0002-6418-0480; Chainy, Gagan B N/0000-0002-6418-0480; Paital, Biswaranjan/0000-0002-5285-6578</t>
  </si>
  <si>
    <t>University Grants Commission [31-284/2005]; Departmental Research in Science, UGC, University Grants Commission, Govt. of India, New Delhi [F.4-3/2006, XI plan/BSR/7-173/2007(BSR)]</t>
  </si>
  <si>
    <t>University Grants Commission(University Grants Commission, India); Departmental Research in Science, UGC, University Grants Commission, Govt. of India, New Delhi</t>
  </si>
  <si>
    <t>Enormous contribution of Prof. Hans-O. Portner for editing the entire article for language and conceptual errors is highly acknowledged. The work was supported by a financial Grant of the University Grants Commission, scheme no. F. No. 31-284/2005 (SR) to GBNC. BRP is extremely grateful to the Departmental Research in Science, UGC, University Grants Commission, Govt. of India, New Delhi for providing fellowship under RFSMS scheme as Research Fellow (F.4-3/2006) (XI plan/BSR/7-173/2007(BSR)). The authors are highly thankful to the Heads, Departments of Zoology and Departments of Biotechnology, Utkal University, India for providing necessary laboratory facilities.</t>
  </si>
  <si>
    <t>10.1016/j.jtherbio.2014.02.013</t>
  </si>
  <si>
    <t>AG0NR</t>
  </si>
  <si>
    <t>WOS:000335112700015</t>
  </si>
  <si>
    <t>Valderrama-Aravena, N; Pérez-Araneda, K; Avaria-Llautureo, J; Hernández, CE; Lee, M; Brante, A</t>
  </si>
  <si>
    <t>Valderrama-Aravena, Natalia; Perez-Araneda, Karla; Avaria-Llautureo, Jorge; Hernandez, Cristian E.; Lee, Matthew; Brante, Antonio</t>
  </si>
  <si>
    <t>Diversity of marine nematodes from Continental and Antarctic Chile: A morphological and molecular assessment</t>
  </si>
  <si>
    <t>Meiofauna; COI; 18S; nematode</t>
  </si>
  <si>
    <t>BIOLOGICAL IDENTIFICATIONS; MAXIMUM-LIKELIHOOD; DNA; MODEL; BARCODES; SEQUENCE; PRIMERS; PROMISE; SAMPLES</t>
  </si>
  <si>
    <t>Free-living nematodes are an important component of the marine benthos. In Chile there have been few studies on this group, and the majority has focused on the morphological aspect only. In this study, ribosomal 18S RNA and mitochondrial COI genes were used as genetic markers to complement morphological analyses to study the continental and Antarctic Chilean marine nematofauna. Different protocols for fixing, extracting and amplifying DNA were also tested. Not all the possible combinations produced good results. In fact, only the 18S gene showed consistently results. Phylogenetic analyses showed some discordance between classical taxonomy (i.e., based on morphology) and molecular data. These results suggest that taxonomic classification using integrative approaches including morphological characteristics and molecular information is needed to study the diversity and evolution of this complex group.</t>
  </si>
  <si>
    <t>[Valderrama-Aravena, Natalia; Perez-Araneda, Karla; Brante, Antonio] Univ Catolica Santisima Concepcion, Fac Ciencias, Dept Ecol, Concepcion, Chile; [Avaria-Llautureo, Jorge; Hernandez, Cristian E.] Univ Concepcion, Fac Ciencias Nat &amp; Oceanog, Dept Zool, Lab Ecol Evolut &amp; Filoinformat, Concepcion, Chile; [Lee, Matthew] Univ Los Lagos, Ctr I Mar, Puerto Montt, Chile</t>
  </si>
  <si>
    <t>Universidad Catolica de la Santisima Concepcion; Universidad de Concepcion; Universidad de Los Lagos</t>
  </si>
  <si>
    <t>Valderrama-Aravena, N (corresponding author), Univ Catolica Santisima Concepcion, Fac Ciencias, Dept Ecol, Alonso de Ribera 2850, Concepcion, Chile.</t>
  </si>
  <si>
    <t>abrante@ucsc.cl</t>
  </si>
  <si>
    <t>Hernández, Cristián E./GLS-1111-2022; Hernández, Cristián E./C-4414-2012; Lee, Matthew R/B-6360-2008; Hernández, Cristián E./AAS-1286-2020</t>
  </si>
  <si>
    <t>Hernández, Cristián E./0000-0002-9811-2881; Hernández, Cristián E./0000-0002-9811-2881; Perez-Araneda, karla/0000-0002-5073-5975; Brante, Antonio/0000-0002-2699-9700; Avaria-Llautureo, Jorge/0000-0002-8610-7428</t>
  </si>
  <si>
    <t>10.4067/S0718-19572014000100017</t>
  </si>
  <si>
    <t>AG2DK</t>
  </si>
  <si>
    <t>WOS:000335226000017</t>
  </si>
  <si>
    <t>Lang, SN; Zhao, B; Liu, XJ; Fang, GY</t>
  </si>
  <si>
    <t>Lang ShiNan; Zhao Bo; Liu XiaoJun; Fang GuangYou</t>
  </si>
  <si>
    <t>A new image processing method for discriminating internal layers from radio echo sounding data of ice sheets via a combined robust principal component analysis and total variation approach</t>
  </si>
  <si>
    <t>SCIENCE CHINA-TECHNOLOGICAL SCIENCES</t>
  </si>
  <si>
    <t>robust principal component analysis (RPCA); total variation (TV); discriminating internal layers from radio echo sounding data of ice sheets; conjugate gradient method</t>
  </si>
  <si>
    <t>WEST ANTARCTICA; RECONSTRUCTION</t>
  </si>
  <si>
    <t>Discriminating internal layers by radio echo sounding is important in analyzing the thickness and ice deposits in the Antarctic ice sheet. The signal processing method of synthesis aperture radar (SAR) has been widely used for improving the signal to noise ratio (SNR) and discriminating internal layers by radio echo sounding data of ice sheets. This method is not efficient when we use edge detection operators to obtain accurate information of the layers, especially the ice-bed interface. This paper presents a new image processing method via a combined robust principal component analysis-total variation (RPCA-TV) approach for discriminating internal layers of ice sheets by radio echo sounding data. The RPCA-based method is adopted to project the high-dimensional observations to low-dimensional subspace structure to accelerate the operation of the TV-based method, which is used to discriminate the internal layers. The efficiency of the presented method has been tested on simulation data and the dataset of the Institute of Electronics, Chinese Academy of Sciences, collected during CHINARE 28. The results show that the new method is more efficient than the previous method in discriminating internal layers of ice sheets by radio echo sounding data.</t>
  </si>
  <si>
    <t>[Lang ShiNan; Zhao Bo; Liu XiaoJun; Fang GuangYou] Chinese Acad Sci, Key Lab Electromagnet Radiat &amp; Sensing Technol, Beijing 100190, Peoples R China; [Lang ShiNan; Zhao Bo; Liu XiaoJun; Fang GuangYou] Chinese Acad Sci, Inst Elect, Beijing 100190, Peoples R China; [Lang ShiNan] Chinese Acad Sci, Grad Univ, Beijing 100049, Peoples R China</t>
  </si>
  <si>
    <t>Chinese Academy of Sciences; Chinese Academy of Sciences; Institute of Electronics, CAS; Chinese Academy of Sciences; University of Chinese Academy of Sciences, CAS</t>
  </si>
  <si>
    <t>Lang, SN (corresponding author), Chinese Acad Sci, Key Lab Electromagnet Radiat &amp; Sensing Technol, Beijing 100190, Peoples R China.</t>
  </si>
  <si>
    <t>langkevin@126.com</t>
  </si>
  <si>
    <t>Liu, Xiaojun/B-1625-2009; bo, zhao/JRY-8300-2023</t>
  </si>
  <si>
    <t>National Hi-Tech Research and Development Program of China (863 Project) [2011AA040202]; National Natural Science Foundation of China [40976114]</t>
  </si>
  <si>
    <t>National Hi-Tech Research and Development Program of China (863 Project)(National High Technology Research and Development Program of China); National Natural Science Foundation of China(National Natural Science Foundation of China (NSFC))</t>
  </si>
  <si>
    <t>This work was supported by the National Hi-Tech Research and Development Program of China (863 Project) (Grant No. 2011AA040202) and the National Natural Science Foundation of China (Grant No. 40976114). The authors would like to thank Dr. CUI XiangBin of Polar Research Institute of China for his valuable assistance in data acquisition.</t>
  </si>
  <si>
    <t>1674-7321</t>
  </si>
  <si>
    <t>1869-1900</t>
  </si>
  <si>
    <t>SCI CHINA TECHNOL SC</t>
  </si>
  <si>
    <t>Sci. China-Technol. Sci.</t>
  </si>
  <si>
    <t>10.1007/s11431-014-5501-9</t>
  </si>
  <si>
    <t>Engineering, Multidisciplinary; Materials Science, Multidisciplinary</t>
  </si>
  <si>
    <t>Engineering; Materials Science</t>
  </si>
  <si>
    <t>AF0JQ</t>
  </si>
  <si>
    <t>WOS:000334400500024</t>
  </si>
  <si>
    <t>Robertson, G; Candy, SG</t>
  </si>
  <si>
    <t>Robertson, Graham; Candy, Steven G.</t>
  </si>
  <si>
    <t>Does propeller turbulence affect the sink rate of baited hooks and their availability to seabirds in pelagic longline fisheries?</t>
  </si>
  <si>
    <t>AQUATIC CONSERVATION-MARINE AND FRESHWATER ECOSYSTEMS</t>
  </si>
  <si>
    <t>pelagic longline fisheries; propeller turbulence; hook sink rates; seabird by-catch; cooperative research</t>
  </si>
  <si>
    <t>WEIGHTING REGIMES; BYCATCH; ALBATROSSES; MORTALITY</t>
  </si>
  <si>
    <t>Experiments were conducted on three pelagic longline fishing vessels on the effects of propeller and hull turbulence on baited hook sink rates. Baited hooks were deployed to land in the sea: (i) close to the vessel's stern in the centre line of the propeller; into the wake zones on both (ii) upswing and (iii) downswing sides of the propeller; and outboard of wake zones on vessel (iv) upswing and (v) downswing sides. Two branch line deployment methods - the lead sinker first' and hook-and-sinker together'- were also assesssed. Branch line deployment method made no difference to the sink rates in each of the five bait landing positions. The sink rates within bait landing position varied among vessels as did the order of the sink profiles (fastest to slowest), indicating that results cannot be combined for all vessels. Within each of the three vessels, baited hooks in the centre position reached 3m depth 16%, 19% and 30% slower than those in the next slowest position. Mean sink times in propeller upswing and downswing zones were virtually the same. Sink times to 3m in these two positions and in the two positions outboard of vessel wakes varied by only 2s (0.02ms(-1)). Gear sank fastest outboard of vessel wakes on the downswing side of the propeller, but the advantage in deploying to this area was minor. To reduce bait availability to seabirds, hooks should be set to avoid the area of maximum propeller upwelling astern of vessels (i.e. the centre position). The absence of strong effects with the other bait landing positions dictates that rigging position of bird scaring streamer lines takes priority over landing position, and baits be set to areas that provide the most effective coverage (both laterally and distance astern) by streamer lines. Copyright (c) 2013 John Wiley &amp; Sons, Ltd.</t>
  </si>
  <si>
    <t>[Robertson, Graham; Candy, Steven G.] Australian Antarctic Div, 203 Channel Highway, Kingston, Tas 7050, Australia</t>
  </si>
  <si>
    <t>Robertson, G (corresponding author), Australian Antarctic Div, 203 Channel Highway, Kingston, Tas 7050, Australia.</t>
  </si>
  <si>
    <t>graham.robertson@aad.gov.au</t>
  </si>
  <si>
    <t>GAP Adventures/Planeterra Foundation (Canada); Birdlife International (UK)</t>
  </si>
  <si>
    <t>We are grateful to the skippers and crews of the F/Vs Estefania Carolina, Sarah-J and Samurai for their co-operation with this study. We thank Birdlife International Albatross Task Force members Rodrigo Vega, Sebastian Jimenez, Meidad Goran, John Paterson and Fabiano Peppes for help at sea on the Estefania Carolina, and Oli Yates for logistical support. We thank Steve Hall (Australian Fisheries Management Authority) for assistance at sea on the Sarah-J and Erik Poole (Sydney Fish Markets) for organizing the blue mackerel bait and freighting it to Mooloolaba. We are grateful to Ed Melvin and Troy Guy for loaning their TDRs. Finally, we are grateful to the GAP Adventures/Planeterra Foundation (Canada) and Birdlife International (UK) for financial assistance with the costs of vessel charter and the purchase and construction of the fishing gear. Comments by Ian Hay and two anonymous referees improved a draft.</t>
  </si>
  <si>
    <t>1052-7613</t>
  </si>
  <si>
    <t>1099-0755</t>
  </si>
  <si>
    <t>AQUAT CONSERV</t>
  </si>
  <si>
    <t>Aquat. Conserv.-Mar. Freshw. Ecosyst.</t>
  </si>
  <si>
    <t>10.1002/aqc.2373</t>
  </si>
  <si>
    <t>Environmental Sciences; Marine &amp; Freshwater Biology; Water Resources</t>
  </si>
  <si>
    <t>Environmental Sciences &amp; Ecology; Marine &amp; Freshwater Biology; Water Resources</t>
  </si>
  <si>
    <t>AE4DS</t>
  </si>
  <si>
    <t>WOS:000333931400005</t>
  </si>
  <si>
    <t>Tsuji, M; Yokota, Y; Kudoh, S; Hoshino, T</t>
  </si>
  <si>
    <t>Tsuji, Masaharu; Yokota, Yuji; Kudoh, Sakae; Hoshino, Tamotsu</t>
  </si>
  <si>
    <t>Improvement of direct ethanol fermentation from woody biomasses by the Antarctic basidiomycetous yeast, Mrakia blollopis, under a low temperature condition</t>
  </si>
  <si>
    <t>Cryophilic yeast; Antarctica; Ethanol fermentation; Direct ethanol fermentation; Woody biomass</t>
  </si>
  <si>
    <t>LIGNOCELLULOSIC BIOMASS; ADAPTATION; FUNGI</t>
  </si>
  <si>
    <t>The Antarctic basidiomycetous yeast Mrakia blollopis SK-4 can quite uniquely ferment various sugars under low temperature conditions. When strain SK-4 fermented lignocellulosic biomass using the direct ethanol fermentation (DEF) technique, approximately 30% to 65% of the theoretical ethanol yield was obtained without and with the addition of the non-ionic surfactant Tween 80, respectively. Therefore, DEF from lignocellulosic biomass with M. blollopis SK-4 requires the addition of a non-ionic surfactant to improve fermentation efficiency. DEF with lipase converted Eucalyptus and Japanese cedar to 12.6 g/l, and 14.6 g/l ethanol, respectively. In the presence of 1% (v/v) Tween 80 and 5 U/g-dry substrate lipase, ethanol concentration increased about 1.4- to 2.4-fold compared to that without Tween 80 and lipase. We therefore consider that the combination of M. blollopis SK-4 and DEF with Tween 80 and lipase has good potential for ethanol fermentation in cold environments. (C) 2014 Elsevier Inc. All rights reserved.</t>
  </si>
  <si>
    <t>[Tsuji, Masaharu; Hoshino, Tamotsu] Natl Inst Adv Ind Sci &amp; Technol, Biomass Refinery Res Ctr, Higashihiroshima, Hiroshima 7390046, Japan; [Yokota, Yuji] Natl Inst Adv Ind Sci &amp; Technol, Bioprod Res Inst, Toyohira Ku, Sapporo, Hokkaido 0628517, Japan; [Kudoh, Sakae] Natl Inst Polar Res, Tachikawa, Tokyo 1908518, Japan; [Hoshino, Tamotsu] Hokkaido Univ, Grad Sch Life Sci, Sapporo, Hokkaido 0600810, Japan</t>
  </si>
  <si>
    <t>National Institute of Advanced Industrial Science &amp; Technology (AIST); National Institute of Advanced Industrial Science &amp; Technology (AIST); Research Organization of Information &amp; Systems (ROIS); National Institute of Polar Research (NIPR) - Japan; Hokkaido University</t>
  </si>
  <si>
    <t>Tsuji, M (corresponding author), Natl Inst Adv Ind Sci &amp; Technol, Biomass Refinery Res Ctr, 3-11-32 Kagamiyama, Higashihiroshima, Hiroshima 7390046, Japan.</t>
  </si>
  <si>
    <t>spindletuber@gmail.com; tamotsu.hoshino@aist.go.jp</t>
  </si>
  <si>
    <t>HOSHINO, Tamotsu/R-2959-2019; Tsuji, Masaharu/M-6609-2019; Hoshino, Tamotsu/F-3357-2017</t>
  </si>
  <si>
    <t>Tsuji, Masaharu/0000-0002-9375-7998;</t>
  </si>
  <si>
    <t>NIPR under MEXT</t>
  </si>
  <si>
    <t>We are grateful to Dr. T. Minowa, (AIST, Japan) for providing mechanochemically treated Eucalyptus and Japanese cedar wood meals. This work is part of the Science Program of JARE-48. It was supported by NIPR under MEXT.</t>
  </si>
  <si>
    <t>10.1016/j.cryobiol.2013.12.008</t>
  </si>
  <si>
    <t>AE6ZG</t>
  </si>
  <si>
    <t>WOS:000334145900019</t>
  </si>
  <si>
    <t>Dushaw, BD; Menemenlis, D</t>
  </si>
  <si>
    <t>Dushaw, Brian D.; Menemenlis, Dimitris</t>
  </si>
  <si>
    <t>Antipodal acoustic thermometry: 1960, 2004</t>
  </si>
  <si>
    <t>Antipodal acoustics; Ocean modeling; Acoustic tomography; Climate change</t>
  </si>
  <si>
    <t>NORTH PACIFIC-OCEAN; HEARD ISLAND; HYDROACOUSTIC SIGNALS; UNDERWATER EXPLOSIONS; GENERAL-CIRCULATION; SOUND-TRANSMISSION; RANGE; BERMUDA; SPEED; AUSTRALIA</t>
  </si>
  <si>
    <t>On 21 March 1960, sounds from three 300-lb depth charges deployed at 5.5-min intervals off Perth, Australia were recorded by the SOFAR station at Bermuda. The recorded travel time of these signals, about 13,375 s, is a historical measure of the ocean temperature averaged across several ocean basins. The 1960 travel time measurement has about 3-s precision. High-resolution global ocean state estimates for 2004 from the Estimating the Circulation and Climate of the Ocean, Phase II (ECCO2) project were combined with ray tracing to determine the paths followed by the acoustic signals. The acoustic paths are refracted geodesics that are slightly deflected by either small-scale topographic features in the Southern Ocean or the coast of Brazil. The refractive influences of intense, small-scale oceanographic features, such as Agulhas Rings or eddies in the Antarctic Circumpolar Current, greatly reduce the necessary topographic deflection and cause the acoustic paths to meander in time. The ECCO2 ocean state estimates, which are constrained by model dynamics and available data, were used to compute present-day travel times. Measured and computed arrival coda were in good agreement. Based on recent estimates of warming of the upper ocean, the travel-time change over the past half-century was nominally expected to be about -9 s, but little difference between measured (1960) and computed (2004) travel times was found. Taking into account uncertainties in the 1960 measurements, the 2004 ocean state estimates, and other approximations, the ocean temperature averaged along the sound channel axis over the antipodal paths has warmed at a rate less than about 4.6 m degrees C yr(-1) (95% confidence). At this time, the estimated uncertainties are comparable in size to the expected warming signal, however. (C) 2014 The Authors. Published by Elsevier Ltd. All rights reserved.</t>
  </si>
  <si>
    <t>[Dushaw, Brian D.] Univ Washington, Appl Phys Lab, Seattle, WA 98105 USA; [Menemenlis, Dimitris] CALTECH, Jet Prop Lab, Pasadena, CA 91109 USA</t>
  </si>
  <si>
    <t>University of Washington; University of Washington Seattle; National Aeronautics &amp; Space Administration (NASA); NASA Jet Propulsion Laboratory (JPL); California Institute of Technology</t>
  </si>
  <si>
    <t>Dushaw, BD (corresponding author), Univ Washington, Appl Phys Lab, 1013 NE 40th St, Seattle, WA 98105 USA.</t>
  </si>
  <si>
    <t>dushaw@apl.washington.edu</t>
  </si>
  <si>
    <t>Menemenlis, Dimitris/G-8091-2017</t>
  </si>
  <si>
    <t>Menemenlis, Dimitris/0000-0001-9940-8409</t>
  </si>
  <si>
    <t>National Science Foundation [OCE-0850357]; Office of Naval Research [N00014-09-1-0446, N00014-12-1-0183]</t>
  </si>
  <si>
    <t>National Science Foundation(National Science Foundation (NSF)); Office of Naval Research(Office of Naval Research)</t>
  </si>
  <si>
    <t>This project was supported by National Science Foundation Grant OCE-0850357 and Office of Naval Research Grants N00014-09-1-0446, N00014-12-1-0183. D.M. performed this work at the Jet Propulsion Laboratory, California Institute of Technology, under contract with the National Aeronautics and Space Administration (NASA) Modeling Analysis and Prediction (MAP) Program. Thanks are due to Lieutenant Commander Ian Jempson RAN (Navigating Officer, ret.) of the Queensland Maritime Museum for providing essential assistance in the interpretation of the HMAS Diamantina Ship's Log and other information. We would like to thank the staffs of the National Archives of Australia and the Australian War Memorial for their helpful efficiency in locating and making available material related to HMAS Diamantina and the 1960 experiment.</t>
  </si>
  <si>
    <t>10.1016/j.dsr.2013.12.008</t>
  </si>
  <si>
    <t>AE8MR</t>
  </si>
  <si>
    <t>WOS:000334256500001</t>
  </si>
  <si>
    <t>Hou, ZF; Li, JJ; Song, CH; Zhang, J; Hui, ZC; Chen, SY; Xian, F</t>
  </si>
  <si>
    <t>Hou, Zhanfang; Li, Jijun; Song, Chunhui; Zhang, Jun; Hui, Zhengchuang; Chen, Shiyue; Xian, Feng</t>
  </si>
  <si>
    <t>Understanding Miocene Climate Evolution in Northeastern Tibet: Stable Carbon and Oxygen Isotope Records from the Western Tianshui Basin, China</t>
  </si>
  <si>
    <t>JOURNAL OF EARTH SCIENCE</t>
  </si>
  <si>
    <t>stable oxygen; carbon isotope; climate change; Miocene; Tianshui Basin</t>
  </si>
  <si>
    <t>SEA-DRILLING-PROJECT; LONGZHONG BASIN; LINXIA BASIN; NE MARGIN; MA; PLATEAU; NEOGENE; MAGNETOSTRATIGRAPHY; VEGETATION; SEDIMENTS</t>
  </si>
  <si>
    <t>To investigate climate evolution during the Miocene, especially during the Middle Miocene climate transition on the northeastern Tibetan Plateau, stable oxygen and carbon isotopes of carbonates from a 288-m-thick lacustrine-fluvial sediment sequence covering the period from 17.1 to 6.1 Ma from Tianshui Basin, China, were analyzed. The relatively low stable oxygen isotope values indicate the prevalence of wet climate conditions during the period of 17.1-13.6 Ma, an interval corresponding to the well-known Middle Miocene Climate Optimum. The interval between 13.6 and 11.0 Ma (i.e., the late Middle Miocene) is marked by a progressive increase in the delta O-18 values, indicative of a decrease in precipitation, probably linked to the expansion of the East Antarctic Ice Sheet and global cooling since about 14 Ma. The climate in the study area continued to get drier as shown by the enrichment of the heavy oxygen isotope from 11 Ma. We attribute these stepwise climatic changes as revealed by our carbonate delta O-18 record from the northeastern Tibetan Plateau to the sustained global cooling that may have reduced moist transport to Central Asia, which in turn led to a permanent aridification.</t>
  </si>
  <si>
    <t>[Hou, Zhanfang; Xian, Feng] Chinese Acad Sci, Inst Earth Environm, State Key Lab Loess &amp; Quaternary Geol, Xian 710054, Peoples R China; [Hou, Zhanfang; Li, Jijun; Zhang, Jun; Hui, Zhengchuang] Lanzhou Univ, Coll Earth &amp; Environm Sci, Lanzhou 730000, Peoples R China; [Hou, Zhanfang; Li, Jijun; Song, Chunhui; Zhang, Jun; Hui, Zhengchuang] Lanzhou Univ, MOE Key Lab Western Chinas Environm Syst, Lanzhou 730000, Peoples R China; [Hou, Zhanfang] Chinese Acad Sci, Grad Univ, Beijing 100039, Peoples R China; [Li, Jijun] Nanjing Normal Univ, Coll Geog Sci, Nanjing 210097, Jiangsu, Peoples R China; [Song, Chunhui] Lanzhou Univ, Sch Earth Sci, Lanzhou 730000, Peoples R China; [Chen, Shiyue] Liaocheng Univ, Coll Environm &amp; Planning, Liaocheng 252000, Peoples R China</t>
  </si>
  <si>
    <t>Chinese Academy of Sciences; Institute of Earth Environment, CAS; Lanzhou University; Lanzhou University; Chinese Academy of Sciences; University of Chinese Academy of Sciences, CAS; Nanjing Normal University; Lanzhou University; Liaocheng University</t>
  </si>
  <si>
    <t>Hou, ZF (corresponding author), Chinese Acad Sci, Inst Earth Environm, State Key Lab Loess &amp; Quaternary Geol, Xian 710054, Peoples R China.</t>
  </si>
  <si>
    <t>houzf@ieecas.cn</t>
  </si>
  <si>
    <t>Xian, Feng/B-1866-2009; xie, jing/KDO-9486-2024</t>
  </si>
  <si>
    <t>National Natural Science Foundation of China [40721061, 40871098, 41023006, 41072258]; National Basic Research Program of China [2010CB833405]; Open Foundation of State Key Laboratory Loess and Quaternary Geology, Institute of Earth Environment, CAS [SKLLQG1219]</t>
  </si>
  <si>
    <t>National Natural Science Foundation of China(National Natural Science Foundation of China (NSFC)); National Basic Research Program of China(National Basic Research Program of China); Open Foundation of State Key Laboratory Loess and Quaternary Geology, Institute of Earth Environment, CAS</t>
  </si>
  <si>
    <t>This work was support by the National Natural Science Foundation of China (Nos. 40721061, 40871098, 41023006, and 41072258), the National Basic Research Program of China (No. 2010CB833405) and the Open Foundation of State Key Laboratory Loess and Quaternary Geology, Institute of Earth Environment, CAS (No. SKLLQG1219). We are grateful to the two anonymous reviewers and editor G Yao for their insightful comments that have substantially improved the manuscript. We also thank T J Peng, B Liu, and S P Liu for assistance during field work. Our gratitude is also due to Prof. S Y Yu for useful comments and English improvement.</t>
  </si>
  <si>
    <t>CHINA UNIV GEOSCIENCES, WUHAN</t>
  </si>
  <si>
    <t>WUHAN</t>
  </si>
  <si>
    <t>388 LIMO RD, WUHAN, CHINA MAINLAND 430074, PEOPLES R CHINA</t>
  </si>
  <si>
    <t>1674-487X</t>
  </si>
  <si>
    <t>1867-111X</t>
  </si>
  <si>
    <t>J EARTH SCI-CHINA</t>
  </si>
  <si>
    <t>J. Earth Sci.</t>
  </si>
  <si>
    <t>10.1007/s12583-014-0416-8</t>
  </si>
  <si>
    <t>AE6IF</t>
  </si>
  <si>
    <t>WOS:000334093100014</t>
  </si>
  <si>
    <t>Shetye, SS; Sudhakar, M; Mohan, R; Jena, B</t>
  </si>
  <si>
    <t>Shetye, Suhas S.; Sudhakar, Maruthadu; Mohan, Rahul; Jena, Babula</t>
  </si>
  <si>
    <t>Contrasting Productivity and Redox Potential in Arabian Sea and Bay of Bengal</t>
  </si>
  <si>
    <t>paleoproductivity; geochemical; deglacial; organic carbon</t>
  </si>
  <si>
    <t>ORGANIC-MATTER; CARBON; PRECIPITATION; PRESERVATION; VARIABILITY; FLUXES; ACID</t>
  </si>
  <si>
    <t>Understanding the past and present changes is critical for evaluating the future climatic changes. In order to understand the paleoproductivity and depositional environments of Northern Indian Ocean, two sediment cores were collected, one each from the Arabian Sea (lat. 16 degrees 51.40 ' N and long. 71 degrees 54.37 ' E, water depth 803 m) and the Bay of Bengal (lat. 13 degrees 05.35 ' N and long. 91 degrees 28.21 ' E, water depth 3 054 m). The surface seawater samples indicate higher pCO(2) values in Arabian Sea as compared to the Bay of Bengal. The sediment organic carbon variations along with sedimentological and other geochemical parameters were studied. Sediment organic carbon varied from 0.5%-4.7% and 0.3%-1.22% in Arabian Sea and the Bay of Bengal, respectively. In Arabian Sea, low productivity, oxic conditions and less intense southwest monsoon prevailed during the deglacial period, whereas productivity has increased from last 16 kyr to the modern age. In the Bay of Bengal, organic carbon decreased from the Last Glacial Maxima (LGM) to the modern age, indicating higher productivity in the past as compared to modern age. Fe was associated with organic carbon in the Bay of Bengal and increased during LGM, showing similar trend to that of organic carbon, indicating that Fe may be the limiting factor for the growth of phytoplankton in the Bay of Bengal in the modern age. In the Bay of Bengal, Mn is enriched during modern age and is depleted during LGM, whereas chromium showed the opposite trend indicating anoxic conditions during the LGM, whereas in Arabian Sea the trends are opposite to the Bay of Bengal.</t>
  </si>
  <si>
    <t>[Shetye, Suhas S.; Mohan, Rahul; Jena, Babula] Natl Ctr Antarctic &amp; Ocean Res, Headland Sada 403804, Goa, India; [Sudhakar, Maruthadu] Prithvi Bhavan, Minist Earth Sci, New Delhi 11003, India</t>
  </si>
  <si>
    <t>Ministry of Earth Sciences of India</t>
  </si>
  <si>
    <t>The authors thank the Ministry of Earth Sciences of India for funding the study. The author also thanks NCAOR for providing the ship time for the core collections. The author thanks the captain and crew onboard A. A. Siderenko (Cruise No. 38) and Sagar Kanya (218) for their help during the core collection. This is NCAOR contribution No. 53/2012.</t>
  </si>
  <si>
    <t>10.1007/s12583-014-0415-9</t>
  </si>
  <si>
    <t>WOS:000334093100015</t>
  </si>
  <si>
    <t>Bromwich, DH; Nicolas, JP</t>
  </si>
  <si>
    <t>Bromwich, David H.; Nicolas, Julien P.</t>
  </si>
  <si>
    <t>How significant is West Antarctic warming? Reply</t>
  </si>
  <si>
    <t>[Bromwich, David H.] Ohio State Univ, Byrd Polar Res Ctr, Polar Meteorol Grp, Columbus, OH 43210 USA; Ohio State Univ, Dept Geog, Atmospher Sci Program, Columbus, OH 43210 USA</t>
  </si>
  <si>
    <t>Bromwich, DH (corresponding author), Ohio State Univ, Byrd Polar Res Ctr, Polar Meteorol Grp, Columbus, OH 43210 USA.</t>
  </si>
  <si>
    <t>bromwich.1@osu.edu</t>
  </si>
  <si>
    <t>Bromwich, David H/C-9225-2016</t>
  </si>
  <si>
    <t>10.1038/ngeo2127</t>
  </si>
  <si>
    <t>AE2PP</t>
  </si>
  <si>
    <t>WOS:000333815700003</t>
  </si>
  <si>
    <t>Xin, YF; Bian, LG; Rinke, A; Dethloff, K</t>
  </si>
  <si>
    <t>Xin YuFei; Bian LinGen; Rinke, Annette; Dethloff, Klaus</t>
  </si>
  <si>
    <t>Simulation and evaluation of 2-m temperature over Antarctica in polar regional climate model</t>
  </si>
  <si>
    <t>polar regional climate model; 2-m temperature; air temperature inversion; sensible heat flux</t>
  </si>
  <si>
    <t>SNOW TEMPERATURES; SYSTEM MODEL; SUMMIT; DOME; ICE; AIR</t>
  </si>
  <si>
    <t>The European Centre for Medium-Range Weather Forecasts Reanalysis ERA40, National Centers for Environmental Prediction (NCEP) 20th-century reanalysis, and three station observations along an Antarctic traverse from Zhongshan to Dome-A stations are used to assess 2-m temperature simulation skill of a regional climate model. This model (HIRHAM) is from the Alfred Wegener Institute for Polar and Marine Research in Germany. Results show: (1) The simulated multiyear averaged 2-m temperature field pattern is close to that of ERA40 and NCEP; (2) the cold bias relative to ERA40 over all of Antarctic regions is 1.8A degrees C, and that to NCEP reaches 5.1A degrees C; (3) bias of HIRHAM relative to ERA40 has seasonal variation, with a cold bias mainly in the summer, as much as 3.4A degrees C. There is a small inland warm bias in autumn of 0.3A degrees C. Further analysis reveals that the reason for the cold bias of 2-m temperature is that physical conditions of the near-surface boundary layer simulated by HIRHAM are different from observations: (1) During the summer, observations show that near-surface atmospheric stability conditions have both inversions and non-inversions, which is due to the existence of both positive and negative sensible heat fluxes, but HIRHAM almost always simulates a situation of inversion and negative sensible heat flux; (2) during autumn and winter, observed near-surface stability is almost always that of inversions, consistent with HIRHAM simulations. This partially explains the small bias during autumn and winter.</t>
  </si>
  <si>
    <t>[Xin YuFei; Bian LinGen] Chinese Acad Meteorol Sci, Beijing 100081, Peoples R China; [Rinke, Annette; Dethloff, Klaus] Alfred Wegener Inst Polar &amp; Marine Res, D-27570 Bremerhaven, Germany</t>
  </si>
  <si>
    <t>China Meteorological Administration; Chinese Academy of Meteorological Sciences (CAMS); Helmholtz Association; Alfred Wegener Institute, Helmholtz Centre for Polar &amp; Marine Research</t>
  </si>
  <si>
    <t>Bian, LG (corresponding author), Chinese Acad Meteorol Sci, Beijing 100081, Peoples R China.</t>
  </si>
  <si>
    <t>blg@cams.cma.gov.cn</t>
  </si>
  <si>
    <t>Rinke, Annette/B-4922-2014</t>
  </si>
  <si>
    <t>Rinke, Annette/0000-0002-6685-9219</t>
  </si>
  <si>
    <t>Program of China Polar Environment Investigation and Assessment; Basic Scientific Special Project Climate System Model of Chinese Academy of Meteorological Science [2012Z001]; National Natural Science Foundation of China [41005045, 41206179]</t>
  </si>
  <si>
    <t>Program of China Polar Environment Investigation and Assessment; Basic Scientific Special Project Climate System Model of Chinese Academy of Meteorological Science; National Natural Science Foundation of China(National Natural Science Foundation of China (NSFC))</t>
  </si>
  <si>
    <t>This research was supported by the Program of China Polar Environment Investigation and Assessment (2011-2015), the Basic Scientific Special Project Climate System Model of Chinese Academy of Meteorological Science (Grant No. 2012Z001) and the National Natural Science Foundation of China (Grant Nos. 41005045 and 41206179). The authors are thankful for AWS data collection from the members of the CHINAREN traverse route program, data preprocessing from Dr. Ma and the manuscript comments from two reviewers.</t>
  </si>
  <si>
    <t>10.1007/s11430-013-4709-z</t>
  </si>
  <si>
    <t>AE7KN</t>
  </si>
  <si>
    <t>WOS:000334176800012</t>
  </si>
  <si>
    <t>Budhavant, KB; Rao, PSP; Safai, PD</t>
  </si>
  <si>
    <t>Budhavant, Krishnakant Babanrao; Rao, Pasumarthi Surya Prakasa; Safai, Pramod Digambar</t>
  </si>
  <si>
    <t>Chemical Composition of Snow-Water and Scavenging Ratios over Costal Antarctica</t>
  </si>
  <si>
    <t>AEROSOL AND AIR QUALITY RESEARCH</t>
  </si>
  <si>
    <t>Antarctic snow samples; Chemical composition; Neutralization factor; Sea salt; Long-range transport</t>
  </si>
  <si>
    <t>SEA-SALT; SPATIAL VARIABILITY; SURFACE SNOW; DOME-C; CHEMISTRY; AEROSOL; MARINE; ACID; GLACIOCHEMISTRY; PRECIPITATION</t>
  </si>
  <si>
    <t>Snow samples and aerosol samples were collected at coastal Antarctica near Larsemann Hills and Maitri, during the 29th Indian Antarctic Expedition carried out during Dec., 2009 to March 2010. The main objective of this study was to characterize the chemical composition of fresh and surface snow at coastal Antarctica and to determine the scavenging ratios using composition of snow and aerosol samples. The pH of surface and fresh snow were 6.03 and 5.64 respectively. The surface snow samples were collected along a 127-km transect from the seaward edge of the ice shelf to the Antarctic plateau and analyzed for the presence of the major inorganic components SO42-, NO3-, Cl-, NH4+, Na+, K+, Ca2+ and Mg2+. It was observed that Na+ and Cl- were the most abundantly occurring ions at Antarctica. Considerable amount of SO42- was also found in the both fresh and surface snow which may be attributed to the long range transport from Northern Hemisphere as well as to the oxidation of DMS produced by marine phytoplankton. A higher percentage of the ions in fresh snow may be because of trapping of the particulate matter in it. The sea-salt components i.e., Na+, Cl- and Mg2+ decreased with increasing distance from the coast. The acidic components were neutralized mainly by NH4+ and Ca2+. The scavenging ratio was maximum for Na+ and minimum for NO3-, indicating that the scavenging efficiency was higher for coarse size particles and lower for fine size particles. In addition, we have attempted to find out the possible sources of the observed chemical species in snow-water.</t>
  </si>
  <si>
    <t>[Budhavant, Krishnakant Babanrao] Mald Climate Observ Hanimaadhoo, Hanimaadho, Maldives; [Rao, Pasumarthi Surya Prakasa; Safai, Pramod Digambar] Indian Inst Trop Meteorol, Pune, Maharashtra, India</t>
  </si>
  <si>
    <t>Ministry of Earth Sciences (MoES) - India; Indian Institute of Tropical Meteorology (IITM)</t>
  </si>
  <si>
    <t>Budhavant, KB (corresponding author), Mald Climate Observ Hanimaadhoo, Hanimaadho, Maldives.</t>
  </si>
  <si>
    <t>kbbudhavant@gmail.com</t>
  </si>
  <si>
    <t>Safai, P.D./AAL-9301-2021; BUDHAVANT, KRISHNAKANT/I-6766-2015</t>
  </si>
  <si>
    <t>BUDHAVANT, KRISHNAKANT/0000-0003-2753-3192</t>
  </si>
  <si>
    <t>TAIWAN ASSOC AEROSOL RES-TAAR</t>
  </si>
  <si>
    <t>TAICHUNG COUNTY</t>
  </si>
  <si>
    <t>CHAOYANG UNIV TECH, DEPT ENV ENG &amp; MGMT, PROD CTR AAQR, NO 168, JIFONG E RD, WUFONG TOWNSHIP, TAICHUNG COUNTY, 41349, TAIWAN</t>
  </si>
  <si>
    <t>1680-8584</t>
  </si>
  <si>
    <t>2071-1409</t>
  </si>
  <si>
    <t>AEROSOL AIR QUAL RES</t>
  </si>
  <si>
    <t>Aerosol Air Qual. Res.</t>
  </si>
  <si>
    <t>10.4209/aaqr.2013.03.0104</t>
  </si>
  <si>
    <t>AE1QI</t>
  </si>
  <si>
    <t>WOS:000333743900008</t>
  </si>
  <si>
    <t>Woodfield, EE</t>
  </si>
  <si>
    <t>Woodfield, Emma E.</t>
  </si>
  <si>
    <t>Autumn MIST 2013</t>
  </si>
  <si>
    <t>ASTRONOMY &amp; GEOPHYSICS</t>
  </si>
  <si>
    <t>Woodfield, EE (corresponding author), British Antarctic Survey, Cambridge, England.</t>
  </si>
  <si>
    <t>Woodfield, Emma/B-5313-2014</t>
  </si>
  <si>
    <t>Woodfield, Emma/0000-0002-0531-8814</t>
  </si>
  <si>
    <t>Science and Technology Facilities Council [ST/I001727/1] Funding Source: researchfish; STFC [ST/I001727/1] Funding Source: UKRI</t>
  </si>
  <si>
    <t>Science and Technology Facilities Council(UK Research &amp; Innovation (UKRI)Science &amp; Technology Facilities Council (STFC)); STFC(UK Research &amp; Innovation (UKRI)Science &amp; Technology Facilities Council (STFC))</t>
  </si>
  <si>
    <t>1366-8781</t>
  </si>
  <si>
    <t>1468-4004</t>
  </si>
  <si>
    <t>ASTRON GEOPHYS</t>
  </si>
  <si>
    <t>Astron. Geophys.</t>
  </si>
  <si>
    <t>Astronomy &amp; Astrophysics; Geochemistry &amp; Geophysics</t>
  </si>
  <si>
    <t>AE6CY</t>
  </si>
  <si>
    <t>WOS:000334077800019</t>
  </si>
  <si>
    <t>Iimura, H; Fritts, DC; Lieberman, RS; Wu, Q; Skinner, WR</t>
  </si>
  <si>
    <t>Iimura, H.; Fritts, D. C.; Lieberman, R. S.; Wu, Q.; Skinner, W. R.</t>
  </si>
  <si>
    <t>Interannual variability of the nonmigrating semidiurnal tide at high latitudes and stationary planetary wave in the opposite hemispheres</t>
  </si>
  <si>
    <t>Nonmigrating semidiurnal tide; Stationary planetary wave; Interannual variation; Nonlinear interaction</t>
  </si>
  <si>
    <t>LATENT-HEAT RELEASE; LOWER THERMOSPHERE; DIURNAL TIDES; NONLINEAR-INTERACTIONS; UPPER-ATMOSPHERE; SEASONAL-VARIATION; MIDDLE ATMOSPHERE; SABER EXPERIMENT; 8-HOUR TIDE; MESOSPHERE</t>
  </si>
  <si>
    <t>The westward propagating zonal wavenumber 1 nonmigrating semidiurnal tide (SW1) enhanced at high latitudes during summer in the mesosphere and lower thermosphere (MLT) is believed to originate from the nonlinear interaction between the migrating semidiurnal tide (SW2) and the stationary planetary wave zonal wavenumber 1 (SPW1) in the opposite winter hemispheres. This paper presents correlations of the SW1 over the Antarctic and Arctic and the SPW1 in the opposite hemispheres. The SW1 is determined from horizontal wind measurements by the TIMED Doppler Interferometer (TIDI) and the SPW1 is from temperature measurements by the Sounding the Atmosphere using Broadband Emission Radiometry (SABER), both aboard the NASA's Thermosphere Ionosphere Mesosphere Energetics and Dynamics (TIMED) satellite. We focus on the SW1 over the Antarctic and the SPW1 in the northern hemisphere during an interval from mid-September to mid-November, and the SW1 over the Arctic and the SPW1 in the southern hemisphere during an interval from mid-March to mid-May. Large interannual variations of the SW1 and SPW1 are exhibited in both northern and southern hemispheres. For amplitudes of the SW1 at 90 km and 82.5 degrees S, positive correlations are exhibited with SPW1 amplitudes at similar to 55 km in the equatorial region, and similar to 25 km and 55 degrees N. Although zonal SW1 amplitude at 95 km and 86.5 degrees N is positively correlated with SPW1 amplitudes at similar to 30 degrees S above 35 km, meridional SW1 amplitude is negatively correlated with SPW1 amplitudes equatorward of 30 degrees S. We also present results of a correlation analysis for SW3 amplitudes during an interval from mid-January to mid-March over the Antarctic and from mid-July to mid-September over the Arctic with SPW1 amplitudes. (C) 2014 Elsevier Ltd. All rights reserved.</t>
  </si>
  <si>
    <t>[Iimura, H.; Fritts, D. C.; Lieberman, R. S.] GATS Inc, Boulder, CO 80301 USA; [Wu, Q.] Natl Ctr Atmospher Res, High Latitude Observ, Boulder, CO 80307 USA; [Skinner, W. R.] Univ Michigan, Space Phys Lab, Ann Arbor, MI 48109 USA</t>
  </si>
  <si>
    <t>National Center Atmospheric Research (NCAR) - USA; University of Michigan System; University of Michigan</t>
  </si>
  <si>
    <t>Iimura, H (corresponding author), GATS Inc, Boulder, CO 80301 USA.</t>
  </si>
  <si>
    <t>iimura@gats-inc.com</t>
  </si>
  <si>
    <t>NSF [OPP-0389084]; NASA [NH12CF02C]</t>
  </si>
  <si>
    <t>NSF(National Science Foundation (NSF)); NASA(National Aeronautics &amp; Space Administration (NASA))</t>
  </si>
  <si>
    <t>This research was supported by NSF under grant OPP-0389084 and NASA under contract NH12CF02C.</t>
  </si>
  <si>
    <t>10.1016/j.jastp.2014.01.003</t>
  </si>
  <si>
    <t>AE5AG</t>
  </si>
  <si>
    <t>WOS:000333999600006</t>
  </si>
  <si>
    <t>Ivy, DJ; Solomon, S; Thompson, DWJ</t>
  </si>
  <si>
    <t>Ivy, Diane J.; Solomon, Susan; Thompson, David W. J.</t>
  </si>
  <si>
    <t>On the Identification of the Downward Propagation of Arctic Stratospheric Climate Change over Recent Decades*</t>
  </si>
  <si>
    <t>Stratospheric circulation; Arctic; Stratophere-troposphere coupling; Stratosphere; Annular mode</t>
  </si>
  <si>
    <t>SOUTHERN-HEMISPHERE; NORTHERN-HEMISPHERE; SUDDEN WARMINGS; SURFACE CLIMATE; TRENDS; VARIABILITY; TROPOSPHERE; CONNECTION; WEATHER; REGIMES</t>
  </si>
  <si>
    <t>Dynamical coupling between the stratospheric and tropospheric circumpolar circulations in the Arctic has been widely documented on month-to-month and interannual time scales, but not on longer time scales. In the Antarctic, both short- and long-term coupling extending from the stratosphere to the surface has been identified. In this study, changes in Arctic temperature, geopotential height, and ozone observed since the satellite era began in 1979 are examined, comparing dynamically quiescent years in which major sudden stratospheric warmings did not occur to all years. It is shown that this approach clarifies the behavior for years without major warmings and that dynamically quiescent years are marked by a strengthening of the Arctic polar vortex over the past 30 years. The associated declines in stratospheric temperatures, geopotential height, and ozone are qualitatively similar to those obtained in the Antarctic (albeit weaker), and propagate downward into the Arctic lowermost stratosphere during late winter and early spring. In sharp contrast to the Antarctic, the strengthening of the Arctic stratospheric vortex appears to originate at a higher altitude, and the propagation to the Arctic troposphere is both very limited and confined to the uppermost troposphere, even when only dynamically quiescent years are considered in the analysis.</t>
  </si>
  <si>
    <t>[Ivy, Diane J.; Solomon, Susan] MIT, Dept Earth Atmospher &amp; Planetary Sci, Cambridge, MA 02139 USA; [Thompson, David W. J.] Colorado State Univ, Dept Atmospher Sci, Ft Collins, CO 80523 USA</t>
  </si>
  <si>
    <t>Massachusetts Institute of Technology (MIT); Colorado State University</t>
  </si>
  <si>
    <t>Ivy, DJ (corresponding author), MIT, 77 Massachusetts Ave,54-1710, Cambridge, MA 02139 USA.</t>
  </si>
  <si>
    <t>divy@mit.edu</t>
  </si>
  <si>
    <t>Thompson, David/C-3520-2008; Thompson, David W J/F-9627-2012</t>
  </si>
  <si>
    <t>Thompson, David W J/0000-0002-5413-4376</t>
  </si>
  <si>
    <t>Div Atmospheric &amp; Geospace Sciences; Directorate For Geosciences [1343080] Funding Source: National Science Foundation</t>
  </si>
  <si>
    <t>Div Atmospheric &amp; Geospace Sciences; Directorate For Geosciences(National Science Foundation (NSF)NSF - Directorate for Geosciences (GEO))</t>
  </si>
  <si>
    <t>10.1175/JCLI-D-13-00445.1</t>
  </si>
  <si>
    <t>AE5HC</t>
  </si>
  <si>
    <t>WOS:000334017400001</t>
  </si>
  <si>
    <t>Leal, PP; Hurd, CL; Roleda, MY</t>
  </si>
  <si>
    <t>Leal, Pablo P.; Hurd, Catriona L.; Roleda, Michael Y.</t>
  </si>
  <si>
    <t>Meiospores produced in sori of nonsporophyllous laminae of Macrocystis pyrifera (Laminariales, Phaeophyceae) may enhance reproductive output</t>
  </si>
  <si>
    <t>JOURNAL OF PHYCOLOGY</t>
  </si>
  <si>
    <t>sporogenesis; sorus; germination; scimitar; sporophylls; spore viability; reproductive control; Macrocystis pyrifera</t>
  </si>
  <si>
    <t>GIANT-KELP MACROCYSTIS; PLEUROPHYCUS-GARDNERI PHAEOPHYCEAE; MORPHOLOGICAL VARIATION; DIGITATA PHAEOPHYCEAE; EGREGIA-MENZIESII; SPOROPHYTE DISCS; INTERTIDAL KELP; DECIDUOUS KELP; LIFE-HISTORY; GROWTH</t>
  </si>
  <si>
    <t>Different lamina of Macrocystis pyrifera sporophytes (i.e., sporophylls, pneumatocyst-bearing blades, and apical scimitars) in a wave-sheltered site were found to be fertile. We quantified their sorus surface area, reproductive output (number of spores released) and the viability of released spores (germination rate). Sorus area was greatest on the sporophylls, with sporangia developing on &gt;57% of the total area and smallest on the pneumatocyst-bearing blades with 21% of the total area bearing sporangia. The apical scimitar released the greatest number of meiospores (cells center dot mL(-1)center dot cm(-2)) and the sporophylls the least. Meiospores produced from all types of fertile laminae were equally viable. This reproductive plasticity may enhance reproductive output, and contribute to short and long-distance spore dispersal and the cryptic gametophyte propagule bank for the next generation of sporophytes.</t>
  </si>
  <si>
    <t>[Leal, Pablo P.; Hurd, Catriona L.; Roleda, Michael Y.] Univ Otago, Dept Bot, Dunedin 9054, New Zealand; [Hurd, Catriona L.] Univ Tasmania, Inst Marine &amp; Antarctic Studies, Hobart, Tas, Australia; [Roleda, Michael Y.] Bioforsk Norwegian Inst Agr &amp; Environm Res, N-8049 Bodo, Norway</t>
  </si>
  <si>
    <t>University of Otago; University of Tasmania; Bioforsk</t>
  </si>
  <si>
    <t>Leal, PP (corresponding author), Univ Otago, Dept Bot, POB 56, Dunedin 9054, New Zealand.</t>
  </si>
  <si>
    <t>pablo.sandoval@otago.ac.nz</t>
  </si>
  <si>
    <t>Roleda, Michael Y./H-9645-2019; Leal, Pablo P./N-3927-2019; Hurd, Catriona/J-2411-2013</t>
  </si>
  <si>
    <t>Roleda, Michael Y./0000-0003-0568-9081; Leal, Pablo P./0000-0002-7616-1850; Hurd, Catriona/0000-0001-9965-4917</t>
  </si>
  <si>
    <t>BECAS CHILE-CONICYT; Royal Society of New Zealand Marsden grant [UOO0914]</t>
  </si>
  <si>
    <t>BECAS CHILE-CONICYT; Royal Society of New Zealand Marsden grant(Royal Society of New ZealandMarsden Fund (NZ))</t>
  </si>
  <si>
    <t>Pablo P. Leal is supported by a scholarship from BECAS CHILE-CONICYT. Catriona L. Hurd and Michael Y. Roleda were supported by a Royal Society of New Zealand Marsden grant (UOO0914). We are grateful to Pamela Fernandez and Rocio Suarez for assisting in field sampling. We also thank the reviewers for the critical and helpful comments.</t>
  </si>
  <si>
    <t>0022-3646</t>
  </si>
  <si>
    <t>1529-8817</t>
  </si>
  <si>
    <t>J PHYCOL</t>
  </si>
  <si>
    <t>J. Phycol.</t>
  </si>
  <si>
    <t>10.1111/jpy.12159</t>
  </si>
  <si>
    <t>AE0AE</t>
  </si>
  <si>
    <t>WOS:000333625100016</t>
  </si>
  <si>
    <t>Carravieri, A; Bustamante, P; Churlaud, C; Fromant, A; Cherel, Y</t>
  </si>
  <si>
    <t>Carravieri, Alice; Bustamante, Paco; Churlaud, Carine; Fromant, Aymeric; Cherel, Yves</t>
  </si>
  <si>
    <t>Moulting patterns drive within-individual variations of stable isotopes and mercury in seabird body feathers: implications for monitoring of the marine environment</t>
  </si>
  <si>
    <t>WING-MOLT; BIRDS; CONTAMINATION; STRATEGIES; MORPHOLOGY; NITROGEN; ENERGY; CARBON</t>
  </si>
  <si>
    <t>One major limitation in the use of body feathers of seabirds as a monitoring tool of the trophic structure and contamination levels of marine ecosystems is the degree of heterogeneity in feather chemical composition within individuals. Here, we tested the hypothesis that moulting patterns drive body feather heterogeneity, with synchronous moult minimizing within-individual variations, in contrast to asynchronous feather growth. Chicks of white-chinned petrels Procellaria aequinoctialis (representative of bird chicks) and adults of king penguins Aptenodytes patagonicus (representative of adult penguins) that moult their body feathers synchronously showed very low within-individual variations in their feather delta C-13 and delta N-15 values and mercury (Hg) concentrations. By contrast, body feathers of adults of Antarctic prions Pachyptila desolata (representative of adult seabirds with asynchronous feather growth during a protracted moult) presented much higher within-individual variances for the three parameters. These findings have three important implications for birds presenting a synchronous body moult. (1) They suggest that all body feathers from the same individual have identical delta C-13 and delta N-15 values and Hg content. (2) They predict negligible within-individual variations in the body feather values of other useful stable isotopes, such as delta H-2 and delta S-34, as well as in the concentrations of other compounds that are deposited in the keratin structure. (3) Analysis of one or any number of pooled body feathers is equally representative of the individual. In conclusion, we recommend that long-term routine monitoring investigations focus on birds presenting synchronous rather than asynchronous moult of body feathers both in marine and terrestrial environments. This means targeting chicks rather than adults and, for seabirds, penguins rather than adults of flying species.</t>
  </si>
  <si>
    <t>[Carravieri, Alice; Fromant, Aymeric; Cherel, Yves] Univ La Rochelle, CNRS, CEBC, UMR 7372, F-79360 Villiers En Bois, France; [Carravieri, Alice; Bustamante, Paco; Churlaud, Carine; Fromant, Aymeric] Univ La Rochelle, CNRS, UMR 7266, Littoral Environm &amp; Soc LIENSs, F-17000 La Rochelle, France</t>
  </si>
  <si>
    <t>Centre National de la Recherche Scientifique (CNRS); CNRS - Institute of Ecology &amp; Environment (INEE); La Rochelle Universite; Centre National de la Recherche Scientifique (CNRS); CNRS - Institute of Ecology &amp; Environment (INEE); La Rochelle Universite</t>
  </si>
  <si>
    <t>Carravieri, A (corresponding author), Univ La Rochelle, CNRS, CEBC, UMR 7372, F-79360 Villiers En Bois, France.</t>
  </si>
  <si>
    <t>alice.carravieri@cebc.cnrs.fr</t>
  </si>
  <si>
    <t>Bustamante, Paco/G-5833-2011</t>
  </si>
  <si>
    <t>Bustamante, Paco/0000-0003-3877-9390; Fromant, Aymeric/0000-0002-3024-7659</t>
  </si>
  <si>
    <t>Region Poitou-Charentes; Agence Nationale de la Recherche (Program POLARTOP); Institut Polaire Francais Paul Emile Victor (IPEV) [109]; Terres Australes et Antarctiques Francaises (TAAF)</t>
  </si>
  <si>
    <t>Region Poitou-Charentes(Region Nouvelle-Aquitaine); Agence Nationale de la Recherche (Program POLARTOP)(Agence Nationale de la Recherche (ANR)); Institut Polaire Francais Paul Emile Victor (IPEV); Terres Australes et Antarctiques Francaises (TAAF)</t>
  </si>
  <si>
    <t>he authors thank fieldworkers who helped with collecting bird feathers, A. Jaeger for the preparation of some samples, G. Guillou for running stable isotope analysis and S. Patrick for helpful advice in statistical analyses. The present work was supported financially and logistically by the Region Poitou-Charentes through a PhD grant to AC, and by the Agence Nationale de la Recherche (Program POLARTOP, O. Chastel), the Institut Polaire Francais Paul Emile Victor (IPEV, Program No. 109, H. Weimerskirch) and the Terres Australes et Antarctiques Francaises (TAAF).</t>
  </si>
  <si>
    <t>10.1007/s00227-014-2394-x</t>
  </si>
  <si>
    <t>AE3TD</t>
  </si>
  <si>
    <t>WOS:000333899500019</t>
  </si>
  <si>
    <t>Decombeix, AL; Bomfleur, B; Taylor, EL; Taylor, TN</t>
  </si>
  <si>
    <t>Decombeix, Anne-Laure; Bomfleur, Benjamin; Taylor, Edith L.; Taylor, Thomas N.</t>
  </si>
  <si>
    <t>New insights into the anatomy, development, and affinities of corystosperm trees from the Triassic of Antarctica</t>
  </si>
  <si>
    <t>Triassic; Antarctica; Corystospermales; Kykloxylon; Jeffersonioxylon; secondary growth</t>
  </si>
  <si>
    <t>CENTRAL TRANSANTARCTIC MOUNTAINS; PERMINERALIZED STEMS; SEED FERNS; WOODWORTHIA-ARIZONICA; DICROIDIUM LEAVES; FOSSIL FOREST; RHEXOXYLON; CONIFER; RECONSTRUCTION; UMKOMASIA</t>
  </si>
  <si>
    <t>Anatomically preserved trunks and young stems of corystosperm seed ferns are described from the Triassic of Fremouw Peak, Beardmore Glacier area, Antarctica. Based on characters of the primary and secondary vascular system, these new specimens are assigned to Kykloxylon, a genus that was established based on young stems with attached Dicroidium leaf bases. The largest specimens illustrate how some secondary growth characters, such as unequal cambial activity, appeared during later development, which enables a better comparison of Kykloxylon with trunks assigned to other corystosperm genera. Jeffersonioxylon from the Gordon Valley, Antarctica, and Cuneumxylon from South America show strong similarities with the newly described larger Kykloxylon trunks from Fremouw Peak, and might be considered congeneric. Our results provide further support for the presence of two anatomically and morphologically distinct kinds of Dicroidium-bearing trees in the Triassic vegetation of Gondwana, one with a palm-like habit and Rhexoxylon stems and the other with a more Ginkgo-like habit and Kykloxylon/Cuneumxylon-type stems. (C) 2014 Elsevier B.V. All rights reserved.</t>
  </si>
  <si>
    <t>[Decombeix, Anne-Laure] CNRS, UMR AMAP, F-34000 Montpellier, France; [Decombeix, Anne-Laure] Univ Montpellier 2, UMR AMAP, F-34000 Montpellier, France; [Bomfleur, Benjamin] Swedish Museum Nat Hist, Dept Palaeobiol, SE-10405 Stockholm, Sweden; [Taylor, Edith L.; Taylor, Thomas N.] Univ Kansas, Dept Ecol &amp; Evolutionary Biol, Lawrence, KS 66045 USA; [Taylor, Edith L.; Taylor, Thomas N.] Univ Kansas, Nat Hist Museum, Lawrence, KS 66045 USA; [Taylor, Edith L.; Taylor, Thomas N.] Univ Kansas, Biodivers Inst, Lawrence, KS 66045 USA</t>
  </si>
  <si>
    <t>CIRAD; Centre National de la Recherche Scientifique (CNRS); Institut de Recherche pour le Developpement (IRD); Universite de Montpellier; CIRAD; Centre National de la Recherche Scientifique (CNRS); Institut de Recherche pour le Developpement (IRD); Universite de Montpellier; Swedish Museum of Natural History; University of Kansas; University of Kansas; University of Kansas</t>
  </si>
  <si>
    <t>Decombeix, AL (corresponding author), CNRS, UMR AMAP, F-34000 Montpellier, France.</t>
  </si>
  <si>
    <t>anne-laure.decombeix@cirad.fr</t>
  </si>
  <si>
    <t>Decombeix, Anne-Laure/H-3710-2013</t>
  </si>
  <si>
    <t>Decombeix, Anne-Laure/0000-0002-6348-0086; Bomfleur, Benjamin/0000-0002-2186-4970</t>
  </si>
  <si>
    <t>National Science Foundation [OPP-10943934]; Alexander von Humboldt-Foundation; Office of Polar Programs (OPP); Directorate For Geosciences [0943934] Funding Source: National Science Foundation</t>
  </si>
  <si>
    <t>National Science Foundation(National Science Foundation (NSF)); Alexander von Humboldt-Foundation(Alexander von Humboldt Foundation); Office of Polar Programs (OPP); Directorate For Geosciences(National Science Foundation (NSF)NSF - Directorate for Geosciences (GEO))</t>
  </si>
  <si>
    <t>This study was supported by funds from the National Science Foundation (grant OPP-10943934 to ELT and TNT) and the Alexander von Humboldt-Foundation (Feodor Lynen fellowship to BB). We would like to thank the members of the 2010-2011 austral season G-496 team, Ignacio Escapa, Erik Gulbranson, Patricia Ryberg, Andrew Schwendemann, Rudolph Serbet, and Brian Staite for their help in the field. The United States Antarctic Program and Raytheon Polar Services Corporation provided logistical support. Yves Caraglio (UMR AMAP, Montpellier) provided valuable information on extant growth ring anatomy. We gratefully acknowledge kind assistance in nomenclatural aspects by John McNeill (Royal Botanic Garden, Edinburgh). We also thank four anonymous reviewers for their comments on an earlier version of this manuscript. AMAP (Botany and Computational Plant Architecture) is a joint research unit which associates CIRAD (UMR51), CNRS (UMR5120), INRA (UMR931), IRD (R123), and Montpellier 2 University (UM2); http://amap.cirad.fr/.</t>
  </si>
  <si>
    <t>10.1016/j.revpalbo.2014.01.002</t>
  </si>
  <si>
    <t>AE5DP</t>
  </si>
  <si>
    <t>WOS:000334008300005</t>
  </si>
  <si>
    <t>Do, H; Kim, SJ; Kim, HJ; Lee, JH</t>
  </si>
  <si>
    <t>Do, Hackwon; Kim, Soon-Jong; Kim, Hak Jun; Lee, Jun Hyuck</t>
  </si>
  <si>
    <t>Structure-based characterization and antifreeze properties of a hyperactive ice-binding protein from the Antarctic bacterium Flavobacterium frigoris PS1</t>
  </si>
  <si>
    <t>ACTA CRYSTALLOGRAPHICA SECTION D-STRUCTURAL BIOLOGY</t>
  </si>
  <si>
    <t>DIATOM FRAGILARIOPSIS-CYLINDRUS; CRYSTAL-STRUCTURE; ISOFORM; CRYSTALLIZATION</t>
  </si>
  <si>
    <t>Ice-binding proteins (IBPs) inhibit ice growth through direct interaction with ice crystals to permit the survival of polar organisms in extremely cold environments. FfIBP is an ice-binding protein encoded by the Antarctic bacterium Flavobacterium frigoris PS1. The X-ray crystal structure of FfIBP was determined to 2.1 angstrom resolution to gain insight into its ice-binding mechanism. The refined structure of FfIBP shows an intramolecular disulfide bond, and analytical ultracentrifugation and analytical size-exclusion chromatography show that it behaves as a monomer in solution. Sequence alignments and structural comparisons of IBPs allowed two groups of IBPs to be defined, depending on sequence differences between the alpha 2 and alpha 4 loop regions and the presence of the disulfide bond. Although FfIBP closely resembles Leucosporidium (recently re-classified as Glaciozyma) IBP (LeIBP) in its amino-acid sequence, the thermal hysteresis (TH) activity of FfIBP appears to be tenfold higher than that of LeIBP. A comparison of the FfIBP and LeIBP structures reveals that FfIBP has different ice-binding residues as well as a greater surface area in the ice-binding site. Notably, the ice-binding site of FfIBP is composed of a T-A/G-X-T/N motif, which is similar to the ice-binding residues of hyperactive antifreeze proteins. Thus, it is proposed that the difference in TH activity between FfIBP and LeIBP may arise from the amino-acid composition of the ice-binding site, which correlates with differences in affinity and surface complementarity to the ice crystal. In conclusion, this study provides a molecular basis for understanding the antifreeze mechanism of FfIBP and provides new insights into the reasons for the higher TH activity of FfIBP compared with LeIBP.</t>
  </si>
  <si>
    <t>[Do, Hackwon; Lee, Jun Hyuck] Korea Polar Res Inst, Div Polar Life Sci, Inchon 406840, South Korea; [Do, Hackwon; Lee, Jun Hyuck] Univ Sci &amp; Technol, Dept Polar Sci, Inchon 406840, South Korea; [Kim, Soon-Jong] Mokpo Natl Univ, Dept Chem, Chungnam 534729, South Korea; [Kim, Hak Jun] Pukyong Natl Univ, Dept Chem, Pusan 608739, South Korea</t>
  </si>
  <si>
    <t>Korea Institute of Ocean Science &amp; Technology (KIOST); Korea Polar Research Institute (KOPRI); Mokpo National University; Pukyong National University</t>
  </si>
  <si>
    <t>junhyucklee@kopri.re.kr</t>
  </si>
  <si>
    <t>, Hackwon/0000-0001-7663-2010</t>
  </si>
  <si>
    <t>Korea Polar Research Institute (KOPRI) [PE14070]</t>
  </si>
  <si>
    <t>Korea Polar Research Institute (KOPRI)</t>
  </si>
  <si>
    <t>We thank the staff at the 5C and 7A beamlines of Pohang Accelerator Laboratory (PAL; Pohang, Republic of Korea) for their kind help with data collection. Preliminary X-ray diffraction analyses were performed at the X-ray facility home source of Korea Basic Science Institute (KBSI; Ochang, Republic of Korea). This work was supported by the Korea Polar Research Institute (KOPRI; grant No. PE14070).</t>
  </si>
  <si>
    <t>2059-7983</t>
  </si>
  <si>
    <t>ACTA CRYSTALLOGR D</t>
  </si>
  <si>
    <t>Acta Crystallogr. Sect. D-Struct. Biol.</t>
  </si>
  <si>
    <t>10.1107/S1399004714000996</t>
  </si>
  <si>
    <t>AE1UT</t>
  </si>
  <si>
    <t>WOS:000333756700014</t>
  </si>
  <si>
    <t>Payne, SJ; King, CK; Zamora, LM; Virtue, P</t>
  </si>
  <si>
    <t>Payne, Sarah J.; King, Catherine K.; Zamora, Lara Marcus; Virtue, Patti</t>
  </si>
  <si>
    <t>Temporal changes in the sensitivity of coastal Antarctic zooplankton communities to diesel fuel: A comparison between single- and multi-species toxicity tests</t>
  </si>
  <si>
    <t>Invertebrate toxicity; Water-accommodated fraction; Oil spill; Copepod; Hydrocarbon</t>
  </si>
  <si>
    <t>POLYCYCLIC AROMATIC-HYDROCARBONS; WATER-ACCOMMODATED FRACTIONS; CALANUS-FINMARCHICUS; SOLUBLE COMPONENTS; VESTFOLD HILLS; CRUDE-OIL; MARINE; COPEPOD; REPRODUCTION; PETROLEUM</t>
  </si>
  <si>
    <t>Despite increasing human activity and risk of fuel spills in Antarctica, little is known about the impact of fuel on Antarctic marine fauna. The authors performed both single- and multi-species (whole community) acute toxicity tests to assess the sensitivity of an Antarctic coastal zooplankton community to the water-accommodated fraction of Special Antarctic Blend diesel. Single-species tests using abundant copepods Oncaea curvata, Oithona similis, and Stephos longipes allowed comparisons of sensitivity of key taxa and of sensitivity estimates obtained from traditional single-species and more novel multi-species tests. Special Antarctic Blend diesel caused significant mortality and species compositional change in the zooplankton community within 4 d to 7 d. The sensitivity of the community also increased across the summer sampling period, with decreasing 7-d median lethal concentration (LC50) values for total petroleum hydrocarbons (TPH): 1091 mu g TPH/L in early January 2011, 353 mu g TPH/L in mid January 2011, and 186 mu g TPH/L in early February 2011. Copepods showed similar sensitivities to Special Antarctic Blend diesel in single-species tests (7-d LC50s: O. curvata, 158 mu g TPH/L; O. similis, 176 mu g TPH/L; S. longipes, 188 mu g TPH/L). The combined use of single- and multi-species toxicity tests is a holistic approach to assessing the sensitivity of key species and the interactions and interdependence between species, enabling a broader understanding of the effects of fuel exposure on the whole zooplankton community. Environ Toxicol Chem 2014;33:882-890. (c) 2014 SETAC</t>
  </si>
  <si>
    <t>[Payne, Sarah J.; Zamora, Lara Marcus; Virtue, Patti] Univ Tasmania, Inst Marine &amp; Antarctic Sci, Sandy Bay, Tas, Australia; [King, Catherine K.] Australian Antarctic Div, Kingston, Tas, Australia</t>
  </si>
  <si>
    <t>King, CK (corresponding author), Australian Antarctic Div, Kingston, Tas, Australia.</t>
  </si>
  <si>
    <t>cath.king@aad.gov.au</t>
  </si>
  <si>
    <t>King, Catherine K/G-7059-2017</t>
  </si>
  <si>
    <t>King, Catherine K/0000-0003-3356-0381; Virtue, Patti/0000-0002-9870-1256</t>
  </si>
  <si>
    <t>Australian Antarctic Division through Australian Antarctic Science Grants [2933, 3054]</t>
  </si>
  <si>
    <t>Australian Antarctic Division through Australian Antarctic Science Grants</t>
  </si>
  <si>
    <t>We sincerely thank K. Brown, J. van den Hoff, B. Sfiligoj, A. Miskelly, J. Ericson, and M. Ho for their assistance and advice during the Antarctic field season at Davis, and J. Wasley, K. Swadling, J. Stark, G. Hince, L. Wise, K. Konstantinos, S. George, P. Harrison, T. Raymond, and A. Cooper for their assistance and advice on the analysis and the preparation and review of this manuscript. This work was funded and supported by the Australian Antarctic Division through Australian Antarctic Science Grants awarded to King (Project 2933) and Harrison (Project 3054).</t>
  </si>
  <si>
    <t>10.1002/etc.2522</t>
  </si>
  <si>
    <t>AD8TO</t>
  </si>
  <si>
    <t>WOS:000333538700019</t>
  </si>
  <si>
    <t>Zornoza, JD</t>
  </si>
  <si>
    <t>Zornoza, J. D.</t>
  </si>
  <si>
    <t>Results and prospects of deep under-ground, under-water and under-ice experiments</t>
  </si>
  <si>
    <t>NUCLEAR INSTRUMENTS &amp; METHODS IN PHYSICS RESEARCH SECTION A-ACCELERATORS SPECTROMETERS DETECTORS AND ASSOCIATED EQUIPMENT</t>
  </si>
  <si>
    <t>4th Roma International Conference on Astroparticle Physics (RICAP)</t>
  </si>
  <si>
    <t>MAY 22-24, 2013</t>
  </si>
  <si>
    <t>Roma, ITALY</t>
  </si>
  <si>
    <t>Under-ground experiments; Under-water experiments; Under-ice experiments; Neutrino telescopes; Dark matter</t>
  </si>
  <si>
    <t>Astroparticle experiments have provided a long list of achievements both for particle physics and astrophysics. Many of these experiments require to be protected from the background produced by cosmic rays in the atmosphere. The main options for such protection are to build detectors deep under ground (mines, tunnels) or in the deep sea or Antarctic ice. In this proceeding we review the main results shown in the RICAP 2013 conference related with these kind of experiments and the prospects for the future. (C) 2013 Elsevier B.V. All rights reserved.</t>
  </si>
  <si>
    <t>Univ Valencia, CSIC, Inst Fis Corpuscular, IFIC, E-46071 Valencia, Spain</t>
  </si>
  <si>
    <t>University of Valencia; Consejo Superior de Investigaciones Cientificas (CSIC); CSIC - Instituto de Fisica Corpuscular (IFIC)</t>
  </si>
  <si>
    <t>Zornoza, JD (corresponding author), Univ Valencia, CSIC, Inst Fis Corpuscular, IFIC, Ed Inst Invest,AC22085, E-46071 Valencia, Spain.</t>
  </si>
  <si>
    <t>zornoza@ific.uv.es</t>
  </si>
  <si>
    <t>de Dios Zornoza, Juan/L-1604-2014</t>
  </si>
  <si>
    <t>de Dios Zornoza, Juan/0000-0002-1834-0690</t>
  </si>
  <si>
    <t>Spanish Ministerio de Ciencia e Innovacion (MICINN) [FPA2009-13983-C02-01, FPA2012-37528-C02-01, ACI2009-1020]; Consolider MultiDark [CSD2009-00064]; Generalitat Valenciana [Prometeo/2009/026]</t>
  </si>
  <si>
    <t>Spanish Ministerio de Ciencia e Innovacion (MICINN)(Spanish Government); Consolider MultiDark; Generalitat Valenciana(Center for Forestry Research &amp; Experimentation (CIEF))</t>
  </si>
  <si>
    <t>The authors acknowledge the financial support of the Spanish Ministerio de Ciencia e Innovacion (MICINN), Grants FPA2009-13983-C02-01, FPA2012-37528-C02-01, ACI2009-1020, Consolider MultiDark CSD2009-00064 and of the Generalitat Valenciana, Prometeo/2009/026.</t>
  </si>
  <si>
    <t>0168-9002</t>
  </si>
  <si>
    <t>1872-9576</t>
  </si>
  <si>
    <t>NUCL INSTRUM METH A</t>
  </si>
  <si>
    <t>Nucl. Instrum. Methods Phys. Res. Sect. A-Accel. Spectrom. Dect. Assoc. Equip.</t>
  </si>
  <si>
    <t>10.1016/j.nima.2013.10.086</t>
  </si>
  <si>
    <t>Instruments &amp; Instrumentation; Nuclear Science &amp; Technology; Physics, Nuclear; Physics, Particles &amp; Fields</t>
  </si>
  <si>
    <t>Instruments &amp; Instrumentation; Nuclear Science &amp; Technology; Physics</t>
  </si>
  <si>
    <t>AE2BK</t>
  </si>
  <si>
    <t>WOS:000333778100022</t>
  </si>
  <si>
    <t>Ogunjobi, O; Sivakumar, V; Mbatha, N</t>
  </si>
  <si>
    <t>Ogunjobi, Olakunle; Sivakumar, Venkataraman; Mbatha, Nkanyiso</t>
  </si>
  <si>
    <t>A Case Study of Energy Deposition and Absorption by Magnetic Cloud Electrons and Protons over the High Latitude Stations: Effects on the Mesosphere and Lower Thermosphere</t>
  </si>
  <si>
    <t>TERRESTRIAL ATMOSPHERIC AND OCEANIC SCIENCES</t>
  </si>
  <si>
    <t>Magnetic Cloud; Precipitation; MLT region; Absorption; Energy deposition; L shell</t>
  </si>
  <si>
    <t>MIDDLE ATMOSPHERE; RIOMETER; PLASMA; WIND; PRECIPITATION; IONOSPHERE; EVENTS; FIELDS; OZONE</t>
  </si>
  <si>
    <t>Several possible characteristics of magnetic clouds (MCs) have been discussed in the literature, but none appears to explain all the effects from accumulated observations. MC characteristics range from low proton temperature and plasma beta, to high magnetic field magnitude, to smooth rotation in the direction of the magnetic field thus resulting in strong geomagnetic disturbances. Varied instrumentation which is located not only in SANAE IV, Antarctica, but also at Halley, a same radial distance (L similar to 4) in the southern hemisphere and in the vicinity of a conjugate location in northern hemisphere provide an opportunity to test theories applied to high latitude heating rates on the arrival of MC. The Halley riometer is used to monitor coincidences of absorption with the arrival of MC which was observed on 8 November 2004. Using the Monte Carlo Energy Transport Model (MCETM), the corresponding altitude of electron and proton energy distribution indicates the importance of MC triggered geomagnetic storms on mesosphere dynamics.</t>
  </si>
  <si>
    <t>[Ogunjobi, Olakunle; Sivakumar, Venkataraman; Mbatha, Nkanyiso] Univ KwaZulu Natal, Sch Chem &amp; Phys, Durban, South Africa</t>
  </si>
  <si>
    <t>University of Kwazulu Natal</t>
  </si>
  <si>
    <t>Ogunjobi, O (corresponding author), Univ KwaZulu Natal, Sch Chem &amp; Phys, Durban, South Africa.</t>
  </si>
  <si>
    <t>olakunle.ukzn@gmail.com</t>
  </si>
  <si>
    <t>Sivakumar, V/B-4570-2009</t>
  </si>
  <si>
    <t>Sivakumar, V/0000-0003-2462-681X</t>
  </si>
  <si>
    <t>South African National Space Agency (SANSA)</t>
  </si>
  <si>
    <t>The authors are grateful for the availability of OMNI data provided by the GSFC/SPDF at the OMNIWeb interface, the NOAA/POES at NGDC and Finnish chain of riometers in SGO. The SuperDARN radar network and Halley riometer data are provided by the British Antarctic Survey, UK, from their Web site at http://psddb.nerc-bas.ac.uk/. And, the authors also express thanks to TAO's anonymous reviewers for their valuable comments and suggestions. Research is supported by the South African National Space Agency (SANSA).</t>
  </si>
  <si>
    <t>CHINESE GEOSCIENCE UNION</t>
  </si>
  <si>
    <t>PO BOX 23-59, TAIPEI 10764, TAIWAN</t>
  </si>
  <si>
    <t>1017-0839</t>
  </si>
  <si>
    <t>2311-7680</t>
  </si>
  <si>
    <t>TERR ATMOS OCEAN SCI</t>
  </si>
  <si>
    <t>Terr. Atmos. Ocean. Sci.</t>
  </si>
  <si>
    <t>10.3319/TAO.2013.10.14.01(AA)</t>
  </si>
  <si>
    <t>Geosciences, Multidisciplinary; Meteorology &amp; Atmospheric Sciences; Oceanography</t>
  </si>
  <si>
    <t>Geology; Meteorology &amp; Atmospheric Sciences; Oceanography</t>
  </si>
  <si>
    <t>AE2IL</t>
  </si>
  <si>
    <t>WOS:000333796400005</t>
  </si>
  <si>
    <t>Faux, CE; McInnes, JC; Jarman, SN</t>
  </si>
  <si>
    <t>Faux, Cassandra E.; McInnes, Julie C.; Jarman, Simon N.</t>
  </si>
  <si>
    <t>High-throughput real-time PCR and melt curve analysis for sexing Southern Ocean seabirds using fecal samples</t>
  </si>
  <si>
    <t>THERIOGENOLOGY</t>
  </si>
  <si>
    <t>Chromodomain helicase DNA-binding protein 1 gene; Real-time polymerase chain reaction; Avian sexing; Feces; Scat; High-throughput</t>
  </si>
  <si>
    <t>IDENTIFICATION; FECES; DNA</t>
  </si>
  <si>
    <t>Sex identification of birds is of great interest in ecological studies, however this can be very difficult in many species because their external features are almost monomorphic between the sexes. Molecular methodology has simplified this process but limitations still occur with widely accepted methods using polymerase chain reaction and gel electrophoresis, especially when applied to degraded DNA. Real-time polymerase chain reaction assays are emerging as a more efficient, sensitive, and higher throughput means of identification, but there are very few techniques validated using fecal samples and small target sizes. We present a real-time melt curve analysis assay targeting a small region of the CHD-1 gene allowing for high-throughput, sensitive, specific, and easy-to-interpret sexing results for a variety of Southern Ocean seabirds using fecal and tissue samples. (c) 2014 The Authors. Published by Elsevier Inc. All rights reserved.</t>
  </si>
  <si>
    <t>[Faux, Cassandra E.; McInnes, Julie C.; Jarman, Simon N.] Australian Antarctic Div, Kingston, Tas, Australia</t>
  </si>
  <si>
    <t>Faux, CE (corresponding author), Australian Antarctic Div, Kingston, Tas, Australia.</t>
  </si>
  <si>
    <t>cassy.faux@aad.gov.au</t>
  </si>
  <si>
    <t>McInnes, Julie C/C-2865-2014; Jarman, Simon/H-9265-2016</t>
  </si>
  <si>
    <t>McInnes, Julie/0000-0001-8902-5199; Jarman, Simon/0000-0002-0792-9686</t>
  </si>
  <si>
    <t>Australian Antarctic Science [4014]</t>
  </si>
  <si>
    <t>This work was funded by Australian Antarctic Science project number 4014, with Antarctic field work carried out under project 2722. Many people helped with sample collection, including Andrea Polanowski, Susan Doust, Nobuo Kokubun, Barbara Weinecke, Louise Emmerson, Sarah Way, Amber Clarke, Rachael Alderman, and Kris Canyon. Thanks to Department of Primary Industries, Parks, Water, and Environment Tasmania for the collection and use of the giant petrel flesh samples and albatross fecal samples.</t>
  </si>
  <si>
    <t>0093-691X</t>
  </si>
  <si>
    <t>1879-3231</t>
  </si>
  <si>
    <t>Theriogenology</t>
  </si>
  <si>
    <t>10.1016/j.theriogenology.2013.12.021</t>
  </si>
  <si>
    <t>Reproductive Biology; Veterinary Sciences</t>
  </si>
  <si>
    <t>AD7IU</t>
  </si>
  <si>
    <t>WOS:000333438200013</t>
  </si>
  <si>
    <t>Makhalanyane, TP; Valverde, A; Birkeland, NK; Cary, SC; Tuffin, IM; Cowan, DA</t>
  </si>
  <si>
    <t>Makhalanyane, Thulani P.; Valverde, Angel; Birkeland, Nils-Kare; Cary, Stephen C.; Tuffin, I. Marla; Cowan, Don A.</t>
  </si>
  <si>
    <t>Evidence for successional development in Antarctic hypolithic bacterial communities (vol 7, pg 2080, 2013)</t>
  </si>
  <si>
    <t>[Makhalanyane, Thulani P.; Valverde, Angel; Cowan, Don A.] Univ Pretoria, Dept Genet, Ctr Microbial Ecol &amp; Genom, ZA-0002 Pretoria, South Africa; [Makhalanyane, Thulani P.; Valverde, Angel; Tuffin, I. Marla; Cowan, Don A.] Univ Western Cape, Inst Microbial Biotechnol &amp; Metagen, Cape Town, South Africa; [Birkeland, Nils-Kare] Univ Bergen, Dept Biol, Ctr Geobiol, Bergen, Norway; [Cary, Stephen C.] Univ Waikato, Dept Biol Sci, Hamilton, New Zealand</t>
  </si>
  <si>
    <t>University of Pretoria; University of the Western Cape; University of Bergen; University of Waikato</t>
  </si>
  <si>
    <t>Makhalanyane, TP (corresponding author), Univ Pretoria, Dept Genet, Ctr Microbial Ecol &amp; Genom, ZA-0002 Pretoria, South Africa.</t>
  </si>
  <si>
    <t>Valverde, Angel/C-1308-2009; Trindade, Marla/AAU-9730-2020; Makhalanyane, Thulani P./C-6815-2012; Cowan, Donald A/E-3991-2012</t>
  </si>
  <si>
    <t>Trindade, Marla/0000-0002-2478-0270; Makhalanyane, Thulani P./0000-0002-8173-1678; Cowan, Donald A/0000-0001-8059-861X</t>
  </si>
  <si>
    <t>10.1038/ismej.2013.230</t>
  </si>
  <si>
    <t>AD4BA</t>
  </si>
  <si>
    <t>WOS:000333189700018</t>
  </si>
  <si>
    <t>Bonin, CA; Goebel, ME; Hoffman, JI; Burton, RS</t>
  </si>
  <si>
    <t>Bonin, Carolina A.; Goebel, Michael E.; Hoffman, Joseph I.; Burton, Ronald S.</t>
  </si>
  <si>
    <t>High male reproductive success in a low-density Antarctic fur seal (Arctocephalus gazella) breeding colony</t>
  </si>
  <si>
    <t>BEHAVIORAL ECOLOGY AND SOCIOBIOLOGY</t>
  </si>
  <si>
    <t>Paternity; Reproductive skew; Site fidelity; Breeding; Mating system; Microsatellite; Seal; Pinniped</t>
  </si>
  <si>
    <t>MULTILOCUS GENOTYPE DATA; MICROSATELLITE MARKERS; SITE FIDELITY; POPULATION-GROWTH; SIBSHIP INFERENCE; SEXUAL SELECTION; MATING SYSTEMS; ELEPHANT SEALS; SOUTH SHETLAND; RELATEDNESS</t>
  </si>
  <si>
    <t>Understanding how population density influences mating systems may lead to important insights into the plasticity of breeding behavior, but few natural systems allow for such studies. Antarctic fur seals (Arctocephalus gazella) provide an interesting model system because they breed in colonies of varying densities. Previous studies have largely focused on a high-density site at Bird Island, South Georgia. Here, 13 highly polymorphic microsatellite loci were used to conduct a genetic analysis of a low-density breeding colony of this species at Livingston Island, approximately 1,600 km south of South Georgia. The majority of adults seen ashore (n = 54) were sampled together with every pup born (n = 97) over four consecutive years. Paternities were confidently assigned for 34 out of the 97 pups. Two out of 23 sampled males accounted for the paternity of 28 % of all pups sampled during the study and 82 % of the pups with an assigned father. Moreover, a full likelihood pedigree inference method assigned a further eight paternities to a single unsampled male seal that is inferred to have held a territory during the season before the study began. The most successful males in our study easily surpassed the previous record for the total number of pups sired per male seal for the species. Furthermore, we identified two triads of full siblings implying that their parents remated in three consecutive years. These findings suggest that territorial male fur seals may achieve greater success in monopolizing access to breeding females when population density is relatively low.</t>
  </si>
  <si>
    <t>[Bonin, Carolina A.] Univ Calif San Diego, Scripps Inst Oceanog, Ctr Marine Biodivers &amp; Conservat, La Jolla, CA 92093 USA; [Goebel, Michael E.] NOAA, Antarctic Ecosyst Res Div, SW Fisheries Sci Ctr, Natl Marine Fisheries, La Jolla, CA 92037 USA; [Hoffman, Joseph I.] Univ Bielefeld, Dept Anim Behav, D-33501 Bielefeld, Germany; [Burton, Ronald S.] Univ Calif San Diego, Scripps Inst Oceanog, Div Marine Biol Res, La Jolla, CA 92093 USA</t>
  </si>
  <si>
    <t>University of California System; University of California San Diego; Scripps Institution of Oceanography; National Oceanic Atmospheric Admin (NOAA) - USA; University of Bielefeld; University of California System; University of California San Diego; Scripps Institution of Oceanography</t>
  </si>
  <si>
    <t>Bonin, CA (corresponding author), Univ Calif San Diego, Scripps Inst Oceanog, Ctr Marine Biodivers &amp; Conservat, 9500 Gilman Dr, La Jolla, CA 92093 USA.</t>
  </si>
  <si>
    <t>bonincarolina@gmail.com</t>
  </si>
  <si>
    <t>Burton, R/F-7694-2010; Hoffman, Joseph/K-7725-2012</t>
  </si>
  <si>
    <t>Burton, R/0000-0002-6995-5329; Hoffman, Joseph/0000-0001-5895-8949; Bonin Lewallen, Carolina/0000-0003-1162-7290</t>
  </si>
  <si>
    <t>National Science Foundation-Integrative Graduate Education and Research Traineeship Program [0903551]; Center for Marine Biodiversity and Conservation, Scripps Institution of Oceanography</t>
  </si>
  <si>
    <t>National Science Foundation-Integrative Graduate Education and Research Traineeship Program(National Science Foundation (NSF)); Center for Marine Biodiversity and Conservation, Scripps Institution of Oceanography</t>
  </si>
  <si>
    <t>C.A. Bonin is supported by the National Science Foundation-Integrative Graduate Education and Research Traineeship Program grant # 0903551 awarded by the Center for Marine Biodiversity and Conservation, Scripps Institution of Oceanography. The United States Antarctic Marine Living Resources Program provided resources for field and laboratory work; we especially thank Dr. Rennie Holt and George Watters for supporting this research. Laboratory infra-structure was provided by Protected Resources Division, Southwest Fisheries Science Center, National Oceanic and Atmospheric Administration, La Jolla, CA. We are grateful to the 'Programa Antartico Brasileiro' (PROANTAR) and the 'Ministerio da Ciencia and Technologia do Brasil' for transportation of CA Bonin from Punta Arenas to Cape Shirreff during the 2009-2010 field season. Invaluable field assistance was provided by Ryan Burner, Raymond Buchheit, and Birgitte MacDonald. Drs. Eric Lewallen and Phil Morin provided valuable comments on the previous versions of this manuscript.</t>
  </si>
  <si>
    <t>0340-5443</t>
  </si>
  <si>
    <t>1432-0762</t>
  </si>
  <si>
    <t>BEHAV ECOL SOCIOBIOL</t>
  </si>
  <si>
    <t>Behav. Ecol. Sociobiol.</t>
  </si>
  <si>
    <t>10.1007/s00265-013-1674-7</t>
  </si>
  <si>
    <t>Behavioral Sciences; Ecology; Zoology</t>
  </si>
  <si>
    <t>Behavioral Sciences; Environmental Sciences &amp; Ecology; Zoology</t>
  </si>
  <si>
    <t>AD1FL</t>
  </si>
  <si>
    <t>WOS:000332979400007</t>
  </si>
  <si>
    <t>Wisnieski, E; Bícego, MC; Montone, RC; Figueira, RCL; Ceschim, LMM; Mahiques, MM; Martins, CC</t>
  </si>
  <si>
    <t>Wisnieski, Edna; Bicego, Marcia C.; Montone, Rosalinda C.; Figueira, Rubens C. L.; Ceschim, Liziane M. M.; Mahiques, Michel M.; Martins, Cesar C.</t>
  </si>
  <si>
    <t>Characterization of sources and temporal variation in the organic matter input indicated by n-alkanols and sterols in sediment cores from Admiralty Bay, King George Island, Antarctica</t>
  </si>
  <si>
    <t>Sterols; Sediments; Antarctica; Organic matter; n-Alkanols</t>
  </si>
  <si>
    <t>SOUTH SHETLAND ISLANDS; AREA SANTOS ESTUARY; MARINE-SEDIMENTS; CLIMATE-CHANGE; DEGRADATION-PRODUCTS; LINEAR ALKYLBENZENES; SURFACE SEDIMENTS; LIPID BIOMARKERS; OCEAN; EVOLUTION</t>
  </si>
  <si>
    <t>The Antarctic continent is one of the most protected areas on the planet, but is dynamically responding to environmental change on a global scale. Change in the air temperature may affect the organic matter production in the area. Biomarkers such as sterols, n-alkanols and phytol in three sediment cores from Admiralty Bay, Antarctica, were determined to identify the type of organic matter, variation in input and possible relationship with general temperature changes over the past decades. The concentrations ranged from 0.91 to 13.99 mu g g(-1) (dry weight) of total sterols, 0.20-2.14 mu g g(-1) of total n-alkanols and 0.13-2.38 mu g g(-1) of phytol. Cholest-5-en-3 beta-ol was the most abundant sterol. The fecal sterols, 5 beta-cholestan-3 beta-ol and 5 beta-cholestan-3 alpha-ol, occurred at low concentration (&lt; 0.01-0.15 mu g g(-1)), below the baseline values for this region. The lower carbon chain n-alkanols were more abundant, which suggested that algae, bacteria and zooplankton were the primary sources of the sedimentary organic matter. Phytol exhibited little variation across all of the cores, which appears to be the result of degradation. Variation in the concentration of compounds in one core was compared with the variation in mean air temperature (MAT) over time; this preliminary association showed a tendency toward increased concentration during the period in which the MAT was more elevated.</t>
  </si>
  <si>
    <t>[Wisnieski, Edna; Martins, Cesar C.] Univ Fed Parana, Ctr Estudos Mar, BR-83255976 Pontal Do Parana, PR, Brazil; [Wisnieski, Edna; Ceschim, Liziane M. M.] Univ Fed Parana, Programa Posgrad Sistemas Costeiros &amp; Ocean PGSIS, BR-83255976 Pontal Do Parana, PR, Brazil; [Bicego, Marcia C.; Montone, Rosalinda C.; Figueira, Rubens C. L.; Mahiques, Michel M.] Univ Sao Paulo, Inst Oceanog, BR-05508120 Sao Paulo, Brazil</t>
  </si>
  <si>
    <t>Universidade Federal do Parana; Universidade Federal do Parana; Universidade de Sao Paulo</t>
  </si>
  <si>
    <t>Martins, CC (corresponding author), Univ Fed Parana, Ctr Estudos Mar, Caixa Postal 61, BR-83255976 Pontal Do Parana, PR, Brazil.</t>
  </si>
  <si>
    <t>ccmart@ufpr.br</t>
  </si>
  <si>
    <t>Figueira, Rubens RCL/C-5958-2013; Figueira, Rubens/AAC-1045-2022; Bicego, Marcia C/D-1996-2013; de Castro Martins, Cesar C/I-1086-2012; Mahiques, Michel/D-1526-2010; Montone, Rosalinda/J-9110-2012</t>
  </si>
  <si>
    <t>Figueira, Rubens/0000-0001-8945-4540; Mahiques, Michel/0000-0002-5249-5610; Montone, Rosalinda/0000-0002-9586-1000; Bicego, Marcia/0000-0002-9939-9853; de Castro Martins, Cesar/0000-0002-2515-5565</t>
  </si>
  <si>
    <t>Antarctic Brazilian Program (PROANTAR); Secretaria da Comissao Interministerial para os Recursos do Mar (SECIRM), Ministerio de Ciencia, Tecnologia e Inovacao (MCTI); National Council for Scientific and Technological Development (CNPq) [550014/2007-1, 305763/2011-3, 557044/2009-0]; CAPES (Coordenacao de Aperfeicoamento de Pessoal de Ensino Superior); Ciencias</t>
  </si>
  <si>
    <t>Antarctic Brazilian Program (PROANTAR); Secretaria da Comissao Interministerial para os Recursos do Mar (SECIRM), Ministerio de Ciencia, Tecnologia e Inovacao (MCTI); National Council for Scientific and Technological Development (CNPq)(Conselho Nacional de Desenvolvimento Cientifico e Tecnologico (CNPQ)); CAPES (Coordenacao de Aperfeicoamento de Pessoal de Ensino Superior)(Coordenacao de Aperfeicoamento de Pessoal de Nivel Superior (CAPES)); Ciencias</t>
  </si>
  <si>
    <t>This work is resulted of PALEOANTAR project (Identification of abrupt climate changes in Antarctica during the Upper Quaternary through sedimentary record) supported by the Antarctic Brazilian Program (PROANTAR), the Secretaria da Comissao Interministerial para os Recursos do Mar (SECIRM), Ministerio de Ciencia, Tecnologia e Inovacao (MCTI) and National Council for Scientific and Technological Development (CNPq) (Grant codes: 550014/2007-1 and 305763/2011-3 to C. C. Martins, 557044/2009-0 to M. M. Mahiques). We also thank CAPES (Coordenacao de Aperfeicoamento de Pessoal de Ensino Superior) for a MSc scholarship to E. Wisnieski and for grant by Ciencias do Mar-09/2009. We are grateful to R. S. Carreira [Department of Chemistry, Pontificia Universidade Catolica (PUC-RJ)] and M. C. Bernardes [Department of Geochemistry, Universidade Federal Fluminense (UFF)] for assistance with the preliminary evaluation of this article and the two anonymous reviewers for constructive comments which substantially improved the manuscript. This work contributes to the National Institute of Science and Technology for Environmental Research Antarctic (INCT-APA, CNPq 574018/2008-5 and FAPERJ E-16/170023/2008).</t>
  </si>
  <si>
    <t>10.1007/s00300-014-1445-6</t>
  </si>
  <si>
    <t>AC8GF</t>
  </si>
  <si>
    <t>WOS:000332770800004</t>
  </si>
  <si>
    <t>LaRue, MA; Lynch, HJ; Lyver, POB; Barton, K; Ainley, DG; Pollard, A; Fraser, WR; Ballard, G</t>
  </si>
  <si>
    <t>LaRue, M. A.; Lynch, H. J.; Lyver, P. O. B.; Barton, K.; Ainley, D. G.; Pollard, A.; Fraser, W. R.; Ballard, G.</t>
  </si>
  <si>
    <t>A method for estimating colony sizes of Ad,lie penguins using remote sensing imagery</t>
  </si>
  <si>
    <t>Adelie penguin; Antarctica; Generalized linear mixed models; GIS; High-resolution imagery; Population estimation; Supervised classification</t>
  </si>
  <si>
    <t>PYGOSCELIS-ADELIAE; SEA-ICE; POPULATION-CHANGES; EAST ANTARCTICA; PACIFIC SECTOR; ROSS SEA; CLIMATE; CONSERVATION; BIODIVERSITY; COMPETITION</t>
  </si>
  <si>
    <t>Ad,lie penguins (Pygoscelis adeliae) are important predators of krill (Euphausia spp.) and Antarctic silverfish (Pleuragramma antarctica) during summer, are a key indicator of the status of the Southern Ocean ecosystem, and are therefore a focal species for the Committee for the Conservation of Antarctic Marine Living Resources (CCAMLR) Ecosystem Monitoring Program. The ability to monitor the population size of species potentially affected by Southern Ocean fisheries, i.e., the Ad,lie penguin, is critical for effective management of those resources. However, for several reasons, direct estimates of population size are not possible in many locations around Antarctica. In this study, we combine high-resolution (0.6 m) satellite imagery with spectral analysis in a supervised classification to estimate the sizes of Ad,lie penguin breeding colonies along Victoria Land in the Ross Sea and on the Antarctic Peninsula. Using satellite images paired with concurrent ground counts, we fit a generalized linear mixed model with Poisson errors to predict the abundance of breeding pairs as a function of the area of current-year guano staining identified in the satellite imagery. Guano-covered area proved to be an effective proxy for the number of penguins residing within. Our model provides a robust, quantitative mechanism for estimating the breeding population size of colonies captured in imagery and identifies terrain slope as a significant component influencing apparent nesting density. While our high-resolution satellite imagery technique was developed for the Ad,lie penguin, these principles are directly transferrable to other colonially nesting seabirds and other species that aggregate in fixed localities.</t>
  </si>
  <si>
    <t>[LaRue, M. A.] Univ Minnesota, Conservat Biol Grad Program, St Paul, MN 55108 USA; [Lynch, H. J.] SUNY Stony Brook, Dept Ecol &amp; Evolut, Stony Brook, NY 11794 USA; [Lyver, P. O. B.] Landcare Res, Lincoln 7640, New Zealand; [Barton, K.] BartonK Solut, Nelson 7010, New Zealand; [Ainley, D. G.] HT Harvey &amp; Associates, Los Gatos, CA 95032 USA; [Pollard, A.; Ballard, G.] Point Blue Conservat Sci, Petaluma, CA 94954 USA; [Fraser, W. R.] Polar Oceans Res Grp, Sheridan, MT 59749 USA</t>
  </si>
  <si>
    <t>University of Minnesota System; University of Minnesota Twin Cities; State University of New York (SUNY) System; State University of New York (SUNY) Stony Brook; Landcare Research - New Zealand</t>
  </si>
  <si>
    <t>LaRue, MA (corresponding author), Univ Minnesota, Conservat Biol Grad Program, 1980 Folwell Ave,Suite 200, St Paul, MN 55108 USA.</t>
  </si>
  <si>
    <t>larue010@umn.edu</t>
  </si>
  <si>
    <t>National Science Foundation [OPP-0217282, OPP-0823101, ANT-0739515, ANT-0944411, OPP-1109962, PLR-1255058]; New Zealand's Ministry for Business, Innovation and Employment [C09X0510, C01X0505, C01X1001, CONT-21216-BKBN]; Directorate For Geosciences; Office of Polar Programs (OPP) [0944411, 1255058] Funding Source: National Science Foundation; Office of Polar Programs (OPP); Directorate For Geosciences [0944141] Funding Source: National Science Foundation</t>
  </si>
  <si>
    <t>National Science Foundation(National Science Foundation (NSF)); New Zealand's Ministry for Business, Innovation and Employment(New Zealand Ministry of Business, Innovation and Employment (MBIE)); Directorate For Geosciences; Office of Polar Programs (OPP)(National Science Foundation (NSF)NSF - Directorate for Geosciences (GEO)); Office of Polar Programs (OPP); Directorate For Geosciences(National Science Foundation (NSF)NSF - Directorate for Geosciences (GEO))</t>
  </si>
  <si>
    <t>This research was funded by National Science Foundation (OPP-0217282, OPP-0823101, ANT-0739515, ANT-0944411, OPP-1109962, PLR-1255058) and New Zealand's Ministry for Business, Innovation and Employment (C09X0510, C01X0505, C01X1001, CONT-21216-BKBN). Field logistics were provided by the US Antarctic Program and Antarctica New Zealand, and helicopter support was provided by PHI, Inc., and Helicopters NZ. We thank the team of counters over the years, but in particular Peter Wilson, Bruce Thomas, Brian Karl, Keven Drew, Caroline Thomson, Morgan Coleman, Quoyah Barr-Glintborg, and Mario Fichtner. The Polar Geospatial Center facilitated use of imagery for analysis, and we thank Claire Porter for assistance with image processing. We would like to thank the editor and 3 anonymous reviewers for their feedback and insight in previous drafts of this manuscript. Point Blue Conservation Science contribution # 1945.</t>
  </si>
  <si>
    <t>10.1007/s00300-014-1451-8</t>
  </si>
  <si>
    <t>WOS:000332770800006</t>
  </si>
  <si>
    <t>Blazewicz-Paszkowycz, M; Sicinski, J</t>
  </si>
  <si>
    <t>Blazewicz-Paszkowycz, Magdalena; Sicinski, Jacek</t>
  </si>
  <si>
    <t>Diversity and distribution of Tanaidacea (Crustacea) along the Victoria Land Transect (Ross Sea, Southern Ocean)</t>
  </si>
  <si>
    <t>Southern Ocean; Ross Sea; Malacostraca; Peracarida; Zoobenthos</t>
  </si>
  <si>
    <t>ADMIRALTY BAY; ANTARCTICA; MALACOSTRACA; COAST; COMMUNITIES; ASSEMBLAGES; PERACARIDA; LATITUDE; ISLANDS; BIOMASS</t>
  </si>
  <si>
    <t>The Victoria Land Transect Project was established for the assessment of a possible latitudinal environmental gradient. During the expedition on the board of the RV Italica carried out in February 2004, four areas of the eastern Ross Sea sublittoral were investigated. The diversity and distribution of 2,678 individuals of Tanaidacea found in 18 samples from a depth range of 84-515 m using a Rauschert dredge were analyzed. Fourty species of tanaidaceans almost exclusively of the suborder Tanaidomorpha were identified; 14 of them were apparently new for science; only five species had been found in the Ross Sea before. Two main groups of the samples, with two distinct tanaidacean assemblages associated with the different bottom sediments (sand vs. mosaic bottom deposits), were revealed by cluster analysis and non-metric multidimensional scaling. The sample arrangement in the cluster and ordination analyses did not correlate with the depth or the latitudinal gradient, but it indicated a relationship with the quality of bottom deposits. It is also assumed that the structure of the assemblages might be determined by local habitat conditions. At two stations at Coulman Island, a distinct value of tanaidacean diversity is attributed to the destructive effect of passing icebergs on the benthic groups documented in earlier studies. A similar pattern of distribution and diversity had been observed for cumacean distribution. Analysis of the distribution confirms the previously observed preferences of Nototanais dimorphus and Paratyphlotanais armatus for sandy sediments, and Nototanais antarcticus and Akanthophoreus cf. multiserratoides for muddy bottoms.</t>
  </si>
  <si>
    <t>[Blazewicz-Paszkowycz, Magdalena; Sicinski, Jacek] Univ Lodz, Dept Polar Biol &amp; Oceanobiol, PL-90237 Lodz, Poland</t>
  </si>
  <si>
    <t>University of Lodz</t>
  </si>
  <si>
    <t>Blazewicz-Paszkowycz, M (corresponding author), Univ Lodz, Dept Polar Biol &amp; Oceanobiol, Banacha 12-16, PL-90237 Lodz, Poland.</t>
  </si>
  <si>
    <t>magdab@biol.uni.lodz.pl</t>
  </si>
  <si>
    <t>Sicinski, Jacek/P-2033-2017; Błażewicz, Magdalena/J-5175-2017</t>
  </si>
  <si>
    <t>Sicinski, Jacek/0000-0002-5235-3188; Blazewicz, Magdalena/0000-0002-4753-3424</t>
  </si>
  <si>
    <t>Polish Ministry of Science and Higher Education [7984/B/P01/2011/40]</t>
  </si>
  <si>
    <t>Polish Ministry of Science and Higher Education(Ministry of Science and Higher Education, Poland)</t>
  </si>
  <si>
    <t>We are grateful to Stefano Schiaparelli (University of Genova and Italian National Antarctic Museum) and Peter Rehm (Zoological Institute and Museum of the University of Hamburg, Germany) for collecting the material and making it available for the study. Roger Bamber (ARTOO) has kindly improved the English throughout the manuscript. We are grateful to Angelika Brandt (University of Hamburg) and Monica Petti (University of Sao Paulo) and the anonymous reviewer for their constructive criticism. The research has been financed through Polish Ministry of Science and Higher Education Grant No. 7984/B/P01/2011/40.</t>
  </si>
  <si>
    <t>10.1007/s00300-014-1452-7</t>
  </si>
  <si>
    <t>WOS:000332770800007</t>
  </si>
  <si>
    <t>Guy, CI; Cummings, VJ; Lohrer, AM; Gamito, S; Thrush, SF</t>
  </si>
  <si>
    <t>Guy, Claire I.; Cummings, Vonda J.; Lohrer, Andrew M.; Gamito, Sofia; Thrush, Simon F.</t>
  </si>
  <si>
    <t>Population trajectories for the Antarctic bivalve Laternula elliptica: identifying demographic bottlenecks in differing environmental futures</t>
  </si>
  <si>
    <t>Ocean acidification; Ocean warming; Antarctica; Laternula elliptica; Ecosystem modelling</t>
  </si>
  <si>
    <t>KING-GEORGE-ISLAND; OCEAN ACIDIFICATION; ROSS SEA; SOUTHERN-OCEAN; CLIMATE-CHANGE; POTTER COVE; ADAMUSSIUM-COLBECKI; FOOD BANKS; TEMPERATURE; GROWTH</t>
  </si>
  <si>
    <t>The world's oceans are changing, and dramatic shifts have been documented in the Southern Ocean. The consequences of these shifts to coastal benthic organisms are difficult to predict at present, as ocean warming may increase primary production and food resources for benthic consumers, whilst OA may have negative impacts that differentially affect various species and life stages. A model was developed to investigate how different scenarios of change may influence population size of the Antarctic bivalve Laternula elliptica. The model describes potential implications of both pH and temperature change on survivorship and reproductive output of a population of this bivalve species in McMurdo Sound, Ross Sea. Implications of increases and decreases in mortality rate across different life stages of the population (early, mid and late) were assessed. Additionally, effects on energetic resource partitioning and dictating reproductive potential (RP) were also investigated. Significant declines in RP, due to increased basal metabolic demand, were associated with even relatively small changes in temperature and pH, resulting in populations declining to 25 % of the starting equilibrium density within 60 years. As L. elliptica is a pivotal species to the functionality of the Antarctic coastal benthic ecosystem, wide spread repercussions are expected if populations are impacted as the model predicts. Although further model development is required to explore the ecosystem implications of the population decline described in this paper, this work allows a better understanding of the consequences of change as soon as data on the direction and magnitude of the changes affecting Antarctic seas become available.</t>
  </si>
  <si>
    <t>[Guy, Claire I.; Cummings, Vonda J.] Natl Inst Water &amp; Atmospher Res, Wellington 6021, New Zealand; [Guy, Claire I.] Univ Marine Biol Stn, Millport KA28 0EG, Isle Of Cumbrae, Scotland; [Lohrer, Andrew M.; Thrush, Simon F.] Natl Inst Water &amp; Atmospher Res, Hamilton 3216, New Zealand; [Gamito, Sofia] Univ Algarve, Inst Marine Res IMAR CMA, Fac Sci &amp; Technol, P-8005139 Faro, Portugal; [Thrush, Simon F.] Univ Auckland, Sch Environm, Auckland 1142, New Zealand</t>
  </si>
  <si>
    <t>National Institute of Water &amp; Atmospheric Research (NIWA) - New Zealand; National Institute of Water &amp; Atmospheric Research (NIWA) - New Zealand; Universidade do Algarve; University of Auckland</t>
  </si>
  <si>
    <t>Guy, CI (corresponding author), Univ Marine Biol Stn, Millport KA28 0EG, Isle Of Cumbrae, Scotland.</t>
  </si>
  <si>
    <t>cguy364@gmail.com</t>
  </si>
  <si>
    <t>Gamito, Sofia/M-3476-2013</t>
  </si>
  <si>
    <t>Gamito, Sofia/0000-0001-9700-7388; Thrush, Simon/0000-0002-4005-3882; Cummings, Vonda/0000-0003-1076-3995</t>
  </si>
  <si>
    <t>Antarctica New Zealand/Air New Zealand; NIWA capability fund</t>
  </si>
  <si>
    <t>This research was supported by an Antarctica New Zealand/Air New Zealand post doctoral fellowship to C. G and NIWA capability fund to V. C. In addition, thanks go to Victoria Metcalf, Lincoln University, NZ, for making the respiration measurements in the L. elliptica pH experiment and Kay Steinkamp, NIWA, for his help with the production of contour plots. S. Schiaparelli and an anonymous reviewer are thanked for their helpful comments, which improved the manuscript.</t>
  </si>
  <si>
    <t>10.1007/s00300-014-1456-3</t>
  </si>
  <si>
    <t>WOS:000332770800009</t>
  </si>
  <si>
    <t>Haupt, TM; Sinclair, BJ; Chown, SL</t>
  </si>
  <si>
    <t>Haupt, Tanya M.; Sinclair, Brent J.; Chown, Steven L.</t>
  </si>
  <si>
    <t>Chemosensory and thermal cue responses in the sub-Antarctic moth Pringleophaga marioni: Do caterpillars choose Wandering Albatross nest proxies?</t>
  </si>
  <si>
    <t>Antarctic; Ecosystem engineering; Habitat choice; Chemosensory; Thermal preference</t>
  </si>
  <si>
    <t>BEHAVIOR; LEPIDOPTERA; TEMPERATURE; PREFERENCE; DIVERSITY; ISLAND; CONSEQUENCES; AGGREGATION; CANNIBALISM; VARIABILITY</t>
  </si>
  <si>
    <t>On the South Indian Ocean Province Islands of the sub-Antarctic, most nutrients are processed through a detritus-based food web. On Marion Island, larvae of the moth Pringleophaga marioni are one of the key decomposers. Abundance of these caterpillars is higher in newly abandoned Wandering Albatross (Diomedea exulans) nests than other habitats, and this observation has been explained by hypotheses regarding the thermal and nutrient advantages of nests. These hypotheses require a mechanism for increasing the abundance of caterpillars, since nests are an ephemeral resource, and here, we determine whether caterpillars respond to chemosensory and thermal cues using a laboratory choice chamber approach. Caterpillars show no significant preference for newly abandoned nest material over no other choice, old nest material, and the common mire moss Sanionia uncinata. Caterpillars that are acclimated to warm (15 A degrees C) conditions do prefer lower (5 A degrees C) to higher (15 A degrees C) temperatures, perhaps reflecting negative effects of prolonged exposure to warm temperatures on growth. Caterpillars also show significant avoidance of conspecifics, possibly because of incidental cannibalism previously reported in this species. Thus, we find no empirical support for nest-finding ability in caterpillars based on chemosensory or thermal cues. It is possible that adult females or very early instar caterpillars show such ability, or high caterpillar density and biomass in nests are an incidental consequence of better conditions in the nests or deposition by the birds during nest construction.</t>
  </si>
  <si>
    <t>[Haupt, Tanya M.] Univ Stellenbosch, Dept Bot &amp; Zool, ZA-7602 Matieland, South Africa; [Sinclair, Brent J.] Univ Western Ontario, Dept Biol, London, ON N6A 5B7, Canada; [Chown, Steven L.] Monash Univ, Sch Biol Sci, Melbourne, Vic 3800, Australia</t>
  </si>
  <si>
    <t>Stellenbosch University; Western University (University of Western Ontario); Monash University</t>
  </si>
  <si>
    <t>Haupt, TM (corresponding author), Univ Stellenbosch, Dept Bot &amp; Zool, Private Bag X1, ZA-7602 Matieland, South Africa.</t>
  </si>
  <si>
    <t>Chown, Steven/ABD-7646-2021; Sinclair, Brent J/C-6133-2012; Chown, Steven/H-3347-2011</t>
  </si>
  <si>
    <t>Chown, Steven/0000-0001-6069-5105; Sinclair, Brent/0000-0002-8191-9910</t>
  </si>
  <si>
    <t>We thank Jeremy McNeil for discussions of choice chamber design, Jessica Allen for the technical drawing, and Asanda Phiri, Rina Groenewald, Charlene Janion, Justine Shaw and several members of the Marion Island relief expeditions for assistance with field work, and three anonymous reviewers for their helpful comments. This research was supported by South African National Research Foundation Grant SNA2011110700005.</t>
  </si>
  <si>
    <t>10.1007/s00300-014-1457-2</t>
  </si>
  <si>
    <t>WOS:000332770800010</t>
  </si>
  <si>
    <t>Arata, JA; Vila, AR; Matus, R; Droguett, D; Silva-Quintas, C; Falabella, V; Robertson, G; Haro, D</t>
  </si>
  <si>
    <t>Arata, Javier A.; Vila, Alejandro R.; Matus, Ricardo; Droguett, Daniela; Silva-Quintas, Carlos; Falabella, Valeria; Robertson, Graham; Haro, Daniela</t>
  </si>
  <si>
    <t>Use and exploitation of channel waters by the black-browed albatross</t>
  </si>
  <si>
    <t>Chile; Sub-Antarctic; Thalassarche melanophris; Foraging habitat; Magellan Strait</t>
  </si>
  <si>
    <t>PELAGIC LONGLINE FISHERY; THALASSARCHE-MELANOPHRYS; SEABIRD BYCATCH; SOUTH GEORGIA; CHILE; CHRYSOSTOMA; ATLANTIC; ISLANDS; PETRELS; RATES</t>
  </si>
  <si>
    <t>Black-browed albatrosses are the most abundant albatross species of the southern hemisphere, breeding on sub-Antarctic and Antarctic oceanic islands around the globe. Their foraging habitat during the breeding season is reasonably well known along its distributional range, indicating a preferred use of waters &lt; 500 m deep. The discovery of a colony inserted within the Admiralty Sound, Tierra del Fuego, poses an interesting challenge to the known precepts on foraging behavior for the species. In this study, we present the first record on the foraging distribution of the only known inner-channel colony of albatrosses in the world, using high-resolution GPS loggers. Black-browed albatrosses breeding at the Albatross Islet used exclusively inner-channel waters, at least during the chick-guard stage. Our results indicate a significant smaller foraging range during chick-guard compared with conspecifics from Diego Ramirez and Falklands/Malvinas Islands. Implications for the conservation of this colony are discussed.</t>
  </si>
  <si>
    <t>[Arata, Javier A.; Haro, Daniela] Inst Antartico Chileno, Punta Arenas, Chile; [Vila, Alejandro R.; Droguett, Daniela; Silva-Quintas, Carlos] Wildlife Conservat Soc Chile, Punta Arenas, Chile; [Matus, Ricardo] Nat Patagonia, Punta Arenas, Chile; [Falabella, Valeria] Wildlife Conservat Soc, Sea &amp; Sky Project, Marine Program, RA-1426 Buenos Aires, DF, Argentina; [Robertson, Graham] Australian Antarctic Div, Kingston, Tas, Australia</t>
  </si>
  <si>
    <t>Arata, JA (corresponding author), Inst Antartico Chileno, Plaza Munoz Gamero 1055, Punta Arenas, Chile.</t>
  </si>
  <si>
    <t>jarata@inach.cl</t>
  </si>
  <si>
    <t>Haro, Daniela/AAO-5242-2020; Arata, Javier/U-9754-2017; Arata, Javier A./ABH-9557-2020</t>
  </si>
  <si>
    <t>Arata, Javier/0000-0001-7320-0511; Droguett, Daniela/0000-0002-2627-3790; Haro, Daniela/0000-0002-9391-1262</t>
  </si>
  <si>
    <t>10.1007/s00300-014-1458-1</t>
  </si>
  <si>
    <t>WOS:000332770800011</t>
  </si>
  <si>
    <t>Gutt, J; Cape, M; Dimmler, W; Fillinger, L; Isla, E; Lieb, V; Lundälv, T; Pulcher, C</t>
  </si>
  <si>
    <t>Gutt, Julian; Cape, Mattias; Dimmler, Werner; Fillinger, Laura; Isla, Enrique; Lieb, Verena; Lundalv, Tomas; Pulcher, Christian</t>
  </si>
  <si>
    <t>Shifts in Antarctic megabenthic structure after ice-shelf disintegration in the Larsen area east of the Antarctic Peninsula (vol 36, pg 895, 2013)</t>
  </si>
  <si>
    <t>[Gutt, Julian; Fillinger, Laura; Lieb, Verena; Pulcher, Christian] Alfred Wegener Inst Polar &amp; Marine Res, Helmholtz Ctr Polar &amp; Marine Res, D-27568 Bremerhaven, Germany; [Cape, Mattias] Univ Calif San Diego, Scripps Inst Oceanog, La Jolla, CA 92037 USA; [Dimmler, Werner] Fielax Gesell Wissensch Datenverarbeitung mbH, D-27568 Bremerhaven, Germany; [Isla, Enrique] CSIC, Inst Ciencies Mar, E-08003 Barcelona, Spain; [Lieb, Verena] Univ Kiel, D-24118 Kiel, Germany; [Lundalv, Tomas] Univ Gothenburg, Sven Loven Ctr Marine Sci, S-45296 Stromstad, Sweden; [Pulcher, Christian] Carl von Ossietzky Univ Oldenburg, Inst Biol &amp; Umweltwissensch, D-26129 Oldenburg, Germany</t>
  </si>
  <si>
    <t>Helmholtz Association; Alfred Wegener Institute, Helmholtz Centre for Polar &amp; Marine Research; University of California System; University of California San Diego; Scripps Institution of Oceanography; Consejo Superior de Investigaciones Cientificas (CSIC); CSIC - Centro Mediterraneo de Investigaciones Marinas y Ambientales (CMIMA); CSIC - Instituto de Ciencias del Mar (ICM); University of Kiel; University of Gothenburg; Carl von Ossietzky Universitat Oldenburg</t>
  </si>
  <si>
    <t>Gutt, J (corresponding author), Alfred Wegener Inst Polar &amp; Marine Res, Helmholtz Ctr Polar &amp; Marine Res, Columbusstr, D-27568 Bremerhaven, Germany.</t>
  </si>
  <si>
    <t>julian.gutt@awi.de</t>
  </si>
  <si>
    <t>Cape, Mattias/KCK-4444-2024</t>
  </si>
  <si>
    <t>Gutt, Julian/0000-0003-3773-9370; Isla, Enrique/0000-0003-4959-6936; Cape, Mattias/0000-0002-5621-1128</t>
  </si>
  <si>
    <t>10.1007/s00300-014-1455-4</t>
  </si>
  <si>
    <t>WOS:000332770800014</t>
  </si>
  <si>
    <t>Dodds, K; Hemmings, AD</t>
  </si>
  <si>
    <t>Dodds, Klaus; Hemmings, Alan D.</t>
  </si>
  <si>
    <t>Recent developments in relations between the United Kingdom and the Argentine Republic in the South Atlantic/Antarctic region</t>
  </si>
  <si>
    <t>ISLANDS</t>
  </si>
  <si>
    <t>This article assesses the current state of UK-Argentine relations with reference to the South Atlantic and Antarctic region. Three major themes are pursued: the current state of UK-Argentine relations, with the contested Falklands/Malvinas looming large in the assessment, alongside fisheries management around South Georgia; the mapping of Argentine Antarctic territory in the context of extended continental shelf delimitation; and finally, the recent UK White Paper on Overseas Territories is noted insofar as it marks the most recent public assessment of how the coalition government is attempting to manage the most southerly portions of the British Overseas Territories portfolio. The article concludes with a warning that there is a danger that worsening UK-Argentine relations might begin to have more profound implications for the Antarctic Treaty System as resource, sovereignty and territorial issues acquire more piquancy.</t>
  </si>
  <si>
    <t>[Dodds, Klaus] Univ London, Dept Geog, Egham TW20 0EX, Surrey, England; [Hemmings, Alan D.] Univ Canterbury, Gateway Antarctica, Christchurch 1, New Zealand</t>
  </si>
  <si>
    <t>University of London; Royal Holloway University London; University of Canterbury</t>
  </si>
  <si>
    <t>k.dodds@rhul.ac.uk</t>
  </si>
  <si>
    <t>10.1017/S0032247412000794</t>
  </si>
  <si>
    <t>AC7HK</t>
  </si>
  <si>
    <t>WOS:000332698600002</t>
  </si>
  <si>
    <t>Johnston, ME; Dawson, JP; Childs, J; Maher, PT</t>
  </si>
  <si>
    <t>Johnston, M. E.; Dawson, J. P.; Childs, J.; Maher, P. T.</t>
  </si>
  <si>
    <t>Exploring post- course outcomes of an undergraduate tourism field trip to the Antarctic Peninsula</t>
  </si>
  <si>
    <t>GEOGRAPHY; EXPERIENCES</t>
  </si>
  <si>
    <t>A small number of educational programmes for university students include field experience in Antarctica. These programmes contain a range of educational objectives, approaches and academic assessment related to the field component and the intended on-site learning for students. However, it is possible that the on-site experiences of students in these programmes have an influence on later decisions and behaviour beyond the course itself in the years following participation. This paper investigates the possibility of such influence for students who participated in ship-based tourism field trips to the Antarctic Peninsula and adjacent locations (South Georgia, the Falkland Islands, and South Shetland Islands) and explores whether students link their participation to particular post-course outcomes. It examines how participants report being affected by a trip to the Antarctic Peninsula, particularly in terms of later decisions regarding learning, professional lives, and environmental behaviour. Influences noted by respondents include effects on choices made in relation to academic pursuits and career paths, as well as development of their environmental values through increased awareness of tourism impacts, Antarctic region sustainability issues, and global issues such as climate change.</t>
  </si>
  <si>
    <t>[Johnston, M. E.] Lakehead Univ, Sch Outdoor Recreat Pk &amp; Tourism, Thunder Bay, ON P7B 5E1, Canada; [Dawson, J. P.] Univ Ottawa, Inst Sci Soc &amp; Policy, Dept Geog, Ottawa, ON K1N 6N5, Canada; [Childs, J.] Brock Univ, Dept Geog, St Catharines, ON L2S 3A1, Canada; [Maher, P. T.] Univ British Columbia, Outdoor Recreat &amp; Tourism Management Program, Prince George, BC V2N 4Z9, Canada</t>
  </si>
  <si>
    <t>Lakehead University; University of Ottawa; Brock University; University of British Columbia</t>
  </si>
  <si>
    <t>Johnston, ME (corresponding author), Lakehead Univ, Sch Outdoor Recreat Pk &amp; Tourism, 955 Oliver Rd, Thunder Bay, ON P7B 5E1, Canada.</t>
  </si>
  <si>
    <t>mejohnst@lakeheadu.ca</t>
  </si>
  <si>
    <t>Maher, Patrick/AAU-4377-2020</t>
  </si>
  <si>
    <t>Dawson, Jackie/0000-0002-3532-2742; Maher, Patrick Timothy/0000-0001-5059-1062</t>
  </si>
  <si>
    <t>10.1017/S003224741300003X</t>
  </si>
  <si>
    <t>WOS:000332698600005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</si>
</sst>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51</v>
      </c>
      <c r="AH2">
        <v>132</v>
      </c>
      <c r="AI2">
        <v>154</v>
      </c>
      <c r="AJ2">
        <v>1</v>
      </c>
      <c r="AK2">
        <v>79</v>
      </c>
      <c r="AL2" t="s">
        <v>92</v>
      </c>
      <c r="AM2" t="s">
        <v>93</v>
      </c>
      <c r="AN2" t="s">
        <v>94</v>
      </c>
      <c r="AO2" t="s">
        <v>95</v>
      </c>
      <c r="AP2" t="s">
        <v>96</v>
      </c>
      <c r="AQ2" t="s">
        <v>74</v>
      </c>
      <c r="AR2" t="s">
        <v>97</v>
      </c>
      <c r="AS2" t="s">
        <v>98</v>
      </c>
      <c r="AT2" t="s">
        <v>99</v>
      </c>
      <c r="AU2">
        <v>2014</v>
      </c>
      <c r="AV2">
        <v>23</v>
      </c>
      <c r="AW2">
        <v>10</v>
      </c>
      <c r="AX2" t="s">
        <v>74</v>
      </c>
      <c r="AY2" t="s">
        <v>74</v>
      </c>
      <c r="AZ2" t="s">
        <v>74</v>
      </c>
      <c r="BA2" t="s">
        <v>74</v>
      </c>
      <c r="BB2">
        <v>1105</v>
      </c>
      <c r="BC2">
        <v>1114</v>
      </c>
      <c r="BD2" t="s">
        <v>74</v>
      </c>
      <c r="BE2" t="s">
        <v>100</v>
      </c>
      <c r="BF2" t="str">
        <f>HYPERLINK("http://dx.doi.org/10.1111/geb.12194","http://dx.doi.org/10.1111/geb.12194")</f>
        <v>http://dx.doi.org/10.1111/geb.12194</v>
      </c>
      <c r="BG2" t="s">
        <v>74</v>
      </c>
      <c r="BH2" t="s">
        <v>74</v>
      </c>
      <c r="BI2">
        <v>10</v>
      </c>
      <c r="BJ2" t="s">
        <v>101</v>
      </c>
      <c r="BK2" t="s">
        <v>102</v>
      </c>
      <c r="BL2" t="s">
        <v>103</v>
      </c>
      <c r="BM2" t="s">
        <v>104</v>
      </c>
      <c r="BN2" t="s">
        <v>74</v>
      </c>
      <c r="BO2" t="s">
        <v>74</v>
      </c>
      <c r="BP2" t="s">
        <v>74</v>
      </c>
      <c r="BQ2" t="s">
        <v>74</v>
      </c>
      <c r="BR2" t="s">
        <v>105</v>
      </c>
      <c r="BS2" t="s">
        <v>106</v>
      </c>
      <c r="BT2" t="str">
        <f>HYPERLINK("https%3A%2F%2Fwww.webofscience.com%2Fwos%2Fwoscc%2Ffull-record%2FWOS:000341821400005","View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79</v>
      </c>
      <c r="O3" t="s">
        <v>74</v>
      </c>
      <c r="P3" t="s">
        <v>74</v>
      </c>
      <c r="Q3" t="s">
        <v>74</v>
      </c>
      <c r="R3" t="s">
        <v>74</v>
      </c>
      <c r="S3" t="s">
        <v>74</v>
      </c>
      <c r="T3" t="s">
        <v>111</v>
      </c>
      <c r="U3" t="s">
        <v>112</v>
      </c>
      <c r="V3" t="s">
        <v>113</v>
      </c>
      <c r="W3" t="s">
        <v>114</v>
      </c>
      <c r="X3" t="s">
        <v>115</v>
      </c>
      <c r="Y3" t="s">
        <v>116</v>
      </c>
      <c r="Z3" t="s">
        <v>117</v>
      </c>
      <c r="AA3" t="s">
        <v>118</v>
      </c>
      <c r="AB3" t="s">
        <v>119</v>
      </c>
      <c r="AC3" t="s">
        <v>120</v>
      </c>
      <c r="AD3" t="s">
        <v>121</v>
      </c>
      <c r="AE3" t="s">
        <v>122</v>
      </c>
      <c r="AF3" t="s">
        <v>74</v>
      </c>
      <c r="AG3">
        <v>54</v>
      </c>
      <c r="AH3">
        <v>57</v>
      </c>
      <c r="AI3">
        <v>60</v>
      </c>
      <c r="AJ3">
        <v>1</v>
      </c>
      <c r="AK3">
        <v>53</v>
      </c>
      <c r="AL3" t="s">
        <v>123</v>
      </c>
      <c r="AM3" t="s">
        <v>124</v>
      </c>
      <c r="AN3" t="s">
        <v>125</v>
      </c>
      <c r="AO3" t="s">
        <v>126</v>
      </c>
      <c r="AP3" t="s">
        <v>127</v>
      </c>
      <c r="AQ3" t="s">
        <v>74</v>
      </c>
      <c r="AR3" t="s">
        <v>110</v>
      </c>
      <c r="AS3" t="s">
        <v>128</v>
      </c>
      <c r="AT3" t="s">
        <v>99</v>
      </c>
      <c r="AU3">
        <v>2014</v>
      </c>
      <c r="AV3">
        <v>39</v>
      </c>
      <c r="AW3" t="s">
        <v>74</v>
      </c>
      <c r="AX3" t="s">
        <v>74</v>
      </c>
      <c r="AY3" t="s">
        <v>74</v>
      </c>
      <c r="AZ3" t="s">
        <v>74</v>
      </c>
      <c r="BA3" t="s">
        <v>74</v>
      </c>
      <c r="BB3">
        <v>134</v>
      </c>
      <c r="BC3">
        <v>145</v>
      </c>
      <c r="BD3" t="s">
        <v>74</v>
      </c>
      <c r="BE3" t="s">
        <v>129</v>
      </c>
      <c r="BF3" t="str">
        <f>HYPERLINK("http://dx.doi.org/10.1016/j.hal.2014.07.007","http://dx.doi.org/10.1016/j.hal.2014.07.007")</f>
        <v>http://dx.doi.org/10.1016/j.hal.2014.07.007</v>
      </c>
      <c r="BG3" t="s">
        <v>74</v>
      </c>
      <c r="BH3" t="s">
        <v>74</v>
      </c>
      <c r="BI3">
        <v>12</v>
      </c>
      <c r="BJ3" t="s">
        <v>130</v>
      </c>
      <c r="BK3" t="s">
        <v>102</v>
      </c>
      <c r="BL3" t="s">
        <v>130</v>
      </c>
      <c r="BM3" t="s">
        <v>131</v>
      </c>
      <c r="BN3" t="s">
        <v>74</v>
      </c>
      <c r="BO3" t="s">
        <v>74</v>
      </c>
      <c r="BP3" t="s">
        <v>74</v>
      </c>
      <c r="BQ3" t="s">
        <v>74</v>
      </c>
      <c r="BR3" t="s">
        <v>105</v>
      </c>
      <c r="BS3" t="s">
        <v>132</v>
      </c>
      <c r="BT3" t="str">
        <f>HYPERLINK("https%3A%2F%2Fwww.webofscience.com%2Fwos%2Fwoscc%2Ffull-record%2FWOS:000345469100015","View Full Record in Web of Science")</f>
        <v>View Full Record in Web of Science</v>
      </c>
    </row>
    <row r="4" spans="1:72" x14ac:dyDescent="0.15">
      <c r="A4" t="s">
        <v>72</v>
      </c>
      <c r="B4" t="s">
        <v>133</v>
      </c>
      <c r="C4" t="s">
        <v>74</v>
      </c>
      <c r="D4" t="s">
        <v>74</v>
      </c>
      <c r="E4" t="s">
        <v>74</v>
      </c>
      <c r="F4" t="s">
        <v>134</v>
      </c>
      <c r="G4" t="s">
        <v>74</v>
      </c>
      <c r="H4" t="s">
        <v>74</v>
      </c>
      <c r="I4" t="s">
        <v>135</v>
      </c>
      <c r="J4" t="s">
        <v>136</v>
      </c>
      <c r="K4" t="s">
        <v>74</v>
      </c>
      <c r="L4" t="s">
        <v>74</v>
      </c>
      <c r="M4" t="s">
        <v>78</v>
      </c>
      <c r="N4" t="s">
        <v>79</v>
      </c>
      <c r="O4" t="s">
        <v>74</v>
      </c>
      <c r="P4" t="s">
        <v>74</v>
      </c>
      <c r="Q4" t="s">
        <v>74</v>
      </c>
      <c r="R4" t="s">
        <v>74</v>
      </c>
      <c r="S4" t="s">
        <v>74</v>
      </c>
      <c r="T4" t="s">
        <v>137</v>
      </c>
      <c r="U4" t="s">
        <v>74</v>
      </c>
      <c r="V4" t="s">
        <v>138</v>
      </c>
      <c r="W4" t="s">
        <v>139</v>
      </c>
      <c r="X4" t="s">
        <v>140</v>
      </c>
      <c r="Y4" t="s">
        <v>141</v>
      </c>
      <c r="Z4" t="s">
        <v>142</v>
      </c>
      <c r="AA4" t="s">
        <v>143</v>
      </c>
      <c r="AB4" t="s">
        <v>144</v>
      </c>
      <c r="AC4" t="s">
        <v>74</v>
      </c>
      <c r="AD4" t="s">
        <v>74</v>
      </c>
      <c r="AE4" t="s">
        <v>74</v>
      </c>
      <c r="AF4" t="s">
        <v>74</v>
      </c>
      <c r="AG4">
        <v>11</v>
      </c>
      <c r="AH4">
        <v>0</v>
      </c>
      <c r="AI4">
        <v>0</v>
      </c>
      <c r="AJ4">
        <v>0</v>
      </c>
      <c r="AK4">
        <v>3</v>
      </c>
      <c r="AL4" t="s">
        <v>145</v>
      </c>
      <c r="AM4" t="s">
        <v>146</v>
      </c>
      <c r="AN4" t="s">
        <v>147</v>
      </c>
      <c r="AO4" t="s">
        <v>148</v>
      </c>
      <c r="AP4" t="s">
        <v>149</v>
      </c>
      <c r="AQ4" t="s">
        <v>74</v>
      </c>
      <c r="AR4" t="s">
        <v>150</v>
      </c>
      <c r="AS4" t="s">
        <v>151</v>
      </c>
      <c r="AT4" t="s">
        <v>99</v>
      </c>
      <c r="AU4">
        <v>2014</v>
      </c>
      <c r="AV4">
        <v>43</v>
      </c>
      <c r="AW4">
        <v>10</v>
      </c>
      <c r="AX4" t="s">
        <v>74</v>
      </c>
      <c r="AY4" t="s">
        <v>74</v>
      </c>
      <c r="AZ4" t="s">
        <v>74</v>
      </c>
      <c r="BA4" t="s">
        <v>74</v>
      </c>
      <c r="BB4">
        <v>1939</v>
      </c>
      <c r="BC4">
        <v>1941</v>
      </c>
      <c r="BD4" t="s">
        <v>74</v>
      </c>
      <c r="BE4" t="s">
        <v>74</v>
      </c>
      <c r="BF4" t="s">
        <v>74</v>
      </c>
      <c r="BG4" t="s">
        <v>74</v>
      </c>
      <c r="BH4" t="s">
        <v>74</v>
      </c>
      <c r="BI4">
        <v>3</v>
      </c>
      <c r="BJ4" t="s">
        <v>152</v>
      </c>
      <c r="BK4" t="s">
        <v>102</v>
      </c>
      <c r="BL4" t="s">
        <v>152</v>
      </c>
      <c r="BM4" t="s">
        <v>153</v>
      </c>
      <c r="BN4" t="s">
        <v>74</v>
      </c>
      <c r="BO4" t="s">
        <v>74</v>
      </c>
      <c r="BP4" t="s">
        <v>74</v>
      </c>
      <c r="BQ4" t="s">
        <v>74</v>
      </c>
      <c r="BR4" t="s">
        <v>105</v>
      </c>
      <c r="BS4" t="s">
        <v>154</v>
      </c>
      <c r="BT4" t="str">
        <f>HYPERLINK("https%3A%2F%2Fwww.webofscience.com%2Fwos%2Fwoscc%2Ffull-record%2FWOS:000209752400015","View Full Record in Web of Science")</f>
        <v>View Full Record in Web of Science</v>
      </c>
    </row>
    <row r="5" spans="1:72" x14ac:dyDescent="0.15">
      <c r="A5" t="s">
        <v>72</v>
      </c>
      <c r="B5" t="s">
        <v>155</v>
      </c>
      <c r="C5" t="s">
        <v>74</v>
      </c>
      <c r="D5" t="s">
        <v>74</v>
      </c>
      <c r="E5" t="s">
        <v>74</v>
      </c>
      <c r="F5" t="s">
        <v>156</v>
      </c>
      <c r="G5" t="s">
        <v>74</v>
      </c>
      <c r="H5" t="s">
        <v>74</v>
      </c>
      <c r="I5" t="s">
        <v>157</v>
      </c>
      <c r="J5" t="s">
        <v>158</v>
      </c>
      <c r="K5" t="s">
        <v>74</v>
      </c>
      <c r="L5" t="s">
        <v>74</v>
      </c>
      <c r="M5" t="s">
        <v>78</v>
      </c>
      <c r="N5" t="s">
        <v>79</v>
      </c>
      <c r="O5" t="s">
        <v>74</v>
      </c>
      <c r="P5" t="s">
        <v>74</v>
      </c>
      <c r="Q5" t="s">
        <v>74</v>
      </c>
      <c r="R5" t="s">
        <v>74</v>
      </c>
      <c r="S5" t="s">
        <v>74</v>
      </c>
      <c r="T5" t="s">
        <v>159</v>
      </c>
      <c r="U5" t="s">
        <v>160</v>
      </c>
      <c r="V5" t="s">
        <v>161</v>
      </c>
      <c r="W5" t="s">
        <v>162</v>
      </c>
      <c r="X5" t="s">
        <v>163</v>
      </c>
      <c r="Y5" t="s">
        <v>164</v>
      </c>
      <c r="Z5" t="s">
        <v>165</v>
      </c>
      <c r="AA5" t="s">
        <v>166</v>
      </c>
      <c r="AB5" t="s">
        <v>167</v>
      </c>
      <c r="AC5" t="s">
        <v>168</v>
      </c>
      <c r="AD5" t="s">
        <v>169</v>
      </c>
      <c r="AE5" t="s">
        <v>170</v>
      </c>
      <c r="AF5" t="s">
        <v>74</v>
      </c>
      <c r="AG5">
        <v>48</v>
      </c>
      <c r="AH5">
        <v>34</v>
      </c>
      <c r="AI5">
        <v>34</v>
      </c>
      <c r="AJ5">
        <v>2</v>
      </c>
      <c r="AK5">
        <v>22</v>
      </c>
      <c r="AL5" t="s">
        <v>171</v>
      </c>
      <c r="AM5" t="s">
        <v>93</v>
      </c>
      <c r="AN5" t="s">
        <v>94</v>
      </c>
      <c r="AO5" t="s">
        <v>172</v>
      </c>
      <c r="AP5" t="s">
        <v>173</v>
      </c>
      <c r="AQ5" t="s">
        <v>74</v>
      </c>
      <c r="AR5" t="s">
        <v>174</v>
      </c>
      <c r="AS5" t="s">
        <v>175</v>
      </c>
      <c r="AT5" t="s">
        <v>99</v>
      </c>
      <c r="AU5">
        <v>2014</v>
      </c>
      <c r="AV5">
        <v>34</v>
      </c>
      <c r="AW5">
        <v>12</v>
      </c>
      <c r="AX5" t="s">
        <v>74</v>
      </c>
      <c r="AY5" t="s">
        <v>74</v>
      </c>
      <c r="AZ5" t="s">
        <v>74</v>
      </c>
      <c r="BA5" t="s">
        <v>74</v>
      </c>
      <c r="BB5">
        <v>3400</v>
      </c>
      <c r="BC5">
        <v>3416</v>
      </c>
      <c r="BD5" t="s">
        <v>74</v>
      </c>
      <c r="BE5" t="s">
        <v>176</v>
      </c>
      <c r="BF5" t="str">
        <f>HYPERLINK("http://dx.doi.org/10.1002/joc.3917","http://dx.doi.org/10.1002/joc.3917")</f>
        <v>http://dx.doi.org/10.1002/joc.3917</v>
      </c>
      <c r="BG5" t="s">
        <v>74</v>
      </c>
      <c r="BH5" t="s">
        <v>74</v>
      </c>
      <c r="BI5">
        <v>17</v>
      </c>
      <c r="BJ5" t="s">
        <v>177</v>
      </c>
      <c r="BK5" t="s">
        <v>102</v>
      </c>
      <c r="BL5" t="s">
        <v>177</v>
      </c>
      <c r="BM5" t="s">
        <v>178</v>
      </c>
      <c r="BN5" t="s">
        <v>74</v>
      </c>
      <c r="BO5" t="s">
        <v>179</v>
      </c>
      <c r="BP5" t="s">
        <v>74</v>
      </c>
      <c r="BQ5" t="s">
        <v>74</v>
      </c>
      <c r="BR5" t="s">
        <v>105</v>
      </c>
      <c r="BS5" t="s">
        <v>180</v>
      </c>
      <c r="BT5" t="str">
        <f>HYPERLINK("https%3A%2F%2Fwww.webofscience.com%2Fwos%2Fwoscc%2Ffull-record%2FWOS:000342835200006","View Full Record in Web of Science")</f>
        <v>View Full Record in Web of Science</v>
      </c>
    </row>
    <row r="6" spans="1:72" x14ac:dyDescent="0.15">
      <c r="A6" t="s">
        <v>72</v>
      </c>
      <c r="B6" t="s">
        <v>181</v>
      </c>
      <c r="C6" t="s">
        <v>74</v>
      </c>
      <c r="D6" t="s">
        <v>74</v>
      </c>
      <c r="E6" t="s">
        <v>74</v>
      </c>
      <c r="F6" t="s">
        <v>182</v>
      </c>
      <c r="G6" t="s">
        <v>74</v>
      </c>
      <c r="H6" t="s">
        <v>74</v>
      </c>
      <c r="I6" t="s">
        <v>183</v>
      </c>
      <c r="J6" t="s">
        <v>184</v>
      </c>
      <c r="K6" t="s">
        <v>74</v>
      </c>
      <c r="L6" t="s">
        <v>74</v>
      </c>
      <c r="M6" t="s">
        <v>78</v>
      </c>
      <c r="N6" t="s">
        <v>185</v>
      </c>
      <c r="O6" t="s">
        <v>74</v>
      </c>
      <c r="P6" t="s">
        <v>74</v>
      </c>
      <c r="Q6" t="s">
        <v>74</v>
      </c>
      <c r="R6" t="s">
        <v>74</v>
      </c>
      <c r="S6" t="s">
        <v>74</v>
      </c>
      <c r="T6" t="s">
        <v>186</v>
      </c>
      <c r="U6" t="s">
        <v>187</v>
      </c>
      <c r="V6" t="s">
        <v>188</v>
      </c>
      <c r="W6" t="s">
        <v>189</v>
      </c>
      <c r="X6" t="s">
        <v>190</v>
      </c>
      <c r="Y6" t="s">
        <v>191</v>
      </c>
      <c r="Z6" t="s">
        <v>192</v>
      </c>
      <c r="AA6" t="s">
        <v>74</v>
      </c>
      <c r="AB6" t="s">
        <v>74</v>
      </c>
      <c r="AC6" t="s">
        <v>193</v>
      </c>
      <c r="AD6" t="s">
        <v>194</v>
      </c>
      <c r="AE6" t="s">
        <v>195</v>
      </c>
      <c r="AF6" t="s">
        <v>74</v>
      </c>
      <c r="AG6">
        <v>80</v>
      </c>
      <c r="AH6">
        <v>9</v>
      </c>
      <c r="AI6">
        <v>13</v>
      </c>
      <c r="AJ6">
        <v>2</v>
      </c>
      <c r="AK6">
        <v>19</v>
      </c>
      <c r="AL6" t="s">
        <v>196</v>
      </c>
      <c r="AM6" t="s">
        <v>197</v>
      </c>
      <c r="AN6" t="s">
        <v>198</v>
      </c>
      <c r="AO6" t="s">
        <v>74</v>
      </c>
      <c r="AP6" t="s">
        <v>199</v>
      </c>
      <c r="AQ6" t="s">
        <v>74</v>
      </c>
      <c r="AR6" t="s">
        <v>200</v>
      </c>
      <c r="AS6" t="s">
        <v>201</v>
      </c>
      <c r="AT6" t="s">
        <v>99</v>
      </c>
      <c r="AU6">
        <v>2014</v>
      </c>
      <c r="AV6">
        <v>15</v>
      </c>
      <c r="AW6">
        <v>10</v>
      </c>
      <c r="AX6" t="s">
        <v>74</v>
      </c>
      <c r="AY6" t="s">
        <v>74</v>
      </c>
      <c r="AZ6" t="s">
        <v>74</v>
      </c>
      <c r="BA6" t="s">
        <v>74</v>
      </c>
      <c r="BB6">
        <v>18253</v>
      </c>
      <c r="BC6">
        <v>18266</v>
      </c>
      <c r="BD6" t="s">
        <v>74</v>
      </c>
      <c r="BE6" t="s">
        <v>202</v>
      </c>
      <c r="BF6" t="str">
        <f>HYPERLINK("http://dx.doi.org/10.3390/ijms151018253","http://dx.doi.org/10.3390/ijms151018253")</f>
        <v>http://dx.doi.org/10.3390/ijms151018253</v>
      </c>
      <c r="BG6" t="s">
        <v>74</v>
      </c>
      <c r="BH6" t="s">
        <v>74</v>
      </c>
      <c r="BI6">
        <v>14</v>
      </c>
      <c r="BJ6" t="s">
        <v>203</v>
      </c>
      <c r="BK6" t="s">
        <v>102</v>
      </c>
      <c r="BL6" t="s">
        <v>204</v>
      </c>
      <c r="BM6" t="s">
        <v>205</v>
      </c>
      <c r="BN6">
        <v>25310650</v>
      </c>
      <c r="BO6" t="s">
        <v>206</v>
      </c>
      <c r="BP6" t="s">
        <v>74</v>
      </c>
      <c r="BQ6" t="s">
        <v>74</v>
      </c>
      <c r="BR6" t="s">
        <v>105</v>
      </c>
      <c r="BS6" t="s">
        <v>207</v>
      </c>
      <c r="BT6" t="str">
        <f>HYPERLINK("https%3A%2F%2Fwww.webofscience.com%2Fwos%2Fwoscc%2Ffull-record%2FWOS:000344457200037","View Full Record in Web of Science")</f>
        <v>View Full Record in Web of Science</v>
      </c>
    </row>
    <row r="7" spans="1:72" x14ac:dyDescent="0.15">
      <c r="A7" t="s">
        <v>72</v>
      </c>
      <c r="B7" t="s">
        <v>208</v>
      </c>
      <c r="C7" t="s">
        <v>74</v>
      </c>
      <c r="D7" t="s">
        <v>74</v>
      </c>
      <c r="E7" t="s">
        <v>74</v>
      </c>
      <c r="F7" t="s">
        <v>209</v>
      </c>
      <c r="G7" t="s">
        <v>74</v>
      </c>
      <c r="H7" t="s">
        <v>74</v>
      </c>
      <c r="I7" t="s">
        <v>210</v>
      </c>
      <c r="J7" t="s">
        <v>211</v>
      </c>
      <c r="K7" t="s">
        <v>74</v>
      </c>
      <c r="L7" t="s">
        <v>74</v>
      </c>
      <c r="M7" t="s">
        <v>78</v>
      </c>
      <c r="N7" t="s">
        <v>79</v>
      </c>
      <c r="O7" t="s">
        <v>74</v>
      </c>
      <c r="P7" t="s">
        <v>74</v>
      </c>
      <c r="Q7" t="s">
        <v>74</v>
      </c>
      <c r="R7" t="s">
        <v>74</v>
      </c>
      <c r="S7" t="s">
        <v>74</v>
      </c>
      <c r="T7" t="s">
        <v>212</v>
      </c>
      <c r="U7" t="s">
        <v>213</v>
      </c>
      <c r="V7" t="s">
        <v>214</v>
      </c>
      <c r="W7" t="s">
        <v>215</v>
      </c>
      <c r="X7" t="s">
        <v>216</v>
      </c>
      <c r="Y7" t="s">
        <v>217</v>
      </c>
      <c r="Z7" t="s">
        <v>218</v>
      </c>
      <c r="AA7" t="s">
        <v>219</v>
      </c>
      <c r="AB7" t="s">
        <v>220</v>
      </c>
      <c r="AC7" t="s">
        <v>221</v>
      </c>
      <c r="AD7" t="s">
        <v>222</v>
      </c>
      <c r="AE7" t="s">
        <v>223</v>
      </c>
      <c r="AF7" t="s">
        <v>74</v>
      </c>
      <c r="AG7">
        <v>48</v>
      </c>
      <c r="AH7">
        <v>10</v>
      </c>
      <c r="AI7">
        <v>12</v>
      </c>
      <c r="AJ7">
        <v>0</v>
      </c>
      <c r="AK7">
        <v>23</v>
      </c>
      <c r="AL7" t="s">
        <v>224</v>
      </c>
      <c r="AM7" t="s">
        <v>225</v>
      </c>
      <c r="AN7" t="s">
        <v>226</v>
      </c>
      <c r="AO7" t="s">
        <v>227</v>
      </c>
      <c r="AP7" t="s">
        <v>228</v>
      </c>
      <c r="AQ7" t="s">
        <v>74</v>
      </c>
      <c r="AR7" t="s">
        <v>229</v>
      </c>
      <c r="AS7" t="s">
        <v>230</v>
      </c>
      <c r="AT7" t="s">
        <v>99</v>
      </c>
      <c r="AU7">
        <v>2014</v>
      </c>
      <c r="AV7">
        <v>26</v>
      </c>
      <c r="AW7">
        <v>5</v>
      </c>
      <c r="AX7" t="s">
        <v>74</v>
      </c>
      <c r="AY7" t="s">
        <v>74</v>
      </c>
      <c r="AZ7" t="s">
        <v>74</v>
      </c>
      <c r="BA7" t="s">
        <v>74</v>
      </c>
      <c r="BB7">
        <v>1971</v>
      </c>
      <c r="BC7">
        <v>1977</v>
      </c>
      <c r="BD7" t="s">
        <v>74</v>
      </c>
      <c r="BE7" t="s">
        <v>231</v>
      </c>
      <c r="BF7" t="str">
        <f>HYPERLINK("http://dx.doi.org/10.1007/s10811-014-0294-6","http://dx.doi.org/10.1007/s10811-014-0294-6")</f>
        <v>http://dx.doi.org/10.1007/s10811-014-0294-6</v>
      </c>
      <c r="BG7" t="s">
        <v>74</v>
      </c>
      <c r="BH7" t="s">
        <v>74</v>
      </c>
      <c r="BI7">
        <v>7</v>
      </c>
      <c r="BJ7" t="s">
        <v>232</v>
      </c>
      <c r="BK7" t="s">
        <v>102</v>
      </c>
      <c r="BL7" t="s">
        <v>232</v>
      </c>
      <c r="BM7" t="s">
        <v>233</v>
      </c>
      <c r="BN7" t="s">
        <v>74</v>
      </c>
      <c r="BO7" t="s">
        <v>74</v>
      </c>
      <c r="BP7" t="s">
        <v>74</v>
      </c>
      <c r="BQ7" t="s">
        <v>74</v>
      </c>
      <c r="BR7" t="s">
        <v>105</v>
      </c>
      <c r="BS7" t="s">
        <v>234</v>
      </c>
      <c r="BT7" t="str">
        <f>HYPERLINK("https%3A%2F%2Fwww.webofscience.com%2Fwos%2Fwoscc%2Ffull-record%2FWOS:000343998400005","View Full Record in Web of Science")</f>
        <v>View Full Record in Web of Science</v>
      </c>
    </row>
    <row r="8" spans="1:72" x14ac:dyDescent="0.15">
      <c r="A8" t="s">
        <v>72</v>
      </c>
      <c r="B8" t="s">
        <v>235</v>
      </c>
      <c r="C8" t="s">
        <v>74</v>
      </c>
      <c r="D8" t="s">
        <v>74</v>
      </c>
      <c r="E8" t="s">
        <v>74</v>
      </c>
      <c r="F8" t="s">
        <v>236</v>
      </c>
      <c r="G8" t="s">
        <v>74</v>
      </c>
      <c r="H8" t="s">
        <v>74</v>
      </c>
      <c r="I8" t="s">
        <v>237</v>
      </c>
      <c r="J8" t="s">
        <v>238</v>
      </c>
      <c r="K8" t="s">
        <v>74</v>
      </c>
      <c r="L8" t="s">
        <v>74</v>
      </c>
      <c r="M8" t="s">
        <v>78</v>
      </c>
      <c r="N8" t="s">
        <v>79</v>
      </c>
      <c r="O8" t="s">
        <v>74</v>
      </c>
      <c r="P8" t="s">
        <v>74</v>
      </c>
      <c r="Q8" t="s">
        <v>74</v>
      </c>
      <c r="R8" t="s">
        <v>74</v>
      </c>
      <c r="S8" t="s">
        <v>74</v>
      </c>
      <c r="T8" t="s">
        <v>239</v>
      </c>
      <c r="U8" t="s">
        <v>240</v>
      </c>
      <c r="V8" t="s">
        <v>241</v>
      </c>
      <c r="W8" t="s">
        <v>242</v>
      </c>
      <c r="X8" t="s">
        <v>243</v>
      </c>
      <c r="Y8" t="s">
        <v>244</v>
      </c>
      <c r="Z8" t="s">
        <v>245</v>
      </c>
      <c r="AA8" t="s">
        <v>246</v>
      </c>
      <c r="AB8" t="s">
        <v>247</v>
      </c>
      <c r="AC8" t="s">
        <v>248</v>
      </c>
      <c r="AD8" t="s">
        <v>249</v>
      </c>
      <c r="AE8" t="s">
        <v>74</v>
      </c>
      <c r="AF8" t="s">
        <v>74</v>
      </c>
      <c r="AG8">
        <v>61</v>
      </c>
      <c r="AH8">
        <v>62</v>
      </c>
      <c r="AI8">
        <v>64</v>
      </c>
      <c r="AJ8">
        <v>0</v>
      </c>
      <c r="AK8">
        <v>38</v>
      </c>
      <c r="AL8" t="s">
        <v>250</v>
      </c>
      <c r="AM8" t="s">
        <v>251</v>
      </c>
      <c r="AN8" t="s">
        <v>252</v>
      </c>
      <c r="AO8" t="s">
        <v>253</v>
      </c>
      <c r="AP8" t="s">
        <v>254</v>
      </c>
      <c r="AQ8" t="s">
        <v>74</v>
      </c>
      <c r="AR8" t="s">
        <v>255</v>
      </c>
      <c r="AS8" t="s">
        <v>256</v>
      </c>
      <c r="AT8" t="s">
        <v>99</v>
      </c>
      <c r="AU8">
        <v>2014</v>
      </c>
      <c r="AV8">
        <v>118</v>
      </c>
      <c r="AW8" t="s">
        <v>74</v>
      </c>
      <c r="AX8" t="s">
        <v>257</v>
      </c>
      <c r="AY8" t="s">
        <v>74</v>
      </c>
      <c r="AZ8" t="s">
        <v>258</v>
      </c>
      <c r="BA8" t="s">
        <v>74</v>
      </c>
      <c r="BB8">
        <v>2</v>
      </c>
      <c r="BC8">
        <v>15</v>
      </c>
      <c r="BD8" t="s">
        <v>74</v>
      </c>
      <c r="BE8" t="s">
        <v>259</v>
      </c>
      <c r="BF8" t="str">
        <f>HYPERLINK("http://dx.doi.org/10.1016/j.jastp.2013.08.022","http://dx.doi.org/10.1016/j.jastp.2013.08.022")</f>
        <v>http://dx.doi.org/10.1016/j.jastp.2013.08.022</v>
      </c>
      <c r="BG8" t="s">
        <v>74</v>
      </c>
      <c r="BH8" t="s">
        <v>74</v>
      </c>
      <c r="BI8">
        <v>14</v>
      </c>
      <c r="BJ8" t="s">
        <v>260</v>
      </c>
      <c r="BK8" t="s">
        <v>102</v>
      </c>
      <c r="BL8" t="s">
        <v>260</v>
      </c>
      <c r="BM8" t="s">
        <v>261</v>
      </c>
      <c r="BN8" t="s">
        <v>74</v>
      </c>
      <c r="BO8" t="s">
        <v>262</v>
      </c>
      <c r="BP8" t="s">
        <v>74</v>
      </c>
      <c r="BQ8" t="s">
        <v>74</v>
      </c>
      <c r="BR8" t="s">
        <v>105</v>
      </c>
      <c r="BS8" t="s">
        <v>263</v>
      </c>
      <c r="BT8" t="str">
        <f>HYPERLINK("https%3A%2F%2Fwww.webofscience.com%2Fwos%2Fwoscc%2Ffull-record%2FWOS:000340332800002","View Full Record in Web of Science")</f>
        <v>View Full Record in Web of Science</v>
      </c>
    </row>
    <row r="9" spans="1:72" x14ac:dyDescent="0.15">
      <c r="A9" t="s">
        <v>72</v>
      </c>
      <c r="B9" t="s">
        <v>264</v>
      </c>
      <c r="C9" t="s">
        <v>74</v>
      </c>
      <c r="D9" t="s">
        <v>74</v>
      </c>
      <c r="E9" t="s">
        <v>74</v>
      </c>
      <c r="F9" t="s">
        <v>265</v>
      </c>
      <c r="G9" t="s">
        <v>74</v>
      </c>
      <c r="H9" t="s">
        <v>74</v>
      </c>
      <c r="I9" t="s">
        <v>266</v>
      </c>
      <c r="J9" t="s">
        <v>267</v>
      </c>
      <c r="K9" t="s">
        <v>74</v>
      </c>
      <c r="L9" t="s">
        <v>74</v>
      </c>
      <c r="M9" t="s">
        <v>78</v>
      </c>
      <c r="N9" t="s">
        <v>79</v>
      </c>
      <c r="O9" t="s">
        <v>74</v>
      </c>
      <c r="P9" t="s">
        <v>74</v>
      </c>
      <c r="Q9" t="s">
        <v>74</v>
      </c>
      <c r="R9" t="s">
        <v>74</v>
      </c>
      <c r="S9" t="s">
        <v>74</v>
      </c>
      <c r="T9" t="s">
        <v>268</v>
      </c>
      <c r="U9" t="s">
        <v>269</v>
      </c>
      <c r="V9" t="s">
        <v>270</v>
      </c>
      <c r="W9" t="s">
        <v>271</v>
      </c>
      <c r="X9" t="s">
        <v>272</v>
      </c>
      <c r="Y9" t="s">
        <v>273</v>
      </c>
      <c r="Z9" t="s">
        <v>274</v>
      </c>
      <c r="AA9" t="s">
        <v>275</v>
      </c>
      <c r="AB9" t="s">
        <v>276</v>
      </c>
      <c r="AC9" t="s">
        <v>277</v>
      </c>
      <c r="AD9" t="s">
        <v>278</v>
      </c>
      <c r="AE9" t="s">
        <v>279</v>
      </c>
      <c r="AF9" t="s">
        <v>74</v>
      </c>
      <c r="AG9">
        <v>66</v>
      </c>
      <c r="AH9">
        <v>55</v>
      </c>
      <c r="AI9">
        <v>57</v>
      </c>
      <c r="AJ9">
        <v>1</v>
      </c>
      <c r="AK9">
        <v>35</v>
      </c>
      <c r="AL9" t="s">
        <v>280</v>
      </c>
      <c r="AM9" t="s">
        <v>281</v>
      </c>
      <c r="AN9" t="s">
        <v>282</v>
      </c>
      <c r="AO9" t="s">
        <v>283</v>
      </c>
      <c r="AP9" t="s">
        <v>284</v>
      </c>
      <c r="AQ9" t="s">
        <v>74</v>
      </c>
      <c r="AR9" t="s">
        <v>285</v>
      </c>
      <c r="AS9" t="s">
        <v>286</v>
      </c>
      <c r="AT9" t="s">
        <v>99</v>
      </c>
      <c r="AU9">
        <v>2014</v>
      </c>
      <c r="AV9">
        <v>27</v>
      </c>
      <c r="AW9">
        <v>19</v>
      </c>
      <c r="AX9" t="s">
        <v>74</v>
      </c>
      <c r="AY9" t="s">
        <v>74</v>
      </c>
      <c r="AZ9" t="s">
        <v>74</v>
      </c>
      <c r="BA9" t="s">
        <v>74</v>
      </c>
      <c r="BB9">
        <v>7462</v>
      </c>
      <c r="BC9">
        <v>7474</v>
      </c>
      <c r="BD9" t="s">
        <v>74</v>
      </c>
      <c r="BE9" t="s">
        <v>287</v>
      </c>
      <c r="BF9" t="str">
        <f>HYPERLINK("http://dx.doi.org/10.1175/JCLI-D-14-00264.1","http://dx.doi.org/10.1175/JCLI-D-14-00264.1")</f>
        <v>http://dx.doi.org/10.1175/JCLI-D-14-00264.1</v>
      </c>
      <c r="BG9" t="s">
        <v>74</v>
      </c>
      <c r="BH9" t="s">
        <v>74</v>
      </c>
      <c r="BI9">
        <v>13</v>
      </c>
      <c r="BJ9" t="s">
        <v>177</v>
      </c>
      <c r="BK9" t="s">
        <v>102</v>
      </c>
      <c r="BL9" t="s">
        <v>177</v>
      </c>
      <c r="BM9" t="s">
        <v>288</v>
      </c>
      <c r="BN9" t="s">
        <v>74</v>
      </c>
      <c r="BO9" t="s">
        <v>289</v>
      </c>
      <c r="BP9" t="s">
        <v>74</v>
      </c>
      <c r="BQ9" t="s">
        <v>74</v>
      </c>
      <c r="BR9" t="s">
        <v>105</v>
      </c>
      <c r="BS9" t="s">
        <v>290</v>
      </c>
      <c r="BT9" t="str">
        <f>HYPERLINK("https%3A%2F%2Fwww.webofscience.com%2Fwos%2Fwoscc%2Ffull-record%2FWOS:000342840400018","View Full Record in Web of Science")</f>
        <v>View Full Record in Web of Science</v>
      </c>
    </row>
    <row r="10" spans="1:72" x14ac:dyDescent="0.15">
      <c r="A10" t="s">
        <v>72</v>
      </c>
      <c r="B10" t="s">
        <v>291</v>
      </c>
      <c r="C10" t="s">
        <v>74</v>
      </c>
      <c r="D10" t="s">
        <v>74</v>
      </c>
      <c r="E10" t="s">
        <v>74</v>
      </c>
      <c r="F10" t="s">
        <v>292</v>
      </c>
      <c r="G10" t="s">
        <v>74</v>
      </c>
      <c r="H10" t="s">
        <v>74</v>
      </c>
      <c r="I10" t="s">
        <v>293</v>
      </c>
      <c r="J10" t="s">
        <v>294</v>
      </c>
      <c r="K10" t="s">
        <v>74</v>
      </c>
      <c r="L10" t="s">
        <v>74</v>
      </c>
      <c r="M10" t="s">
        <v>78</v>
      </c>
      <c r="N10" t="s">
        <v>185</v>
      </c>
      <c r="O10" t="s">
        <v>74</v>
      </c>
      <c r="P10" t="s">
        <v>74</v>
      </c>
      <c r="Q10" t="s">
        <v>74</v>
      </c>
      <c r="R10" t="s">
        <v>74</v>
      </c>
      <c r="S10" t="s">
        <v>74</v>
      </c>
      <c r="T10" t="s">
        <v>295</v>
      </c>
      <c r="U10" t="s">
        <v>296</v>
      </c>
      <c r="V10" t="s">
        <v>297</v>
      </c>
      <c r="W10" t="s">
        <v>298</v>
      </c>
      <c r="X10" t="s">
        <v>299</v>
      </c>
      <c r="Y10" t="s">
        <v>300</v>
      </c>
      <c r="Z10" t="s">
        <v>301</v>
      </c>
      <c r="AA10" t="s">
        <v>302</v>
      </c>
      <c r="AB10" t="s">
        <v>303</v>
      </c>
      <c r="AC10" t="s">
        <v>74</v>
      </c>
      <c r="AD10" t="s">
        <v>74</v>
      </c>
      <c r="AE10" t="s">
        <v>74</v>
      </c>
      <c r="AF10" t="s">
        <v>74</v>
      </c>
      <c r="AG10">
        <v>110</v>
      </c>
      <c r="AH10">
        <v>32</v>
      </c>
      <c r="AI10">
        <v>35</v>
      </c>
      <c r="AJ10">
        <v>0</v>
      </c>
      <c r="AK10">
        <v>34</v>
      </c>
      <c r="AL10" t="s">
        <v>304</v>
      </c>
      <c r="AM10" t="s">
        <v>305</v>
      </c>
      <c r="AN10" t="s">
        <v>306</v>
      </c>
      <c r="AO10" t="s">
        <v>307</v>
      </c>
      <c r="AP10" t="s">
        <v>308</v>
      </c>
      <c r="AQ10" t="s">
        <v>74</v>
      </c>
      <c r="AR10" t="s">
        <v>309</v>
      </c>
      <c r="AS10" t="s">
        <v>310</v>
      </c>
      <c r="AT10" t="s">
        <v>99</v>
      </c>
      <c r="AU10">
        <v>2014</v>
      </c>
      <c r="AV10">
        <v>184</v>
      </c>
      <c r="AW10">
        <v>7</v>
      </c>
      <c r="AX10" t="s">
        <v>74</v>
      </c>
      <c r="AY10" t="s">
        <v>74</v>
      </c>
      <c r="AZ10" t="s">
        <v>74</v>
      </c>
      <c r="BA10" t="s">
        <v>74</v>
      </c>
      <c r="BB10">
        <v>811</v>
      </c>
      <c r="BC10">
        <v>825</v>
      </c>
      <c r="BD10" t="s">
        <v>74</v>
      </c>
      <c r="BE10" t="s">
        <v>311</v>
      </c>
      <c r="BF10" t="str">
        <f>HYPERLINK("http://dx.doi.org/10.1007/s00360-014-0836-x","http://dx.doi.org/10.1007/s00360-014-0836-x")</f>
        <v>http://dx.doi.org/10.1007/s00360-014-0836-x</v>
      </c>
      <c r="BG10" t="s">
        <v>74</v>
      </c>
      <c r="BH10" t="s">
        <v>74</v>
      </c>
      <c r="BI10">
        <v>15</v>
      </c>
      <c r="BJ10" t="s">
        <v>312</v>
      </c>
      <c r="BK10" t="s">
        <v>102</v>
      </c>
      <c r="BL10" t="s">
        <v>312</v>
      </c>
      <c r="BM10" t="s">
        <v>313</v>
      </c>
      <c r="BN10">
        <v>24942313</v>
      </c>
      <c r="BO10" t="s">
        <v>74</v>
      </c>
      <c r="BP10" t="s">
        <v>74</v>
      </c>
      <c r="BQ10" t="s">
        <v>74</v>
      </c>
      <c r="BR10" t="s">
        <v>105</v>
      </c>
      <c r="BS10" t="s">
        <v>314</v>
      </c>
      <c r="BT10" t="str">
        <f>HYPERLINK("https%3A%2F%2Fwww.webofscience.com%2Fwos%2Fwoscc%2Ffull-record%2FWOS:000342431500001","View Full Record in Web of Science")</f>
        <v>View Full Record in Web of Science</v>
      </c>
    </row>
    <row r="11" spans="1:72" x14ac:dyDescent="0.15">
      <c r="A11" t="s">
        <v>72</v>
      </c>
      <c r="B11" t="s">
        <v>315</v>
      </c>
      <c r="C11" t="s">
        <v>74</v>
      </c>
      <c r="D11" t="s">
        <v>74</v>
      </c>
      <c r="E11" t="s">
        <v>74</v>
      </c>
      <c r="F11" t="s">
        <v>316</v>
      </c>
      <c r="G11" t="s">
        <v>74</v>
      </c>
      <c r="H11" t="s">
        <v>74</v>
      </c>
      <c r="I11" t="s">
        <v>317</v>
      </c>
      <c r="J11" t="s">
        <v>318</v>
      </c>
      <c r="K11" t="s">
        <v>74</v>
      </c>
      <c r="L11" t="s">
        <v>74</v>
      </c>
      <c r="M11" t="s">
        <v>78</v>
      </c>
      <c r="N11" t="s">
        <v>79</v>
      </c>
      <c r="O11" t="s">
        <v>74</v>
      </c>
      <c r="P11" t="s">
        <v>74</v>
      </c>
      <c r="Q11" t="s">
        <v>74</v>
      </c>
      <c r="R11" t="s">
        <v>74</v>
      </c>
      <c r="S11" t="s">
        <v>74</v>
      </c>
      <c r="T11" t="s">
        <v>319</v>
      </c>
      <c r="U11" t="s">
        <v>320</v>
      </c>
      <c r="V11" t="s">
        <v>321</v>
      </c>
      <c r="W11" t="s">
        <v>322</v>
      </c>
      <c r="X11" t="s">
        <v>323</v>
      </c>
      <c r="Y11" t="s">
        <v>324</v>
      </c>
      <c r="Z11" t="s">
        <v>325</v>
      </c>
      <c r="AA11" t="s">
        <v>326</v>
      </c>
      <c r="AB11" t="s">
        <v>327</v>
      </c>
      <c r="AC11" t="s">
        <v>328</v>
      </c>
      <c r="AD11" t="s">
        <v>329</v>
      </c>
      <c r="AE11" t="s">
        <v>330</v>
      </c>
      <c r="AF11" t="s">
        <v>74</v>
      </c>
      <c r="AG11">
        <v>34</v>
      </c>
      <c r="AH11">
        <v>18</v>
      </c>
      <c r="AI11">
        <v>18</v>
      </c>
      <c r="AJ11">
        <v>0</v>
      </c>
      <c r="AK11">
        <v>5</v>
      </c>
      <c r="AL11" t="s">
        <v>331</v>
      </c>
      <c r="AM11" t="s">
        <v>332</v>
      </c>
      <c r="AN11" t="s">
        <v>333</v>
      </c>
      <c r="AO11" t="s">
        <v>334</v>
      </c>
      <c r="AP11" t="s">
        <v>335</v>
      </c>
      <c r="AQ11" t="s">
        <v>74</v>
      </c>
      <c r="AR11" t="s">
        <v>336</v>
      </c>
      <c r="AS11" t="s">
        <v>337</v>
      </c>
      <c r="AT11" t="s">
        <v>99</v>
      </c>
      <c r="AU11">
        <v>2014</v>
      </c>
      <c r="AV11">
        <v>119</v>
      </c>
      <c r="AW11">
        <v>10</v>
      </c>
      <c r="AX11" t="s">
        <v>74</v>
      </c>
      <c r="AY11" t="s">
        <v>74</v>
      </c>
      <c r="AZ11" t="s">
        <v>74</v>
      </c>
      <c r="BA11" t="s">
        <v>74</v>
      </c>
      <c r="BB11">
        <v>8415</v>
      </c>
      <c r="BC11">
        <v>8425</v>
      </c>
      <c r="BD11" t="s">
        <v>74</v>
      </c>
      <c r="BE11" t="s">
        <v>338</v>
      </c>
      <c r="BF11" t="str">
        <f>HYPERLINK("http://dx.doi.org/10.1002/2014JA020523","http://dx.doi.org/10.1002/2014JA020523")</f>
        <v>http://dx.doi.org/10.1002/2014JA020523</v>
      </c>
      <c r="BG11" t="s">
        <v>74</v>
      </c>
      <c r="BH11" t="s">
        <v>74</v>
      </c>
      <c r="BI11">
        <v>11</v>
      </c>
      <c r="BJ11" t="s">
        <v>339</v>
      </c>
      <c r="BK11" t="s">
        <v>102</v>
      </c>
      <c r="BL11" t="s">
        <v>339</v>
      </c>
      <c r="BM11" t="s">
        <v>340</v>
      </c>
      <c r="BN11" t="s">
        <v>74</v>
      </c>
      <c r="BO11" t="s">
        <v>341</v>
      </c>
      <c r="BP11" t="s">
        <v>74</v>
      </c>
      <c r="BQ11" t="s">
        <v>74</v>
      </c>
      <c r="BR11" t="s">
        <v>105</v>
      </c>
      <c r="BS11" t="s">
        <v>342</v>
      </c>
      <c r="BT11" t="str">
        <f>HYPERLINK("https%3A%2F%2Fwww.webofscience.com%2Fwos%2Fwoscc%2Ffull-record%2FWOS:000345445400031","View Full Record in Web of Science")</f>
        <v>View Full Record in Web of Science</v>
      </c>
    </row>
    <row r="12" spans="1:72" x14ac:dyDescent="0.15">
      <c r="A12" t="s">
        <v>72</v>
      </c>
      <c r="B12" t="s">
        <v>343</v>
      </c>
      <c r="C12" t="s">
        <v>74</v>
      </c>
      <c r="D12" t="s">
        <v>74</v>
      </c>
      <c r="E12" t="s">
        <v>74</v>
      </c>
      <c r="F12" t="s">
        <v>344</v>
      </c>
      <c r="G12" t="s">
        <v>74</v>
      </c>
      <c r="H12" t="s">
        <v>74</v>
      </c>
      <c r="I12" t="s">
        <v>345</v>
      </c>
      <c r="J12" t="s">
        <v>318</v>
      </c>
      <c r="K12" t="s">
        <v>74</v>
      </c>
      <c r="L12" t="s">
        <v>74</v>
      </c>
      <c r="M12" t="s">
        <v>78</v>
      </c>
      <c r="N12" t="s">
        <v>79</v>
      </c>
      <c r="O12" t="s">
        <v>74</v>
      </c>
      <c r="P12" t="s">
        <v>74</v>
      </c>
      <c r="Q12" t="s">
        <v>74</v>
      </c>
      <c r="R12" t="s">
        <v>74</v>
      </c>
      <c r="S12" t="s">
        <v>74</v>
      </c>
      <c r="T12" t="s">
        <v>346</v>
      </c>
      <c r="U12" t="s">
        <v>347</v>
      </c>
      <c r="V12" t="s">
        <v>348</v>
      </c>
      <c r="W12" t="s">
        <v>349</v>
      </c>
      <c r="X12" t="s">
        <v>350</v>
      </c>
      <c r="Y12" t="s">
        <v>351</v>
      </c>
      <c r="Z12" t="s">
        <v>352</v>
      </c>
      <c r="AA12" t="s">
        <v>353</v>
      </c>
      <c r="AB12" t="s">
        <v>354</v>
      </c>
      <c r="AC12" t="s">
        <v>355</v>
      </c>
      <c r="AD12" t="s">
        <v>356</v>
      </c>
      <c r="AE12" t="s">
        <v>357</v>
      </c>
      <c r="AF12" t="s">
        <v>74</v>
      </c>
      <c r="AG12">
        <v>26</v>
      </c>
      <c r="AH12">
        <v>33</v>
      </c>
      <c r="AI12">
        <v>35</v>
      </c>
      <c r="AJ12">
        <v>0</v>
      </c>
      <c r="AK12">
        <v>18</v>
      </c>
      <c r="AL12" t="s">
        <v>331</v>
      </c>
      <c r="AM12" t="s">
        <v>332</v>
      </c>
      <c r="AN12" t="s">
        <v>333</v>
      </c>
      <c r="AO12" t="s">
        <v>334</v>
      </c>
      <c r="AP12" t="s">
        <v>335</v>
      </c>
      <c r="AQ12" t="s">
        <v>74</v>
      </c>
      <c r="AR12" t="s">
        <v>336</v>
      </c>
      <c r="AS12" t="s">
        <v>337</v>
      </c>
      <c r="AT12" t="s">
        <v>99</v>
      </c>
      <c r="AU12">
        <v>2014</v>
      </c>
      <c r="AV12">
        <v>119</v>
      </c>
      <c r="AW12">
        <v>10</v>
      </c>
      <c r="AX12" t="s">
        <v>74</v>
      </c>
      <c r="AY12" t="s">
        <v>74</v>
      </c>
      <c r="AZ12" t="s">
        <v>74</v>
      </c>
      <c r="BA12" t="s">
        <v>74</v>
      </c>
      <c r="BB12">
        <v>8610</v>
      </c>
      <c r="BC12">
        <v>8623</v>
      </c>
      <c r="BD12" t="s">
        <v>74</v>
      </c>
      <c r="BE12" t="s">
        <v>358</v>
      </c>
      <c r="BF12" t="str">
        <f>HYPERLINK("http://dx.doi.org/10.1002/2014JA020048","http://dx.doi.org/10.1002/2014JA020048")</f>
        <v>http://dx.doi.org/10.1002/2014JA020048</v>
      </c>
      <c r="BG12" t="s">
        <v>74</v>
      </c>
      <c r="BH12" t="s">
        <v>74</v>
      </c>
      <c r="BI12">
        <v>14</v>
      </c>
      <c r="BJ12" t="s">
        <v>339</v>
      </c>
      <c r="BK12" t="s">
        <v>102</v>
      </c>
      <c r="BL12" t="s">
        <v>339</v>
      </c>
      <c r="BM12" t="s">
        <v>340</v>
      </c>
      <c r="BN12" t="s">
        <v>74</v>
      </c>
      <c r="BO12" t="s">
        <v>359</v>
      </c>
      <c r="BP12" t="s">
        <v>74</v>
      </c>
      <c r="BQ12" t="s">
        <v>74</v>
      </c>
      <c r="BR12" t="s">
        <v>105</v>
      </c>
      <c r="BS12" t="s">
        <v>360</v>
      </c>
      <c r="BT12" t="str">
        <f>HYPERLINK("https%3A%2F%2Fwww.webofscience.com%2Fwos%2Fwoscc%2Ffull-record%2FWOS:000345445400045","View Full Record in Web of Science")</f>
        <v>View Full Record in Web of Science</v>
      </c>
    </row>
    <row r="13" spans="1:72" x14ac:dyDescent="0.15">
      <c r="A13" t="s">
        <v>72</v>
      </c>
      <c r="B13" t="s">
        <v>361</v>
      </c>
      <c r="C13" t="s">
        <v>74</v>
      </c>
      <c r="D13" t="s">
        <v>74</v>
      </c>
      <c r="E13" t="s">
        <v>74</v>
      </c>
      <c r="F13" t="s">
        <v>362</v>
      </c>
      <c r="G13" t="s">
        <v>74</v>
      </c>
      <c r="H13" t="s">
        <v>74</v>
      </c>
      <c r="I13" t="s">
        <v>363</v>
      </c>
      <c r="J13" t="s">
        <v>318</v>
      </c>
      <c r="K13" t="s">
        <v>74</v>
      </c>
      <c r="L13" t="s">
        <v>74</v>
      </c>
      <c r="M13" t="s">
        <v>78</v>
      </c>
      <c r="N13" t="s">
        <v>79</v>
      </c>
      <c r="O13" t="s">
        <v>74</v>
      </c>
      <c r="P13" t="s">
        <v>74</v>
      </c>
      <c r="Q13" t="s">
        <v>74</v>
      </c>
      <c r="R13" t="s">
        <v>74</v>
      </c>
      <c r="S13" t="s">
        <v>74</v>
      </c>
      <c r="T13" t="s">
        <v>364</v>
      </c>
      <c r="U13" t="s">
        <v>365</v>
      </c>
      <c r="V13" t="s">
        <v>366</v>
      </c>
      <c r="W13" t="s">
        <v>367</v>
      </c>
      <c r="X13" t="s">
        <v>368</v>
      </c>
      <c r="Y13" t="s">
        <v>369</v>
      </c>
      <c r="Z13" t="s">
        <v>370</v>
      </c>
      <c r="AA13" t="s">
        <v>371</v>
      </c>
      <c r="AB13" t="s">
        <v>372</v>
      </c>
      <c r="AC13" t="s">
        <v>373</v>
      </c>
      <c r="AD13" t="s">
        <v>374</v>
      </c>
      <c r="AE13" t="s">
        <v>375</v>
      </c>
      <c r="AF13" t="s">
        <v>74</v>
      </c>
      <c r="AG13">
        <v>84</v>
      </c>
      <c r="AH13">
        <v>58</v>
      </c>
      <c r="AI13">
        <v>60</v>
      </c>
      <c r="AJ13">
        <v>0</v>
      </c>
      <c r="AK13">
        <v>9</v>
      </c>
      <c r="AL13" t="s">
        <v>331</v>
      </c>
      <c r="AM13" t="s">
        <v>332</v>
      </c>
      <c r="AN13" t="s">
        <v>333</v>
      </c>
      <c r="AO13" t="s">
        <v>334</v>
      </c>
      <c r="AP13" t="s">
        <v>335</v>
      </c>
      <c r="AQ13" t="s">
        <v>74</v>
      </c>
      <c r="AR13" t="s">
        <v>336</v>
      </c>
      <c r="AS13" t="s">
        <v>337</v>
      </c>
      <c r="AT13" t="s">
        <v>99</v>
      </c>
      <c r="AU13">
        <v>2014</v>
      </c>
      <c r="AV13">
        <v>119</v>
      </c>
      <c r="AW13">
        <v>10</v>
      </c>
      <c r="AX13" t="s">
        <v>74</v>
      </c>
      <c r="AY13" t="s">
        <v>74</v>
      </c>
      <c r="AZ13" t="s">
        <v>74</v>
      </c>
      <c r="BA13" t="s">
        <v>74</v>
      </c>
      <c r="BB13">
        <v>8624</v>
      </c>
      <c r="BC13">
        <v>8636</v>
      </c>
      <c r="BD13" t="s">
        <v>74</v>
      </c>
      <c r="BE13" t="s">
        <v>376</v>
      </c>
      <c r="BF13" t="str">
        <f>HYPERLINK("http://dx.doi.org/10.1002/2014JA020114","http://dx.doi.org/10.1002/2014JA020114")</f>
        <v>http://dx.doi.org/10.1002/2014JA020114</v>
      </c>
      <c r="BG13" t="s">
        <v>74</v>
      </c>
      <c r="BH13" t="s">
        <v>74</v>
      </c>
      <c r="BI13">
        <v>13</v>
      </c>
      <c r="BJ13" t="s">
        <v>339</v>
      </c>
      <c r="BK13" t="s">
        <v>102</v>
      </c>
      <c r="BL13" t="s">
        <v>339</v>
      </c>
      <c r="BM13" t="s">
        <v>340</v>
      </c>
      <c r="BN13" t="s">
        <v>74</v>
      </c>
      <c r="BO13" t="s">
        <v>377</v>
      </c>
      <c r="BP13" t="s">
        <v>74</v>
      </c>
      <c r="BQ13" t="s">
        <v>74</v>
      </c>
      <c r="BR13" t="s">
        <v>105</v>
      </c>
      <c r="BS13" t="s">
        <v>378</v>
      </c>
      <c r="BT13" t="str">
        <f>HYPERLINK("https%3A%2F%2Fwww.webofscience.com%2Fwos%2Fwoscc%2Ffull-record%2FWOS:000345445400046","View Full Record in Web of Science")</f>
        <v>View Full Record in Web of Science</v>
      </c>
    </row>
    <row r="14" spans="1:72" x14ac:dyDescent="0.15">
      <c r="A14" t="s">
        <v>72</v>
      </c>
      <c r="B14" t="s">
        <v>379</v>
      </c>
      <c r="C14" t="s">
        <v>74</v>
      </c>
      <c r="D14" t="s">
        <v>74</v>
      </c>
      <c r="E14" t="s">
        <v>74</v>
      </c>
      <c r="F14" t="s">
        <v>380</v>
      </c>
      <c r="G14" t="s">
        <v>74</v>
      </c>
      <c r="H14" t="s">
        <v>74</v>
      </c>
      <c r="I14" t="s">
        <v>381</v>
      </c>
      <c r="J14" t="s">
        <v>382</v>
      </c>
      <c r="K14" t="s">
        <v>74</v>
      </c>
      <c r="L14" t="s">
        <v>74</v>
      </c>
      <c r="M14" t="s">
        <v>78</v>
      </c>
      <c r="N14" t="s">
        <v>79</v>
      </c>
      <c r="O14" t="s">
        <v>74</v>
      </c>
      <c r="P14" t="s">
        <v>74</v>
      </c>
      <c r="Q14" t="s">
        <v>74</v>
      </c>
      <c r="R14" t="s">
        <v>74</v>
      </c>
      <c r="S14" t="s">
        <v>74</v>
      </c>
      <c r="T14" t="s">
        <v>383</v>
      </c>
      <c r="U14" t="s">
        <v>384</v>
      </c>
      <c r="V14" t="s">
        <v>385</v>
      </c>
      <c r="W14" t="s">
        <v>386</v>
      </c>
      <c r="X14" t="s">
        <v>387</v>
      </c>
      <c r="Y14" t="s">
        <v>388</v>
      </c>
      <c r="Z14" t="s">
        <v>389</v>
      </c>
      <c r="AA14" t="s">
        <v>390</v>
      </c>
      <c r="AB14" t="s">
        <v>391</v>
      </c>
      <c r="AC14" t="s">
        <v>392</v>
      </c>
      <c r="AD14" t="s">
        <v>393</v>
      </c>
      <c r="AE14" t="s">
        <v>394</v>
      </c>
      <c r="AF14" t="s">
        <v>74</v>
      </c>
      <c r="AG14">
        <v>119</v>
      </c>
      <c r="AH14">
        <v>22</v>
      </c>
      <c r="AI14">
        <v>24</v>
      </c>
      <c r="AJ14">
        <v>0</v>
      </c>
      <c r="AK14">
        <v>64</v>
      </c>
      <c r="AL14" t="s">
        <v>304</v>
      </c>
      <c r="AM14" t="s">
        <v>305</v>
      </c>
      <c r="AN14" t="s">
        <v>306</v>
      </c>
      <c r="AO14" t="s">
        <v>395</v>
      </c>
      <c r="AP14" t="s">
        <v>396</v>
      </c>
      <c r="AQ14" t="s">
        <v>74</v>
      </c>
      <c r="AR14" t="s">
        <v>397</v>
      </c>
      <c r="AS14" t="s">
        <v>398</v>
      </c>
      <c r="AT14" t="s">
        <v>99</v>
      </c>
      <c r="AU14">
        <v>2014</v>
      </c>
      <c r="AV14">
        <v>28</v>
      </c>
      <c r="AW14">
        <v>5</v>
      </c>
      <c r="AX14" t="s">
        <v>74</v>
      </c>
      <c r="AY14" t="s">
        <v>74</v>
      </c>
      <c r="AZ14" t="s">
        <v>74</v>
      </c>
      <c r="BA14" t="s">
        <v>74</v>
      </c>
      <c r="BB14">
        <v>820</v>
      </c>
      <c r="BC14">
        <v>835</v>
      </c>
      <c r="BD14" t="s">
        <v>74</v>
      </c>
      <c r="BE14" t="s">
        <v>399</v>
      </c>
      <c r="BF14" t="str">
        <f>HYPERLINK("http://dx.doi.org/10.1007/s13351-014-4079-2","http://dx.doi.org/10.1007/s13351-014-4079-2")</f>
        <v>http://dx.doi.org/10.1007/s13351-014-4079-2</v>
      </c>
      <c r="BG14" t="s">
        <v>74</v>
      </c>
      <c r="BH14" t="s">
        <v>74</v>
      </c>
      <c r="BI14">
        <v>16</v>
      </c>
      <c r="BJ14" t="s">
        <v>177</v>
      </c>
      <c r="BK14" t="s">
        <v>102</v>
      </c>
      <c r="BL14" t="s">
        <v>177</v>
      </c>
      <c r="BM14" t="s">
        <v>400</v>
      </c>
      <c r="BN14" t="s">
        <v>74</v>
      </c>
      <c r="BO14" t="s">
        <v>289</v>
      </c>
      <c r="BP14" t="s">
        <v>74</v>
      </c>
      <c r="BQ14" t="s">
        <v>74</v>
      </c>
      <c r="BR14" t="s">
        <v>105</v>
      </c>
      <c r="BS14" t="s">
        <v>401</v>
      </c>
      <c r="BT14" t="str">
        <f>HYPERLINK("https%3A%2F%2Fwww.webofscience.com%2Fwos%2Fwoscc%2Ffull-record%2FWOS:000344078000010","View Full Record in Web of Science")</f>
        <v>View Full Record in Web of Science</v>
      </c>
    </row>
    <row r="15" spans="1:72" x14ac:dyDescent="0.15">
      <c r="A15" t="s">
        <v>72</v>
      </c>
      <c r="B15" t="s">
        <v>402</v>
      </c>
      <c r="C15" t="s">
        <v>74</v>
      </c>
      <c r="D15" t="s">
        <v>74</v>
      </c>
      <c r="E15" t="s">
        <v>74</v>
      </c>
      <c r="F15" t="s">
        <v>403</v>
      </c>
      <c r="G15" t="s">
        <v>74</v>
      </c>
      <c r="H15" t="s">
        <v>74</v>
      </c>
      <c r="I15" t="s">
        <v>404</v>
      </c>
      <c r="J15" t="s">
        <v>405</v>
      </c>
      <c r="K15" t="s">
        <v>74</v>
      </c>
      <c r="L15" t="s">
        <v>74</v>
      </c>
      <c r="M15" t="s">
        <v>78</v>
      </c>
      <c r="N15" t="s">
        <v>79</v>
      </c>
      <c r="O15" t="s">
        <v>74</v>
      </c>
      <c r="P15" t="s">
        <v>74</v>
      </c>
      <c r="Q15" t="s">
        <v>74</v>
      </c>
      <c r="R15" t="s">
        <v>74</v>
      </c>
      <c r="S15" t="s">
        <v>74</v>
      </c>
      <c r="T15" t="s">
        <v>406</v>
      </c>
      <c r="U15" t="s">
        <v>407</v>
      </c>
      <c r="V15" t="s">
        <v>408</v>
      </c>
      <c r="W15" t="s">
        <v>409</v>
      </c>
      <c r="X15" t="s">
        <v>410</v>
      </c>
      <c r="Y15" t="s">
        <v>411</v>
      </c>
      <c r="Z15" t="s">
        <v>412</v>
      </c>
      <c r="AA15" t="s">
        <v>413</v>
      </c>
      <c r="AB15" t="s">
        <v>414</v>
      </c>
      <c r="AC15" t="s">
        <v>415</v>
      </c>
      <c r="AD15" t="s">
        <v>416</v>
      </c>
      <c r="AE15" t="s">
        <v>417</v>
      </c>
      <c r="AF15" t="s">
        <v>74</v>
      </c>
      <c r="AG15">
        <v>118</v>
      </c>
      <c r="AH15">
        <v>123</v>
      </c>
      <c r="AI15">
        <v>139</v>
      </c>
      <c r="AJ15">
        <v>3</v>
      </c>
      <c r="AK15">
        <v>116</v>
      </c>
      <c r="AL15" t="s">
        <v>418</v>
      </c>
      <c r="AM15" t="s">
        <v>251</v>
      </c>
      <c r="AN15" t="s">
        <v>419</v>
      </c>
      <c r="AO15" t="s">
        <v>420</v>
      </c>
      <c r="AP15" t="s">
        <v>421</v>
      </c>
      <c r="AQ15" t="s">
        <v>74</v>
      </c>
      <c r="AR15" t="s">
        <v>422</v>
      </c>
      <c r="AS15" t="s">
        <v>423</v>
      </c>
      <c r="AT15" t="s">
        <v>99</v>
      </c>
      <c r="AU15">
        <v>2014</v>
      </c>
      <c r="AV15">
        <v>55</v>
      </c>
      <c r="AW15">
        <v>10</v>
      </c>
      <c r="AX15" t="s">
        <v>74</v>
      </c>
      <c r="AY15" t="s">
        <v>74</v>
      </c>
      <c r="AZ15" t="s">
        <v>74</v>
      </c>
      <c r="BA15" t="s">
        <v>74</v>
      </c>
      <c r="BB15">
        <v>2067</v>
      </c>
      <c r="BC15">
        <v>2096</v>
      </c>
      <c r="BD15" t="s">
        <v>74</v>
      </c>
      <c r="BE15" t="s">
        <v>424</v>
      </c>
      <c r="BF15" t="str">
        <f>HYPERLINK("http://dx.doi.org/10.1093/petrology/egu050","http://dx.doi.org/10.1093/petrology/egu050")</f>
        <v>http://dx.doi.org/10.1093/petrology/egu050</v>
      </c>
      <c r="BG15" t="s">
        <v>74</v>
      </c>
      <c r="BH15" t="s">
        <v>74</v>
      </c>
      <c r="BI15">
        <v>30</v>
      </c>
      <c r="BJ15" t="s">
        <v>425</v>
      </c>
      <c r="BK15" t="s">
        <v>102</v>
      </c>
      <c r="BL15" t="s">
        <v>425</v>
      </c>
      <c r="BM15" t="s">
        <v>426</v>
      </c>
      <c r="BN15" t="s">
        <v>74</v>
      </c>
      <c r="BO15" t="s">
        <v>427</v>
      </c>
      <c r="BP15" t="s">
        <v>74</v>
      </c>
      <c r="BQ15" t="s">
        <v>74</v>
      </c>
      <c r="BR15" t="s">
        <v>105</v>
      </c>
      <c r="BS15" t="s">
        <v>428</v>
      </c>
      <c r="BT15" t="str">
        <f>HYPERLINK("https%3A%2F%2Fwww.webofscience.com%2Fwos%2Fwoscc%2Ffull-record%2FWOS:000343696800006","View Full Record in Web of Science")</f>
        <v>View Full Record in Web of Science</v>
      </c>
    </row>
    <row r="16" spans="1:72" x14ac:dyDescent="0.15">
      <c r="A16" t="s">
        <v>72</v>
      </c>
      <c r="B16" t="s">
        <v>429</v>
      </c>
      <c r="C16" t="s">
        <v>74</v>
      </c>
      <c r="D16" t="s">
        <v>74</v>
      </c>
      <c r="E16" t="s">
        <v>74</v>
      </c>
      <c r="F16" t="s">
        <v>430</v>
      </c>
      <c r="G16" t="s">
        <v>74</v>
      </c>
      <c r="H16" t="s">
        <v>74</v>
      </c>
      <c r="I16" t="s">
        <v>431</v>
      </c>
      <c r="J16" t="s">
        <v>432</v>
      </c>
      <c r="K16" t="s">
        <v>74</v>
      </c>
      <c r="L16" t="s">
        <v>74</v>
      </c>
      <c r="M16" t="s">
        <v>78</v>
      </c>
      <c r="N16" t="s">
        <v>79</v>
      </c>
      <c r="O16" t="s">
        <v>74</v>
      </c>
      <c r="P16" t="s">
        <v>74</v>
      </c>
      <c r="Q16" t="s">
        <v>74</v>
      </c>
      <c r="R16" t="s">
        <v>74</v>
      </c>
      <c r="S16" t="s">
        <v>74</v>
      </c>
      <c r="T16" t="s">
        <v>74</v>
      </c>
      <c r="U16" t="s">
        <v>433</v>
      </c>
      <c r="V16" t="s">
        <v>434</v>
      </c>
      <c r="W16" t="s">
        <v>435</v>
      </c>
      <c r="X16" t="s">
        <v>436</v>
      </c>
      <c r="Y16" t="s">
        <v>437</v>
      </c>
      <c r="Z16" t="s">
        <v>438</v>
      </c>
      <c r="AA16" t="s">
        <v>439</v>
      </c>
      <c r="AB16" t="s">
        <v>440</v>
      </c>
      <c r="AC16" t="s">
        <v>441</v>
      </c>
      <c r="AD16" t="s">
        <v>442</v>
      </c>
      <c r="AE16" t="s">
        <v>443</v>
      </c>
      <c r="AF16" t="s">
        <v>74</v>
      </c>
      <c r="AG16">
        <v>64</v>
      </c>
      <c r="AH16">
        <v>53</v>
      </c>
      <c r="AI16">
        <v>54</v>
      </c>
      <c r="AJ16">
        <v>1</v>
      </c>
      <c r="AK16">
        <v>21</v>
      </c>
      <c r="AL16" t="s">
        <v>280</v>
      </c>
      <c r="AM16" t="s">
        <v>281</v>
      </c>
      <c r="AN16" t="s">
        <v>282</v>
      </c>
      <c r="AO16" t="s">
        <v>444</v>
      </c>
      <c r="AP16" t="s">
        <v>445</v>
      </c>
      <c r="AQ16" t="s">
        <v>74</v>
      </c>
      <c r="AR16" t="s">
        <v>446</v>
      </c>
      <c r="AS16" t="s">
        <v>447</v>
      </c>
      <c r="AT16" t="s">
        <v>99</v>
      </c>
      <c r="AU16">
        <v>2014</v>
      </c>
      <c r="AV16">
        <v>44</v>
      </c>
      <c r="AW16">
        <v>10</v>
      </c>
      <c r="AX16" t="s">
        <v>74</v>
      </c>
      <c r="AY16" t="s">
        <v>74</v>
      </c>
      <c r="AZ16" t="s">
        <v>74</v>
      </c>
      <c r="BA16" t="s">
        <v>74</v>
      </c>
      <c r="BB16">
        <v>2593</v>
      </c>
      <c r="BC16">
        <v>2616</v>
      </c>
      <c r="BD16" t="s">
        <v>74</v>
      </c>
      <c r="BE16" t="s">
        <v>448</v>
      </c>
      <c r="BF16" t="str">
        <f>HYPERLINK("http://dx.doi.org/10.1175/JPO-D-13-0120.1","http://dx.doi.org/10.1175/JPO-D-13-0120.1")</f>
        <v>http://dx.doi.org/10.1175/JPO-D-13-0120.1</v>
      </c>
      <c r="BG16" t="s">
        <v>74</v>
      </c>
      <c r="BH16" t="s">
        <v>74</v>
      </c>
      <c r="BI16">
        <v>24</v>
      </c>
      <c r="BJ16" t="s">
        <v>152</v>
      </c>
      <c r="BK16" t="s">
        <v>102</v>
      </c>
      <c r="BL16" t="s">
        <v>152</v>
      </c>
      <c r="BM16" t="s">
        <v>449</v>
      </c>
      <c r="BN16" t="s">
        <v>74</v>
      </c>
      <c r="BO16" t="s">
        <v>450</v>
      </c>
      <c r="BP16" t="s">
        <v>74</v>
      </c>
      <c r="BQ16" t="s">
        <v>74</v>
      </c>
      <c r="BR16" t="s">
        <v>105</v>
      </c>
      <c r="BS16" t="s">
        <v>451</v>
      </c>
      <c r="BT16" t="str">
        <f>HYPERLINK("https%3A%2F%2Fwww.webofscience.com%2Fwos%2Fwoscc%2Ffull-record%2FWOS:000342861100001","View Full Record in Web of Science")</f>
        <v>View Full Record in Web of Science</v>
      </c>
    </row>
    <row r="17" spans="1:72" x14ac:dyDescent="0.15">
      <c r="A17" t="s">
        <v>72</v>
      </c>
      <c r="B17" t="s">
        <v>452</v>
      </c>
      <c r="C17" t="s">
        <v>74</v>
      </c>
      <c r="D17" t="s">
        <v>74</v>
      </c>
      <c r="E17" t="s">
        <v>74</v>
      </c>
      <c r="F17" t="s">
        <v>453</v>
      </c>
      <c r="G17" t="s">
        <v>74</v>
      </c>
      <c r="H17" t="s">
        <v>74</v>
      </c>
      <c r="I17" t="s">
        <v>454</v>
      </c>
      <c r="J17" t="s">
        <v>432</v>
      </c>
      <c r="K17" t="s">
        <v>74</v>
      </c>
      <c r="L17" t="s">
        <v>74</v>
      </c>
      <c r="M17" t="s">
        <v>78</v>
      </c>
      <c r="N17" t="s">
        <v>79</v>
      </c>
      <c r="O17" t="s">
        <v>74</v>
      </c>
      <c r="P17" t="s">
        <v>74</v>
      </c>
      <c r="Q17" t="s">
        <v>74</v>
      </c>
      <c r="R17" t="s">
        <v>74</v>
      </c>
      <c r="S17" t="s">
        <v>74</v>
      </c>
      <c r="T17" t="s">
        <v>74</v>
      </c>
      <c r="U17" t="s">
        <v>455</v>
      </c>
      <c r="V17" t="s">
        <v>456</v>
      </c>
      <c r="W17" t="s">
        <v>457</v>
      </c>
      <c r="X17" t="s">
        <v>458</v>
      </c>
      <c r="Y17" t="s">
        <v>459</v>
      </c>
      <c r="Z17" t="s">
        <v>460</v>
      </c>
      <c r="AA17" t="s">
        <v>461</v>
      </c>
      <c r="AB17" t="s">
        <v>462</v>
      </c>
      <c r="AC17" t="s">
        <v>463</v>
      </c>
      <c r="AD17" t="s">
        <v>464</v>
      </c>
      <c r="AE17" t="s">
        <v>465</v>
      </c>
      <c r="AF17" t="s">
        <v>74</v>
      </c>
      <c r="AG17">
        <v>44</v>
      </c>
      <c r="AH17">
        <v>14</v>
      </c>
      <c r="AI17">
        <v>14</v>
      </c>
      <c r="AJ17">
        <v>1</v>
      </c>
      <c r="AK17">
        <v>8</v>
      </c>
      <c r="AL17" t="s">
        <v>280</v>
      </c>
      <c r="AM17" t="s">
        <v>281</v>
      </c>
      <c r="AN17" t="s">
        <v>282</v>
      </c>
      <c r="AO17" t="s">
        <v>444</v>
      </c>
      <c r="AP17" t="s">
        <v>445</v>
      </c>
      <c r="AQ17" t="s">
        <v>74</v>
      </c>
      <c r="AR17" t="s">
        <v>446</v>
      </c>
      <c r="AS17" t="s">
        <v>447</v>
      </c>
      <c r="AT17" t="s">
        <v>99</v>
      </c>
      <c r="AU17">
        <v>2014</v>
      </c>
      <c r="AV17">
        <v>44</v>
      </c>
      <c r="AW17">
        <v>10</v>
      </c>
      <c r="AX17" t="s">
        <v>74</v>
      </c>
      <c r="AY17" t="s">
        <v>74</v>
      </c>
      <c r="AZ17" t="s">
        <v>74</v>
      </c>
      <c r="BA17" t="s">
        <v>74</v>
      </c>
      <c r="BB17">
        <v>2681</v>
      </c>
      <c r="BC17">
        <v>2697</v>
      </c>
      <c r="BD17" t="s">
        <v>74</v>
      </c>
      <c r="BE17" t="s">
        <v>466</v>
      </c>
      <c r="BF17" t="str">
        <f>HYPERLINK("http://dx.doi.org/10.1175/JPO-D-14-0039.1","http://dx.doi.org/10.1175/JPO-D-14-0039.1")</f>
        <v>http://dx.doi.org/10.1175/JPO-D-14-0039.1</v>
      </c>
      <c r="BG17" t="s">
        <v>74</v>
      </c>
      <c r="BH17" t="s">
        <v>74</v>
      </c>
      <c r="BI17">
        <v>17</v>
      </c>
      <c r="BJ17" t="s">
        <v>152</v>
      </c>
      <c r="BK17" t="s">
        <v>102</v>
      </c>
      <c r="BL17" t="s">
        <v>152</v>
      </c>
      <c r="BM17" t="s">
        <v>449</v>
      </c>
      <c r="BN17" t="s">
        <v>74</v>
      </c>
      <c r="BO17" t="s">
        <v>467</v>
      </c>
      <c r="BP17" t="s">
        <v>74</v>
      </c>
      <c r="BQ17" t="s">
        <v>74</v>
      </c>
      <c r="BR17" t="s">
        <v>105</v>
      </c>
      <c r="BS17" t="s">
        <v>468</v>
      </c>
      <c r="BT17" t="str">
        <f>HYPERLINK("https%3A%2F%2Fwww.webofscience.com%2Fwos%2Fwoscc%2Ffull-record%2FWOS:000342861100005","View Full Record in Web of Science")</f>
        <v>View Full Record in Web of Science</v>
      </c>
    </row>
    <row r="18" spans="1:72" x14ac:dyDescent="0.15">
      <c r="A18" t="s">
        <v>72</v>
      </c>
      <c r="B18" t="s">
        <v>469</v>
      </c>
      <c r="C18" t="s">
        <v>74</v>
      </c>
      <c r="D18" t="s">
        <v>74</v>
      </c>
      <c r="E18" t="s">
        <v>74</v>
      </c>
      <c r="F18" t="s">
        <v>470</v>
      </c>
      <c r="G18" t="s">
        <v>74</v>
      </c>
      <c r="H18" t="s">
        <v>74</v>
      </c>
      <c r="I18" t="s">
        <v>471</v>
      </c>
      <c r="J18" t="s">
        <v>472</v>
      </c>
      <c r="K18" t="s">
        <v>74</v>
      </c>
      <c r="L18" t="s">
        <v>74</v>
      </c>
      <c r="M18" t="s">
        <v>78</v>
      </c>
      <c r="N18" t="s">
        <v>79</v>
      </c>
      <c r="O18" t="s">
        <v>74</v>
      </c>
      <c r="P18" t="s">
        <v>74</v>
      </c>
      <c r="Q18" t="s">
        <v>74</v>
      </c>
      <c r="R18" t="s">
        <v>74</v>
      </c>
      <c r="S18" t="s">
        <v>74</v>
      </c>
      <c r="T18" t="s">
        <v>74</v>
      </c>
      <c r="U18" t="s">
        <v>473</v>
      </c>
      <c r="V18" t="s">
        <v>474</v>
      </c>
      <c r="W18" t="s">
        <v>475</v>
      </c>
      <c r="X18" t="s">
        <v>476</v>
      </c>
      <c r="Y18" t="s">
        <v>477</v>
      </c>
      <c r="Z18" t="s">
        <v>478</v>
      </c>
      <c r="AA18" t="s">
        <v>479</v>
      </c>
      <c r="AB18" t="s">
        <v>74</v>
      </c>
      <c r="AC18" t="s">
        <v>74</v>
      </c>
      <c r="AD18" t="s">
        <v>74</v>
      </c>
      <c r="AE18" t="s">
        <v>74</v>
      </c>
      <c r="AF18" t="s">
        <v>74</v>
      </c>
      <c r="AG18">
        <v>38</v>
      </c>
      <c r="AH18">
        <v>0</v>
      </c>
      <c r="AI18">
        <v>0</v>
      </c>
      <c r="AJ18">
        <v>0</v>
      </c>
      <c r="AK18">
        <v>0</v>
      </c>
      <c r="AL18" t="s">
        <v>480</v>
      </c>
      <c r="AM18" t="s">
        <v>481</v>
      </c>
      <c r="AN18" t="s">
        <v>482</v>
      </c>
      <c r="AO18" t="s">
        <v>483</v>
      </c>
      <c r="AP18" t="s">
        <v>484</v>
      </c>
      <c r="AQ18" t="s">
        <v>74</v>
      </c>
      <c r="AR18" t="s">
        <v>485</v>
      </c>
      <c r="AS18" t="s">
        <v>486</v>
      </c>
      <c r="AT18" t="s">
        <v>99</v>
      </c>
      <c r="AU18">
        <v>2014</v>
      </c>
      <c r="AV18">
        <v>8</v>
      </c>
      <c r="AW18">
        <v>5</v>
      </c>
      <c r="AX18" t="s">
        <v>74</v>
      </c>
      <c r="AY18" t="s">
        <v>74</v>
      </c>
      <c r="AZ18" t="s">
        <v>74</v>
      </c>
      <c r="BA18" t="s">
        <v>74</v>
      </c>
      <c r="BB18">
        <v>3429</v>
      </c>
      <c r="BC18">
        <v>3438</v>
      </c>
      <c r="BD18" t="s">
        <v>74</v>
      </c>
      <c r="BE18" t="s">
        <v>74</v>
      </c>
      <c r="BF18" t="s">
        <v>74</v>
      </c>
      <c r="BG18" t="s">
        <v>74</v>
      </c>
      <c r="BH18" t="s">
        <v>74</v>
      </c>
      <c r="BI18">
        <v>10</v>
      </c>
      <c r="BJ18" t="s">
        <v>487</v>
      </c>
      <c r="BK18" t="s">
        <v>488</v>
      </c>
      <c r="BL18" t="s">
        <v>487</v>
      </c>
      <c r="BM18" t="s">
        <v>489</v>
      </c>
      <c r="BN18" t="s">
        <v>74</v>
      </c>
      <c r="BO18" t="s">
        <v>74</v>
      </c>
      <c r="BP18" t="s">
        <v>74</v>
      </c>
      <c r="BQ18" t="s">
        <v>74</v>
      </c>
      <c r="BR18" t="s">
        <v>105</v>
      </c>
      <c r="BS18" t="s">
        <v>490</v>
      </c>
      <c r="BT18" t="str">
        <f>HYPERLINK("https%3A%2F%2Fwww.webofscience.com%2Fwos%2Fwoscc%2Ffull-record%2FWOS:000345493500006","View Full Record in Web of Science")</f>
        <v>View Full Record in Web of Science</v>
      </c>
    </row>
    <row r="19" spans="1:72" x14ac:dyDescent="0.15">
      <c r="A19" t="s">
        <v>72</v>
      </c>
      <c r="B19" t="s">
        <v>491</v>
      </c>
      <c r="C19" t="s">
        <v>74</v>
      </c>
      <c r="D19" t="s">
        <v>74</v>
      </c>
      <c r="E19" t="s">
        <v>74</v>
      </c>
      <c r="F19" t="s">
        <v>492</v>
      </c>
      <c r="G19" t="s">
        <v>74</v>
      </c>
      <c r="H19" t="s">
        <v>74</v>
      </c>
      <c r="I19" t="s">
        <v>493</v>
      </c>
      <c r="J19" t="s">
        <v>472</v>
      </c>
      <c r="K19" t="s">
        <v>74</v>
      </c>
      <c r="L19" t="s">
        <v>74</v>
      </c>
      <c r="M19" t="s">
        <v>78</v>
      </c>
      <c r="N19" t="s">
        <v>79</v>
      </c>
      <c r="O19" t="s">
        <v>74</v>
      </c>
      <c r="P19" t="s">
        <v>74</v>
      </c>
      <c r="Q19" t="s">
        <v>74</v>
      </c>
      <c r="R19" t="s">
        <v>74</v>
      </c>
      <c r="S19" t="s">
        <v>74</v>
      </c>
      <c r="T19" t="s">
        <v>74</v>
      </c>
      <c r="U19" t="s">
        <v>494</v>
      </c>
      <c r="V19" t="s">
        <v>495</v>
      </c>
      <c r="W19" t="s">
        <v>496</v>
      </c>
      <c r="X19" t="s">
        <v>497</v>
      </c>
      <c r="Y19" t="s">
        <v>498</v>
      </c>
      <c r="Z19" t="s">
        <v>499</v>
      </c>
      <c r="AA19" t="s">
        <v>74</v>
      </c>
      <c r="AB19" t="s">
        <v>500</v>
      </c>
      <c r="AC19" t="s">
        <v>74</v>
      </c>
      <c r="AD19" t="s">
        <v>74</v>
      </c>
      <c r="AE19" t="s">
        <v>74</v>
      </c>
      <c r="AF19" t="s">
        <v>74</v>
      </c>
      <c r="AG19">
        <v>18</v>
      </c>
      <c r="AH19">
        <v>0</v>
      </c>
      <c r="AI19">
        <v>0</v>
      </c>
      <c r="AJ19">
        <v>0</v>
      </c>
      <c r="AK19">
        <v>0</v>
      </c>
      <c r="AL19" t="s">
        <v>480</v>
      </c>
      <c r="AM19" t="s">
        <v>481</v>
      </c>
      <c r="AN19" t="s">
        <v>482</v>
      </c>
      <c r="AO19" t="s">
        <v>483</v>
      </c>
      <c r="AP19" t="s">
        <v>484</v>
      </c>
      <c r="AQ19" t="s">
        <v>74</v>
      </c>
      <c r="AR19" t="s">
        <v>485</v>
      </c>
      <c r="AS19" t="s">
        <v>486</v>
      </c>
      <c r="AT19" t="s">
        <v>99</v>
      </c>
      <c r="AU19">
        <v>2014</v>
      </c>
      <c r="AV19">
        <v>8</v>
      </c>
      <c r="AW19">
        <v>5</v>
      </c>
      <c r="AX19" t="s">
        <v>74</v>
      </c>
      <c r="AY19" t="s">
        <v>74</v>
      </c>
      <c r="AZ19" t="s">
        <v>74</v>
      </c>
      <c r="BA19" t="s">
        <v>74</v>
      </c>
      <c r="BB19">
        <v>3531</v>
      </c>
      <c r="BC19">
        <v>3536</v>
      </c>
      <c r="BD19" t="s">
        <v>74</v>
      </c>
      <c r="BE19" t="s">
        <v>74</v>
      </c>
      <c r="BF19" t="s">
        <v>74</v>
      </c>
      <c r="BG19" t="s">
        <v>74</v>
      </c>
      <c r="BH19" t="s">
        <v>74</v>
      </c>
      <c r="BI19">
        <v>6</v>
      </c>
      <c r="BJ19" t="s">
        <v>487</v>
      </c>
      <c r="BK19" t="s">
        <v>488</v>
      </c>
      <c r="BL19" t="s">
        <v>487</v>
      </c>
      <c r="BM19" t="s">
        <v>489</v>
      </c>
      <c r="BN19" t="s">
        <v>74</v>
      </c>
      <c r="BO19" t="s">
        <v>74</v>
      </c>
      <c r="BP19" t="s">
        <v>74</v>
      </c>
      <c r="BQ19" t="s">
        <v>74</v>
      </c>
      <c r="BR19" t="s">
        <v>105</v>
      </c>
      <c r="BS19" t="s">
        <v>501</v>
      </c>
      <c r="BT19" t="str">
        <f>HYPERLINK("https%3A%2F%2Fwww.webofscience.com%2Fwos%2Fwoscc%2Ffull-record%2FWOS:000345493500018","View Full Record in Web of Science")</f>
        <v>View Full Record in Web of Science</v>
      </c>
    </row>
    <row r="20" spans="1:72" x14ac:dyDescent="0.15">
      <c r="A20" t="s">
        <v>72</v>
      </c>
      <c r="B20" t="s">
        <v>502</v>
      </c>
      <c r="C20" t="s">
        <v>74</v>
      </c>
      <c r="D20" t="s">
        <v>74</v>
      </c>
      <c r="E20" t="s">
        <v>74</v>
      </c>
      <c r="F20" t="s">
        <v>503</v>
      </c>
      <c r="G20" t="s">
        <v>74</v>
      </c>
      <c r="H20" t="s">
        <v>74</v>
      </c>
      <c r="I20" t="s">
        <v>504</v>
      </c>
      <c r="J20" t="s">
        <v>472</v>
      </c>
      <c r="K20" t="s">
        <v>74</v>
      </c>
      <c r="L20" t="s">
        <v>74</v>
      </c>
      <c r="M20" t="s">
        <v>78</v>
      </c>
      <c r="N20" t="s">
        <v>79</v>
      </c>
      <c r="O20" t="s">
        <v>74</v>
      </c>
      <c r="P20" t="s">
        <v>74</v>
      </c>
      <c r="Q20" t="s">
        <v>74</v>
      </c>
      <c r="R20" t="s">
        <v>74</v>
      </c>
      <c r="S20" t="s">
        <v>74</v>
      </c>
      <c r="T20" t="s">
        <v>74</v>
      </c>
      <c r="U20" t="s">
        <v>74</v>
      </c>
      <c r="V20" t="s">
        <v>505</v>
      </c>
      <c r="W20" t="s">
        <v>506</v>
      </c>
      <c r="X20" t="s">
        <v>507</v>
      </c>
      <c r="Y20" t="s">
        <v>508</v>
      </c>
      <c r="Z20" t="s">
        <v>478</v>
      </c>
      <c r="AA20" t="s">
        <v>509</v>
      </c>
      <c r="AB20" t="s">
        <v>74</v>
      </c>
      <c r="AC20" t="s">
        <v>74</v>
      </c>
      <c r="AD20" t="s">
        <v>74</v>
      </c>
      <c r="AE20" t="s">
        <v>74</v>
      </c>
      <c r="AF20" t="s">
        <v>74</v>
      </c>
      <c r="AG20">
        <v>28</v>
      </c>
      <c r="AH20">
        <v>0</v>
      </c>
      <c r="AI20">
        <v>0</v>
      </c>
      <c r="AJ20">
        <v>0</v>
      </c>
      <c r="AK20">
        <v>0</v>
      </c>
      <c r="AL20" t="s">
        <v>480</v>
      </c>
      <c r="AM20" t="s">
        <v>481</v>
      </c>
      <c r="AN20" t="s">
        <v>482</v>
      </c>
      <c r="AO20" t="s">
        <v>483</v>
      </c>
      <c r="AP20" t="s">
        <v>484</v>
      </c>
      <c r="AQ20" t="s">
        <v>74</v>
      </c>
      <c r="AR20" t="s">
        <v>485</v>
      </c>
      <c r="AS20" t="s">
        <v>486</v>
      </c>
      <c r="AT20" t="s">
        <v>99</v>
      </c>
      <c r="AU20">
        <v>2014</v>
      </c>
      <c r="AV20">
        <v>8</v>
      </c>
      <c r="AW20">
        <v>5</v>
      </c>
      <c r="AX20" t="s">
        <v>74</v>
      </c>
      <c r="AY20" t="s">
        <v>74</v>
      </c>
      <c r="AZ20" t="s">
        <v>74</v>
      </c>
      <c r="BA20" t="s">
        <v>74</v>
      </c>
      <c r="BB20">
        <v>3857</v>
      </c>
      <c r="BC20">
        <v>3864</v>
      </c>
      <c r="BD20" t="s">
        <v>74</v>
      </c>
      <c r="BE20" t="s">
        <v>74</v>
      </c>
      <c r="BF20" t="s">
        <v>74</v>
      </c>
      <c r="BG20" t="s">
        <v>74</v>
      </c>
      <c r="BH20" t="s">
        <v>74</v>
      </c>
      <c r="BI20">
        <v>8</v>
      </c>
      <c r="BJ20" t="s">
        <v>487</v>
      </c>
      <c r="BK20" t="s">
        <v>488</v>
      </c>
      <c r="BL20" t="s">
        <v>487</v>
      </c>
      <c r="BM20" t="s">
        <v>489</v>
      </c>
      <c r="BN20" t="s">
        <v>74</v>
      </c>
      <c r="BO20" t="s">
        <v>74</v>
      </c>
      <c r="BP20" t="s">
        <v>74</v>
      </c>
      <c r="BQ20" t="s">
        <v>74</v>
      </c>
      <c r="BR20" t="s">
        <v>105</v>
      </c>
      <c r="BS20" t="s">
        <v>510</v>
      </c>
      <c r="BT20" t="str">
        <f>HYPERLINK("https%3A%2F%2Fwww.webofscience.com%2Fwos%2Fwoscc%2Ffull-record%2FWOS:000345493500057","View Full Record in Web of Science")</f>
        <v>View Full Record in Web of Science</v>
      </c>
    </row>
    <row r="21" spans="1:72" x14ac:dyDescent="0.15">
      <c r="A21" t="s">
        <v>72</v>
      </c>
      <c r="B21" t="s">
        <v>511</v>
      </c>
      <c r="C21" t="s">
        <v>74</v>
      </c>
      <c r="D21" t="s">
        <v>74</v>
      </c>
      <c r="E21" t="s">
        <v>74</v>
      </c>
      <c r="F21" t="s">
        <v>512</v>
      </c>
      <c r="G21" t="s">
        <v>74</v>
      </c>
      <c r="H21" t="s">
        <v>74</v>
      </c>
      <c r="I21" t="s">
        <v>513</v>
      </c>
      <c r="J21" t="s">
        <v>514</v>
      </c>
      <c r="K21" t="s">
        <v>74</v>
      </c>
      <c r="L21" t="s">
        <v>74</v>
      </c>
      <c r="M21" t="s">
        <v>78</v>
      </c>
      <c r="N21" t="s">
        <v>79</v>
      </c>
      <c r="O21" t="s">
        <v>74</v>
      </c>
      <c r="P21" t="s">
        <v>74</v>
      </c>
      <c r="Q21" t="s">
        <v>74</v>
      </c>
      <c r="R21" t="s">
        <v>74</v>
      </c>
      <c r="S21" t="s">
        <v>74</v>
      </c>
      <c r="T21" t="s">
        <v>74</v>
      </c>
      <c r="U21" t="s">
        <v>515</v>
      </c>
      <c r="V21" t="s">
        <v>516</v>
      </c>
      <c r="W21" t="s">
        <v>517</v>
      </c>
      <c r="X21" t="s">
        <v>84</v>
      </c>
      <c r="Y21" t="s">
        <v>518</v>
      </c>
      <c r="Z21" t="s">
        <v>519</v>
      </c>
      <c r="AA21" t="s">
        <v>520</v>
      </c>
      <c r="AB21" t="s">
        <v>521</v>
      </c>
      <c r="AC21" t="s">
        <v>522</v>
      </c>
      <c r="AD21" t="s">
        <v>523</v>
      </c>
      <c r="AE21" t="s">
        <v>524</v>
      </c>
      <c r="AF21" t="s">
        <v>74</v>
      </c>
      <c r="AG21">
        <v>25</v>
      </c>
      <c r="AH21">
        <v>16</v>
      </c>
      <c r="AI21">
        <v>18</v>
      </c>
      <c r="AJ21">
        <v>4</v>
      </c>
      <c r="AK21">
        <v>72</v>
      </c>
      <c r="AL21" t="s">
        <v>525</v>
      </c>
      <c r="AM21" t="s">
        <v>526</v>
      </c>
      <c r="AN21" t="s">
        <v>527</v>
      </c>
      <c r="AO21" t="s">
        <v>528</v>
      </c>
      <c r="AP21" t="s">
        <v>529</v>
      </c>
      <c r="AQ21" t="s">
        <v>74</v>
      </c>
      <c r="AR21" t="s">
        <v>530</v>
      </c>
      <c r="AS21" t="s">
        <v>531</v>
      </c>
      <c r="AT21" t="s">
        <v>99</v>
      </c>
      <c r="AU21">
        <v>2014</v>
      </c>
      <c r="AV21">
        <v>136</v>
      </c>
      <c r="AW21">
        <v>4</v>
      </c>
      <c r="AX21" t="s">
        <v>74</v>
      </c>
      <c r="AY21" t="s">
        <v>74</v>
      </c>
      <c r="AZ21" t="s">
        <v>74</v>
      </c>
      <c r="BA21" t="s">
        <v>74</v>
      </c>
      <c r="BB21">
        <v>1495</v>
      </c>
      <c r="BC21">
        <v>1498</v>
      </c>
      <c r="BD21" t="s">
        <v>74</v>
      </c>
      <c r="BE21" t="s">
        <v>532</v>
      </c>
      <c r="BF21" t="str">
        <f>HYPERLINK("http://dx.doi.org/10.1121/1.4895685","http://dx.doi.org/10.1121/1.4895685")</f>
        <v>http://dx.doi.org/10.1121/1.4895685</v>
      </c>
      <c r="BG21" t="s">
        <v>74</v>
      </c>
      <c r="BH21" t="s">
        <v>74</v>
      </c>
      <c r="BI21">
        <v>4</v>
      </c>
      <c r="BJ21" t="s">
        <v>533</v>
      </c>
      <c r="BK21" t="s">
        <v>102</v>
      </c>
      <c r="BL21" t="s">
        <v>533</v>
      </c>
      <c r="BM21" t="s">
        <v>534</v>
      </c>
      <c r="BN21">
        <v>25324053</v>
      </c>
      <c r="BO21" t="s">
        <v>74</v>
      </c>
      <c r="BP21" t="s">
        <v>74</v>
      </c>
      <c r="BQ21" t="s">
        <v>74</v>
      </c>
      <c r="BR21" t="s">
        <v>105</v>
      </c>
      <c r="BS21" t="s">
        <v>535</v>
      </c>
      <c r="BT21" t="str">
        <f>HYPERLINK("https%3A%2F%2Fwww.webofscience.com%2Fwos%2Fwoscc%2Ffull-record%2FWOS:000345977400018","View Full Record in Web of Science")</f>
        <v>View Full Record in Web of Science</v>
      </c>
    </row>
    <row r="22" spans="1:72" x14ac:dyDescent="0.15">
      <c r="A22" t="s">
        <v>72</v>
      </c>
      <c r="B22" t="s">
        <v>536</v>
      </c>
      <c r="C22" t="s">
        <v>74</v>
      </c>
      <c r="D22" t="s">
        <v>74</v>
      </c>
      <c r="E22" t="s">
        <v>74</v>
      </c>
      <c r="F22" t="s">
        <v>537</v>
      </c>
      <c r="G22" t="s">
        <v>74</v>
      </c>
      <c r="H22" t="s">
        <v>74</v>
      </c>
      <c r="I22" t="s">
        <v>538</v>
      </c>
      <c r="J22" t="s">
        <v>539</v>
      </c>
      <c r="K22" t="s">
        <v>74</v>
      </c>
      <c r="L22" t="s">
        <v>74</v>
      </c>
      <c r="M22" t="s">
        <v>540</v>
      </c>
      <c r="N22" t="s">
        <v>79</v>
      </c>
      <c r="O22" t="s">
        <v>74</v>
      </c>
      <c r="P22" t="s">
        <v>74</v>
      </c>
      <c r="Q22" t="s">
        <v>74</v>
      </c>
      <c r="R22" t="s">
        <v>74</v>
      </c>
      <c r="S22" t="s">
        <v>74</v>
      </c>
      <c r="T22" t="s">
        <v>541</v>
      </c>
      <c r="U22" t="s">
        <v>74</v>
      </c>
      <c r="V22" t="s">
        <v>542</v>
      </c>
      <c r="W22" t="s">
        <v>543</v>
      </c>
      <c r="X22" t="s">
        <v>544</v>
      </c>
      <c r="Y22" t="s">
        <v>545</v>
      </c>
      <c r="Z22" t="s">
        <v>546</v>
      </c>
      <c r="AA22" t="s">
        <v>547</v>
      </c>
      <c r="AB22" t="s">
        <v>548</v>
      </c>
      <c r="AC22" t="s">
        <v>74</v>
      </c>
      <c r="AD22" t="s">
        <v>74</v>
      </c>
      <c r="AE22" t="s">
        <v>74</v>
      </c>
      <c r="AF22" t="s">
        <v>74</v>
      </c>
      <c r="AG22">
        <v>22</v>
      </c>
      <c r="AH22">
        <v>1</v>
      </c>
      <c r="AI22">
        <v>1</v>
      </c>
      <c r="AJ22">
        <v>0</v>
      </c>
      <c r="AK22">
        <v>1</v>
      </c>
      <c r="AL22" t="s">
        <v>549</v>
      </c>
      <c r="AM22" t="s">
        <v>550</v>
      </c>
      <c r="AN22" t="s">
        <v>551</v>
      </c>
      <c r="AO22" t="s">
        <v>552</v>
      </c>
      <c r="AP22" t="s">
        <v>553</v>
      </c>
      <c r="AQ22" t="s">
        <v>74</v>
      </c>
      <c r="AR22" t="s">
        <v>554</v>
      </c>
      <c r="AS22" t="s">
        <v>555</v>
      </c>
      <c r="AT22" t="s">
        <v>99</v>
      </c>
      <c r="AU22">
        <v>2014</v>
      </c>
      <c r="AV22">
        <v>30</v>
      </c>
      <c r="AW22">
        <v>5</v>
      </c>
      <c r="AX22" t="s">
        <v>74</v>
      </c>
      <c r="AY22" t="s">
        <v>74</v>
      </c>
      <c r="AZ22" t="s">
        <v>74</v>
      </c>
      <c r="BA22" t="s">
        <v>74</v>
      </c>
      <c r="BB22">
        <v>677</v>
      </c>
      <c r="BC22">
        <v>686</v>
      </c>
      <c r="BD22" t="s">
        <v>74</v>
      </c>
      <c r="BE22" t="s">
        <v>556</v>
      </c>
      <c r="BF22" t="str">
        <f>HYPERLINK("http://dx.doi.org/10.7780/kjrs.2014.30.5.12","http://dx.doi.org/10.7780/kjrs.2014.30.5.12")</f>
        <v>http://dx.doi.org/10.7780/kjrs.2014.30.5.12</v>
      </c>
      <c r="BG22" t="s">
        <v>74</v>
      </c>
      <c r="BH22" t="s">
        <v>74</v>
      </c>
      <c r="BI22">
        <v>10</v>
      </c>
      <c r="BJ22" t="s">
        <v>557</v>
      </c>
      <c r="BK22" t="s">
        <v>488</v>
      </c>
      <c r="BL22" t="s">
        <v>557</v>
      </c>
      <c r="BM22" t="s">
        <v>558</v>
      </c>
      <c r="BN22" t="s">
        <v>74</v>
      </c>
      <c r="BO22" t="s">
        <v>179</v>
      </c>
      <c r="BP22" t="s">
        <v>74</v>
      </c>
      <c r="BQ22" t="s">
        <v>74</v>
      </c>
      <c r="BR22" t="s">
        <v>105</v>
      </c>
      <c r="BS22" t="s">
        <v>559</v>
      </c>
      <c r="BT22" t="str">
        <f>HYPERLINK("https%3A%2F%2Fwww.webofscience.com%2Fwos%2Fwoscc%2Ffull-record%2FWOS:000410260800012","View Full Record in Web of Science")</f>
        <v>View Full Record in Web of Science</v>
      </c>
    </row>
    <row r="23" spans="1:72" x14ac:dyDescent="0.15">
      <c r="A23" t="s">
        <v>72</v>
      </c>
      <c r="B23" t="s">
        <v>560</v>
      </c>
      <c r="C23" t="s">
        <v>74</v>
      </c>
      <c r="D23" t="s">
        <v>74</v>
      </c>
      <c r="E23" t="s">
        <v>74</v>
      </c>
      <c r="F23" t="s">
        <v>561</v>
      </c>
      <c r="G23" t="s">
        <v>74</v>
      </c>
      <c r="H23" t="s">
        <v>74</v>
      </c>
      <c r="I23" t="s">
        <v>562</v>
      </c>
      <c r="J23" t="s">
        <v>563</v>
      </c>
      <c r="K23" t="s">
        <v>74</v>
      </c>
      <c r="L23" t="s">
        <v>74</v>
      </c>
      <c r="M23" t="s">
        <v>78</v>
      </c>
      <c r="N23" t="s">
        <v>79</v>
      </c>
      <c r="O23" t="s">
        <v>74</v>
      </c>
      <c r="P23" t="s">
        <v>74</v>
      </c>
      <c r="Q23" t="s">
        <v>74</v>
      </c>
      <c r="R23" t="s">
        <v>74</v>
      </c>
      <c r="S23" t="s">
        <v>74</v>
      </c>
      <c r="T23" t="s">
        <v>564</v>
      </c>
      <c r="U23" t="s">
        <v>565</v>
      </c>
      <c r="V23" t="s">
        <v>566</v>
      </c>
      <c r="W23" t="s">
        <v>567</v>
      </c>
      <c r="X23" t="s">
        <v>568</v>
      </c>
      <c r="Y23" t="s">
        <v>569</v>
      </c>
      <c r="Z23" t="s">
        <v>570</v>
      </c>
      <c r="AA23" t="s">
        <v>571</v>
      </c>
      <c r="AB23" t="s">
        <v>572</v>
      </c>
      <c r="AC23" t="s">
        <v>573</v>
      </c>
      <c r="AD23" t="s">
        <v>574</v>
      </c>
      <c r="AE23" t="s">
        <v>575</v>
      </c>
      <c r="AF23" t="s">
        <v>74</v>
      </c>
      <c r="AG23">
        <v>48</v>
      </c>
      <c r="AH23">
        <v>22</v>
      </c>
      <c r="AI23">
        <v>24</v>
      </c>
      <c r="AJ23">
        <v>1</v>
      </c>
      <c r="AK23">
        <v>70</v>
      </c>
      <c r="AL23" t="s">
        <v>224</v>
      </c>
      <c r="AM23" t="s">
        <v>576</v>
      </c>
      <c r="AN23" t="s">
        <v>577</v>
      </c>
      <c r="AO23" t="s">
        <v>578</v>
      </c>
      <c r="AP23" t="s">
        <v>579</v>
      </c>
      <c r="AQ23" t="s">
        <v>74</v>
      </c>
      <c r="AR23" t="s">
        <v>580</v>
      </c>
      <c r="AS23" t="s">
        <v>581</v>
      </c>
      <c r="AT23" t="s">
        <v>99</v>
      </c>
      <c r="AU23">
        <v>2014</v>
      </c>
      <c r="AV23">
        <v>16</v>
      </c>
      <c r="AW23">
        <v>5</v>
      </c>
      <c r="AX23" t="s">
        <v>74</v>
      </c>
      <c r="AY23" t="s">
        <v>74</v>
      </c>
      <c r="AZ23" t="s">
        <v>74</v>
      </c>
      <c r="BA23" t="s">
        <v>74</v>
      </c>
      <c r="BB23">
        <v>502</v>
      </c>
      <c r="BC23">
        <v>512</v>
      </c>
      <c r="BD23" t="s">
        <v>74</v>
      </c>
      <c r="BE23" t="s">
        <v>582</v>
      </c>
      <c r="BF23" t="str">
        <f>HYPERLINK("http://dx.doi.org/10.1007/s10126-014-9567-y","http://dx.doi.org/10.1007/s10126-014-9567-y")</f>
        <v>http://dx.doi.org/10.1007/s10126-014-9567-y</v>
      </c>
      <c r="BG23" t="s">
        <v>74</v>
      </c>
      <c r="BH23" t="s">
        <v>74</v>
      </c>
      <c r="BI23">
        <v>11</v>
      </c>
      <c r="BJ23" t="s">
        <v>232</v>
      </c>
      <c r="BK23" t="s">
        <v>102</v>
      </c>
      <c r="BL23" t="s">
        <v>232</v>
      </c>
      <c r="BM23" t="s">
        <v>583</v>
      </c>
      <c r="BN23">
        <v>24609978</v>
      </c>
      <c r="BO23" t="s">
        <v>74</v>
      </c>
      <c r="BP23" t="s">
        <v>74</v>
      </c>
      <c r="BQ23" t="s">
        <v>74</v>
      </c>
      <c r="BR23" t="s">
        <v>105</v>
      </c>
      <c r="BS23" t="s">
        <v>584</v>
      </c>
      <c r="BT23" t="str">
        <f>HYPERLINK("https%3A%2F%2Fwww.webofscience.com%2Fwos%2Fwoscc%2Ffull-record%2FWOS:000341504200002","View Full Record in Web of Science")</f>
        <v>View Full Record in Web of Science</v>
      </c>
    </row>
    <row r="24" spans="1:72" x14ac:dyDescent="0.15">
      <c r="A24" t="s">
        <v>72</v>
      </c>
      <c r="B24" t="s">
        <v>585</v>
      </c>
      <c r="C24" t="s">
        <v>74</v>
      </c>
      <c r="D24" t="s">
        <v>74</v>
      </c>
      <c r="E24" t="s">
        <v>74</v>
      </c>
      <c r="F24" t="s">
        <v>586</v>
      </c>
      <c r="G24" t="s">
        <v>74</v>
      </c>
      <c r="H24" t="s">
        <v>74</v>
      </c>
      <c r="I24" t="s">
        <v>587</v>
      </c>
      <c r="J24" t="s">
        <v>588</v>
      </c>
      <c r="K24" t="s">
        <v>74</v>
      </c>
      <c r="L24" t="s">
        <v>74</v>
      </c>
      <c r="M24" t="s">
        <v>78</v>
      </c>
      <c r="N24" t="s">
        <v>79</v>
      </c>
      <c r="O24" t="s">
        <v>74</v>
      </c>
      <c r="P24" t="s">
        <v>74</v>
      </c>
      <c r="Q24" t="s">
        <v>74</v>
      </c>
      <c r="R24" t="s">
        <v>74</v>
      </c>
      <c r="S24" t="s">
        <v>74</v>
      </c>
      <c r="T24" t="s">
        <v>589</v>
      </c>
      <c r="U24" t="s">
        <v>590</v>
      </c>
      <c r="V24" t="s">
        <v>591</v>
      </c>
      <c r="W24" t="s">
        <v>592</v>
      </c>
      <c r="X24" t="s">
        <v>593</v>
      </c>
      <c r="Y24" t="s">
        <v>594</v>
      </c>
      <c r="Z24" t="s">
        <v>595</v>
      </c>
      <c r="AA24" t="s">
        <v>596</v>
      </c>
      <c r="AB24" t="s">
        <v>597</v>
      </c>
      <c r="AC24" t="s">
        <v>598</v>
      </c>
      <c r="AD24" t="s">
        <v>599</v>
      </c>
      <c r="AE24" t="s">
        <v>600</v>
      </c>
      <c r="AF24" t="s">
        <v>74</v>
      </c>
      <c r="AG24">
        <v>89</v>
      </c>
      <c r="AH24">
        <v>20</v>
      </c>
      <c r="AI24">
        <v>21</v>
      </c>
      <c r="AJ24">
        <v>1</v>
      </c>
      <c r="AK24">
        <v>36</v>
      </c>
      <c r="AL24" t="s">
        <v>601</v>
      </c>
      <c r="AM24" t="s">
        <v>251</v>
      </c>
      <c r="AN24" t="s">
        <v>602</v>
      </c>
      <c r="AO24" t="s">
        <v>603</v>
      </c>
      <c r="AP24" t="s">
        <v>604</v>
      </c>
      <c r="AQ24" t="s">
        <v>74</v>
      </c>
      <c r="AR24" t="s">
        <v>605</v>
      </c>
      <c r="AS24" t="s">
        <v>606</v>
      </c>
      <c r="AT24" t="s">
        <v>99</v>
      </c>
      <c r="AU24">
        <v>2014</v>
      </c>
      <c r="AV24">
        <v>101</v>
      </c>
      <c r="AW24" t="s">
        <v>74</v>
      </c>
      <c r="AX24" t="s">
        <v>74</v>
      </c>
      <c r="AY24" t="s">
        <v>74</v>
      </c>
      <c r="AZ24" t="s">
        <v>74</v>
      </c>
      <c r="BA24" t="s">
        <v>74</v>
      </c>
      <c r="BB24">
        <v>52</v>
      </c>
      <c r="BC24">
        <v>59</v>
      </c>
      <c r="BD24" t="s">
        <v>74</v>
      </c>
      <c r="BE24" t="s">
        <v>607</v>
      </c>
      <c r="BF24" t="str">
        <f>HYPERLINK("http://dx.doi.org/10.1016/j.marenvres.2014.09.001","http://dx.doi.org/10.1016/j.marenvres.2014.09.001")</f>
        <v>http://dx.doi.org/10.1016/j.marenvres.2014.09.001</v>
      </c>
      <c r="BG24" t="s">
        <v>74</v>
      </c>
      <c r="BH24" t="s">
        <v>74</v>
      </c>
      <c r="BI24">
        <v>8</v>
      </c>
      <c r="BJ24" t="s">
        <v>608</v>
      </c>
      <c r="BK24" t="s">
        <v>102</v>
      </c>
      <c r="BL24" t="s">
        <v>609</v>
      </c>
      <c r="BM24" t="s">
        <v>610</v>
      </c>
      <c r="BN24">
        <v>25232675</v>
      </c>
      <c r="BO24" t="s">
        <v>74</v>
      </c>
      <c r="BP24" t="s">
        <v>74</v>
      </c>
      <c r="BQ24" t="s">
        <v>74</v>
      </c>
      <c r="BR24" t="s">
        <v>105</v>
      </c>
      <c r="BS24" t="s">
        <v>611</v>
      </c>
      <c r="BT24" t="str">
        <f>HYPERLINK("https%3A%2F%2Fwww.webofscience.com%2Fwos%2Fwoscc%2Ffull-record%2FWOS:000345488300007","View Full Record in Web of Science")</f>
        <v>View Full Record in Web of Science</v>
      </c>
    </row>
    <row r="25" spans="1:72" x14ac:dyDescent="0.15">
      <c r="A25" t="s">
        <v>72</v>
      </c>
      <c r="B25" t="s">
        <v>612</v>
      </c>
      <c r="C25" t="s">
        <v>74</v>
      </c>
      <c r="D25" t="s">
        <v>74</v>
      </c>
      <c r="E25" t="s">
        <v>74</v>
      </c>
      <c r="F25" t="s">
        <v>613</v>
      </c>
      <c r="G25" t="s">
        <v>74</v>
      </c>
      <c r="H25" t="s">
        <v>74</v>
      </c>
      <c r="I25" t="s">
        <v>614</v>
      </c>
      <c r="J25" t="s">
        <v>615</v>
      </c>
      <c r="K25" t="s">
        <v>74</v>
      </c>
      <c r="L25" t="s">
        <v>74</v>
      </c>
      <c r="M25" t="s">
        <v>78</v>
      </c>
      <c r="N25" t="s">
        <v>79</v>
      </c>
      <c r="O25" t="s">
        <v>74</v>
      </c>
      <c r="P25" t="s">
        <v>74</v>
      </c>
      <c r="Q25" t="s">
        <v>74</v>
      </c>
      <c r="R25" t="s">
        <v>74</v>
      </c>
      <c r="S25" t="s">
        <v>74</v>
      </c>
      <c r="T25" t="s">
        <v>616</v>
      </c>
      <c r="U25" t="s">
        <v>617</v>
      </c>
      <c r="V25" t="s">
        <v>618</v>
      </c>
      <c r="W25" t="s">
        <v>619</v>
      </c>
      <c r="X25" t="s">
        <v>620</v>
      </c>
      <c r="Y25" t="s">
        <v>621</v>
      </c>
      <c r="Z25" t="s">
        <v>622</v>
      </c>
      <c r="AA25" t="s">
        <v>623</v>
      </c>
      <c r="AB25" t="s">
        <v>624</v>
      </c>
      <c r="AC25" t="s">
        <v>625</v>
      </c>
      <c r="AD25" t="s">
        <v>625</v>
      </c>
      <c r="AE25" t="s">
        <v>626</v>
      </c>
      <c r="AF25" t="s">
        <v>74</v>
      </c>
      <c r="AG25">
        <v>41</v>
      </c>
      <c r="AH25">
        <v>46</v>
      </c>
      <c r="AI25">
        <v>48</v>
      </c>
      <c r="AJ25">
        <v>2</v>
      </c>
      <c r="AK25">
        <v>54</v>
      </c>
      <c r="AL25" t="s">
        <v>627</v>
      </c>
      <c r="AM25" t="s">
        <v>628</v>
      </c>
      <c r="AN25" t="s">
        <v>629</v>
      </c>
      <c r="AO25" t="s">
        <v>630</v>
      </c>
      <c r="AP25" t="s">
        <v>631</v>
      </c>
      <c r="AQ25" t="s">
        <v>74</v>
      </c>
      <c r="AR25" t="s">
        <v>632</v>
      </c>
      <c r="AS25" t="s">
        <v>633</v>
      </c>
      <c r="AT25" t="s">
        <v>99</v>
      </c>
      <c r="AU25">
        <v>2014</v>
      </c>
      <c r="AV25">
        <v>79</v>
      </c>
      <c r="AW25" t="s">
        <v>74</v>
      </c>
      <c r="AX25" t="s">
        <v>74</v>
      </c>
      <c r="AY25" t="s">
        <v>74</v>
      </c>
      <c r="AZ25" t="s">
        <v>74</v>
      </c>
      <c r="BA25" t="s">
        <v>74</v>
      </c>
      <c r="BB25">
        <v>249</v>
      </c>
      <c r="BC25">
        <v>257</v>
      </c>
      <c r="BD25" t="s">
        <v>74</v>
      </c>
      <c r="BE25" t="s">
        <v>634</v>
      </c>
      <c r="BF25" t="str">
        <f>HYPERLINK("http://dx.doi.org/10.1016/j.ympev.2014.06.020","http://dx.doi.org/10.1016/j.ympev.2014.06.020")</f>
        <v>http://dx.doi.org/10.1016/j.ympev.2014.06.020</v>
      </c>
      <c r="BG25" t="s">
        <v>74</v>
      </c>
      <c r="BH25" t="s">
        <v>74</v>
      </c>
      <c r="BI25">
        <v>9</v>
      </c>
      <c r="BJ25" t="s">
        <v>635</v>
      </c>
      <c r="BK25" t="s">
        <v>102</v>
      </c>
      <c r="BL25" t="s">
        <v>635</v>
      </c>
      <c r="BM25" t="s">
        <v>636</v>
      </c>
      <c r="BN25">
        <v>24994028</v>
      </c>
      <c r="BO25" t="s">
        <v>74</v>
      </c>
      <c r="BP25" t="s">
        <v>74</v>
      </c>
      <c r="BQ25" t="s">
        <v>74</v>
      </c>
      <c r="BR25" t="s">
        <v>105</v>
      </c>
      <c r="BS25" t="s">
        <v>637</v>
      </c>
      <c r="BT25" t="str">
        <f>HYPERLINK("https%3A%2F%2Fwww.webofscience.com%2Fwos%2Fwoscc%2Ffull-record%2FWOS:000342884800018","View Full Record in Web of Science")</f>
        <v>View Full Record in Web of Science</v>
      </c>
    </row>
    <row r="26" spans="1:72" x14ac:dyDescent="0.15">
      <c r="A26" t="s">
        <v>72</v>
      </c>
      <c r="B26" t="s">
        <v>638</v>
      </c>
      <c r="C26" t="s">
        <v>74</v>
      </c>
      <c r="D26" t="s">
        <v>74</v>
      </c>
      <c r="E26" t="s">
        <v>74</v>
      </c>
      <c r="F26" t="s">
        <v>639</v>
      </c>
      <c r="G26" t="s">
        <v>74</v>
      </c>
      <c r="H26" t="s">
        <v>74</v>
      </c>
      <c r="I26" t="s">
        <v>640</v>
      </c>
      <c r="J26" t="s">
        <v>641</v>
      </c>
      <c r="K26" t="s">
        <v>74</v>
      </c>
      <c r="L26" t="s">
        <v>74</v>
      </c>
      <c r="M26" t="s">
        <v>78</v>
      </c>
      <c r="N26" t="s">
        <v>79</v>
      </c>
      <c r="O26" t="s">
        <v>74</v>
      </c>
      <c r="P26" t="s">
        <v>74</v>
      </c>
      <c r="Q26" t="s">
        <v>74</v>
      </c>
      <c r="R26" t="s">
        <v>74</v>
      </c>
      <c r="S26" t="s">
        <v>74</v>
      </c>
      <c r="T26" t="s">
        <v>74</v>
      </c>
      <c r="U26" t="s">
        <v>642</v>
      </c>
      <c r="V26" t="s">
        <v>643</v>
      </c>
      <c r="W26" t="s">
        <v>644</v>
      </c>
      <c r="X26" t="s">
        <v>645</v>
      </c>
      <c r="Y26" t="s">
        <v>646</v>
      </c>
      <c r="Z26" t="s">
        <v>647</v>
      </c>
      <c r="AA26" t="s">
        <v>648</v>
      </c>
      <c r="AB26" t="s">
        <v>649</v>
      </c>
      <c r="AC26" t="s">
        <v>650</v>
      </c>
      <c r="AD26" t="s">
        <v>651</v>
      </c>
      <c r="AE26" t="s">
        <v>652</v>
      </c>
      <c r="AF26" t="s">
        <v>74</v>
      </c>
      <c r="AG26">
        <v>31</v>
      </c>
      <c r="AH26">
        <v>140</v>
      </c>
      <c r="AI26">
        <v>144</v>
      </c>
      <c r="AJ26">
        <v>3</v>
      </c>
      <c r="AK26">
        <v>29</v>
      </c>
      <c r="AL26" t="s">
        <v>653</v>
      </c>
      <c r="AM26" t="s">
        <v>654</v>
      </c>
      <c r="AN26" t="s">
        <v>655</v>
      </c>
      <c r="AO26" t="s">
        <v>656</v>
      </c>
      <c r="AP26" t="s">
        <v>74</v>
      </c>
      <c r="AQ26" t="s">
        <v>74</v>
      </c>
      <c r="AR26" t="s">
        <v>657</v>
      </c>
      <c r="AS26" t="s">
        <v>658</v>
      </c>
      <c r="AT26" t="s">
        <v>99</v>
      </c>
      <c r="AU26">
        <v>2014</v>
      </c>
      <c r="AV26">
        <v>5</v>
      </c>
      <c r="AW26" t="s">
        <v>74</v>
      </c>
      <c r="AX26" t="s">
        <v>74</v>
      </c>
      <c r="AY26" t="s">
        <v>74</v>
      </c>
      <c r="AZ26" t="s">
        <v>74</v>
      </c>
      <c r="BA26" t="s">
        <v>74</v>
      </c>
      <c r="BB26" t="s">
        <v>74</v>
      </c>
      <c r="BC26" t="s">
        <v>74</v>
      </c>
      <c r="BD26">
        <v>5197</v>
      </c>
      <c r="BE26" t="s">
        <v>659</v>
      </c>
      <c r="BF26" t="str">
        <f>HYPERLINK("http://dx.doi.org/10.1038/ncomms6197","http://dx.doi.org/10.1038/ncomms6197")</f>
        <v>http://dx.doi.org/10.1038/ncomms6197</v>
      </c>
      <c r="BG26" t="s">
        <v>74</v>
      </c>
      <c r="BH26" t="s">
        <v>74</v>
      </c>
      <c r="BI26">
        <v>5</v>
      </c>
      <c r="BJ26" t="s">
        <v>660</v>
      </c>
      <c r="BK26" t="s">
        <v>102</v>
      </c>
      <c r="BL26" t="s">
        <v>661</v>
      </c>
      <c r="BM26" t="s">
        <v>662</v>
      </c>
      <c r="BN26">
        <v>25312693</v>
      </c>
      <c r="BO26" t="s">
        <v>663</v>
      </c>
      <c r="BP26" t="s">
        <v>74</v>
      </c>
      <c r="BQ26" t="s">
        <v>74</v>
      </c>
      <c r="BR26" t="s">
        <v>105</v>
      </c>
      <c r="BS26" t="s">
        <v>664</v>
      </c>
      <c r="BT26" t="str">
        <f>HYPERLINK("https%3A%2F%2Fwww.webofscience.com%2Fwos%2Fwoscc%2Ffull-record%2FWOS:000343982200011","View Full Record in Web of Science")</f>
        <v>View Full Record in Web of Science</v>
      </c>
    </row>
    <row r="27" spans="1:72" x14ac:dyDescent="0.15">
      <c r="A27" t="s">
        <v>72</v>
      </c>
      <c r="B27" t="s">
        <v>665</v>
      </c>
      <c r="C27" t="s">
        <v>74</v>
      </c>
      <c r="D27" t="s">
        <v>74</v>
      </c>
      <c r="E27" t="s">
        <v>74</v>
      </c>
      <c r="F27" t="s">
        <v>666</v>
      </c>
      <c r="G27" t="s">
        <v>74</v>
      </c>
      <c r="H27" t="s">
        <v>74</v>
      </c>
      <c r="I27" t="s">
        <v>667</v>
      </c>
      <c r="J27" t="s">
        <v>668</v>
      </c>
      <c r="K27" t="s">
        <v>74</v>
      </c>
      <c r="L27" t="s">
        <v>74</v>
      </c>
      <c r="M27" t="s">
        <v>78</v>
      </c>
      <c r="N27" t="s">
        <v>79</v>
      </c>
      <c r="O27" t="s">
        <v>74</v>
      </c>
      <c r="P27" t="s">
        <v>74</v>
      </c>
      <c r="Q27" t="s">
        <v>74</v>
      </c>
      <c r="R27" t="s">
        <v>74</v>
      </c>
      <c r="S27" t="s">
        <v>74</v>
      </c>
      <c r="T27" t="s">
        <v>74</v>
      </c>
      <c r="U27" t="s">
        <v>669</v>
      </c>
      <c r="V27" t="s">
        <v>670</v>
      </c>
      <c r="W27" t="s">
        <v>671</v>
      </c>
      <c r="X27" t="s">
        <v>672</v>
      </c>
      <c r="Y27" t="s">
        <v>673</v>
      </c>
      <c r="Z27" t="s">
        <v>674</v>
      </c>
      <c r="AA27" t="s">
        <v>675</v>
      </c>
      <c r="AB27" t="s">
        <v>676</v>
      </c>
      <c r="AC27" t="s">
        <v>677</v>
      </c>
      <c r="AD27" t="s">
        <v>678</v>
      </c>
      <c r="AE27" t="s">
        <v>74</v>
      </c>
      <c r="AF27" t="s">
        <v>74</v>
      </c>
      <c r="AG27">
        <v>29</v>
      </c>
      <c r="AH27">
        <v>68</v>
      </c>
      <c r="AI27">
        <v>74</v>
      </c>
      <c r="AJ27">
        <v>3</v>
      </c>
      <c r="AK27">
        <v>65</v>
      </c>
      <c r="AL27" t="s">
        <v>653</v>
      </c>
      <c r="AM27" t="s">
        <v>576</v>
      </c>
      <c r="AN27" t="s">
        <v>679</v>
      </c>
      <c r="AO27" t="s">
        <v>680</v>
      </c>
      <c r="AP27" t="s">
        <v>681</v>
      </c>
      <c r="AQ27" t="s">
        <v>74</v>
      </c>
      <c r="AR27" t="s">
        <v>682</v>
      </c>
      <c r="AS27" t="s">
        <v>683</v>
      </c>
      <c r="AT27" t="s">
        <v>99</v>
      </c>
      <c r="AU27">
        <v>2014</v>
      </c>
      <c r="AV27">
        <v>7</v>
      </c>
      <c r="AW27">
        <v>10</v>
      </c>
      <c r="AX27" t="s">
        <v>74</v>
      </c>
      <c r="AY27" t="s">
        <v>74</v>
      </c>
      <c r="AZ27" t="s">
        <v>74</v>
      </c>
      <c r="BA27" t="s">
        <v>74</v>
      </c>
      <c r="BB27">
        <v>732</v>
      </c>
      <c r="BC27">
        <v>735</v>
      </c>
      <c r="BD27" t="s">
        <v>74</v>
      </c>
      <c r="BE27" t="s">
        <v>684</v>
      </c>
      <c r="BF27" t="str">
        <f>HYPERLINK("http://dx.doi.org/10.1038/NGEO2230","http://dx.doi.org/10.1038/NGEO2230")</f>
        <v>http://dx.doi.org/10.1038/NGEO2230</v>
      </c>
      <c r="BG27" t="s">
        <v>74</v>
      </c>
      <c r="BH27" t="s">
        <v>74</v>
      </c>
      <c r="BI27">
        <v>4</v>
      </c>
      <c r="BJ27" t="s">
        <v>685</v>
      </c>
      <c r="BK27" t="s">
        <v>102</v>
      </c>
      <c r="BL27" t="s">
        <v>686</v>
      </c>
      <c r="BM27" t="s">
        <v>687</v>
      </c>
      <c r="BN27" t="s">
        <v>74</v>
      </c>
      <c r="BO27" t="s">
        <v>359</v>
      </c>
      <c r="BP27" t="s">
        <v>74</v>
      </c>
      <c r="BQ27" t="s">
        <v>74</v>
      </c>
      <c r="BR27" t="s">
        <v>105</v>
      </c>
      <c r="BS27" t="s">
        <v>688</v>
      </c>
      <c r="BT27" t="str">
        <f>HYPERLINK("https%3A%2F%2Fwww.webofscience.com%2Fwos%2Fwoscc%2Ffull-record%2FWOS:000343112600017","View Full Record in Web of Science")</f>
        <v>View Full Record in Web of Science</v>
      </c>
    </row>
    <row r="28" spans="1:72" x14ac:dyDescent="0.15">
      <c r="A28" t="s">
        <v>72</v>
      </c>
      <c r="B28" t="s">
        <v>689</v>
      </c>
      <c r="C28" t="s">
        <v>74</v>
      </c>
      <c r="D28" t="s">
        <v>74</v>
      </c>
      <c r="E28" t="s">
        <v>74</v>
      </c>
      <c r="F28" t="s">
        <v>690</v>
      </c>
      <c r="G28" t="s">
        <v>74</v>
      </c>
      <c r="H28" t="s">
        <v>74</v>
      </c>
      <c r="I28" t="s">
        <v>691</v>
      </c>
      <c r="J28" t="s">
        <v>692</v>
      </c>
      <c r="K28" t="s">
        <v>74</v>
      </c>
      <c r="L28" t="s">
        <v>74</v>
      </c>
      <c r="M28" t="s">
        <v>78</v>
      </c>
      <c r="N28" t="s">
        <v>79</v>
      </c>
      <c r="O28" t="s">
        <v>74</v>
      </c>
      <c r="P28" t="s">
        <v>74</v>
      </c>
      <c r="Q28" t="s">
        <v>74</v>
      </c>
      <c r="R28" t="s">
        <v>74</v>
      </c>
      <c r="S28" t="s">
        <v>74</v>
      </c>
      <c r="T28" t="s">
        <v>693</v>
      </c>
      <c r="U28" t="s">
        <v>694</v>
      </c>
      <c r="V28" t="s">
        <v>695</v>
      </c>
      <c r="W28" t="s">
        <v>696</v>
      </c>
      <c r="X28" t="s">
        <v>697</v>
      </c>
      <c r="Y28" t="s">
        <v>698</v>
      </c>
      <c r="Z28" t="s">
        <v>699</v>
      </c>
      <c r="AA28" t="s">
        <v>700</v>
      </c>
      <c r="AB28" t="s">
        <v>701</v>
      </c>
      <c r="AC28" t="s">
        <v>702</v>
      </c>
      <c r="AD28" t="s">
        <v>703</v>
      </c>
      <c r="AE28" t="s">
        <v>704</v>
      </c>
      <c r="AF28" t="s">
        <v>74</v>
      </c>
      <c r="AG28">
        <v>71</v>
      </c>
      <c r="AH28">
        <v>59</v>
      </c>
      <c r="AI28">
        <v>63</v>
      </c>
      <c r="AJ28">
        <v>1</v>
      </c>
      <c r="AK28">
        <v>29</v>
      </c>
      <c r="AL28" t="s">
        <v>601</v>
      </c>
      <c r="AM28" t="s">
        <v>251</v>
      </c>
      <c r="AN28" t="s">
        <v>602</v>
      </c>
      <c r="AO28" t="s">
        <v>705</v>
      </c>
      <c r="AP28" t="s">
        <v>706</v>
      </c>
      <c r="AQ28" t="s">
        <v>74</v>
      </c>
      <c r="AR28" t="s">
        <v>707</v>
      </c>
      <c r="AS28" t="s">
        <v>708</v>
      </c>
      <c r="AT28" t="s">
        <v>99</v>
      </c>
      <c r="AU28">
        <v>2014</v>
      </c>
      <c r="AV28">
        <v>82</v>
      </c>
      <c r="AW28" t="s">
        <v>74</v>
      </c>
      <c r="AX28" t="s">
        <v>74</v>
      </c>
      <c r="AY28" t="s">
        <v>74</v>
      </c>
      <c r="AZ28" t="s">
        <v>74</v>
      </c>
      <c r="BA28" t="s">
        <v>74</v>
      </c>
      <c r="BB28">
        <v>28</v>
      </c>
      <c r="BC28">
        <v>44</v>
      </c>
      <c r="BD28" t="s">
        <v>74</v>
      </c>
      <c r="BE28" t="s">
        <v>709</v>
      </c>
      <c r="BF28" t="str">
        <f>HYPERLINK("http://dx.doi.org/10.1016/j.ocemod.2014.07.004","http://dx.doi.org/10.1016/j.ocemod.2014.07.004")</f>
        <v>http://dx.doi.org/10.1016/j.ocemod.2014.07.004</v>
      </c>
      <c r="BG28" t="s">
        <v>74</v>
      </c>
      <c r="BH28" t="s">
        <v>74</v>
      </c>
      <c r="BI28">
        <v>17</v>
      </c>
      <c r="BJ28" t="s">
        <v>710</v>
      </c>
      <c r="BK28" t="s">
        <v>102</v>
      </c>
      <c r="BL28" t="s">
        <v>710</v>
      </c>
      <c r="BM28" t="s">
        <v>711</v>
      </c>
      <c r="BN28" t="s">
        <v>74</v>
      </c>
      <c r="BO28" t="s">
        <v>663</v>
      </c>
      <c r="BP28" t="s">
        <v>74</v>
      </c>
      <c r="BQ28" t="s">
        <v>74</v>
      </c>
      <c r="BR28" t="s">
        <v>105</v>
      </c>
      <c r="BS28" t="s">
        <v>712</v>
      </c>
      <c r="BT28" t="str">
        <f>HYPERLINK("https%3A%2F%2Fwww.webofscience.com%2Fwos%2Fwoscc%2Ffull-record%2FWOS:000342683500003","View Full Record in Web of Science")</f>
        <v>View Full Record in Web of Science</v>
      </c>
    </row>
    <row r="29" spans="1:72" x14ac:dyDescent="0.15">
      <c r="A29" t="s">
        <v>72</v>
      </c>
      <c r="B29" t="s">
        <v>713</v>
      </c>
      <c r="C29" t="s">
        <v>74</v>
      </c>
      <c r="D29" t="s">
        <v>74</v>
      </c>
      <c r="E29" t="s">
        <v>74</v>
      </c>
      <c r="F29" t="s">
        <v>714</v>
      </c>
      <c r="G29" t="s">
        <v>74</v>
      </c>
      <c r="H29" t="s">
        <v>74</v>
      </c>
      <c r="I29" t="s">
        <v>715</v>
      </c>
      <c r="J29" t="s">
        <v>716</v>
      </c>
      <c r="K29" t="s">
        <v>74</v>
      </c>
      <c r="L29" t="s">
        <v>74</v>
      </c>
      <c r="M29" t="s">
        <v>78</v>
      </c>
      <c r="N29" t="s">
        <v>79</v>
      </c>
      <c r="O29" t="s">
        <v>74</v>
      </c>
      <c r="P29" t="s">
        <v>74</v>
      </c>
      <c r="Q29" t="s">
        <v>74</v>
      </c>
      <c r="R29" t="s">
        <v>74</v>
      </c>
      <c r="S29" t="s">
        <v>74</v>
      </c>
      <c r="T29" t="s">
        <v>74</v>
      </c>
      <c r="U29" t="s">
        <v>717</v>
      </c>
      <c r="V29" t="s">
        <v>718</v>
      </c>
      <c r="W29" t="s">
        <v>719</v>
      </c>
      <c r="X29" t="s">
        <v>720</v>
      </c>
      <c r="Y29" t="s">
        <v>721</v>
      </c>
      <c r="Z29" t="s">
        <v>722</v>
      </c>
      <c r="AA29" t="s">
        <v>723</v>
      </c>
      <c r="AB29" t="s">
        <v>724</v>
      </c>
      <c r="AC29" t="s">
        <v>74</v>
      </c>
      <c r="AD29" t="s">
        <v>74</v>
      </c>
      <c r="AE29" t="s">
        <v>74</v>
      </c>
      <c r="AF29" t="s">
        <v>74</v>
      </c>
      <c r="AG29">
        <v>51</v>
      </c>
      <c r="AH29">
        <v>25</v>
      </c>
      <c r="AI29">
        <v>26</v>
      </c>
      <c r="AJ29">
        <v>1</v>
      </c>
      <c r="AK29">
        <v>13</v>
      </c>
      <c r="AL29" t="s">
        <v>725</v>
      </c>
      <c r="AM29" t="s">
        <v>726</v>
      </c>
      <c r="AN29" t="s">
        <v>727</v>
      </c>
      <c r="AO29" t="s">
        <v>728</v>
      </c>
      <c r="AP29" t="s">
        <v>729</v>
      </c>
      <c r="AQ29" t="s">
        <v>74</v>
      </c>
      <c r="AR29" t="s">
        <v>730</v>
      </c>
      <c r="AS29" t="s">
        <v>731</v>
      </c>
      <c r="AT29" t="s">
        <v>99</v>
      </c>
      <c r="AU29">
        <v>2014</v>
      </c>
      <c r="AV29">
        <v>80</v>
      </c>
      <c r="AW29">
        <v>10</v>
      </c>
      <c r="AX29" t="s">
        <v>74</v>
      </c>
      <c r="AY29" t="s">
        <v>74</v>
      </c>
      <c r="AZ29" t="s">
        <v>74</v>
      </c>
      <c r="BA29" t="s">
        <v>74</v>
      </c>
      <c r="BB29">
        <v>939</v>
      </c>
      <c r="BC29">
        <v>952</v>
      </c>
      <c r="BD29" t="s">
        <v>74</v>
      </c>
      <c r="BE29" t="s">
        <v>732</v>
      </c>
      <c r="BF29" t="str">
        <f>HYPERLINK("http://dx.doi.org/10.14358/PERS.80.10.939","http://dx.doi.org/10.14358/PERS.80.10.939")</f>
        <v>http://dx.doi.org/10.14358/PERS.80.10.939</v>
      </c>
      <c r="BG29" t="s">
        <v>74</v>
      </c>
      <c r="BH29" t="s">
        <v>74</v>
      </c>
      <c r="BI29">
        <v>14</v>
      </c>
      <c r="BJ29" t="s">
        <v>733</v>
      </c>
      <c r="BK29" t="s">
        <v>102</v>
      </c>
      <c r="BL29" t="s">
        <v>734</v>
      </c>
      <c r="BM29" t="s">
        <v>735</v>
      </c>
      <c r="BN29" t="s">
        <v>74</v>
      </c>
      <c r="BO29" t="s">
        <v>289</v>
      </c>
      <c r="BP29" t="s">
        <v>74</v>
      </c>
      <c r="BQ29" t="s">
        <v>74</v>
      </c>
      <c r="BR29" t="s">
        <v>105</v>
      </c>
      <c r="BS29" t="s">
        <v>736</v>
      </c>
      <c r="BT29" t="str">
        <f>HYPERLINK("https%3A%2F%2Fwww.webofscience.com%2Fwos%2Fwoscc%2Ffull-record%2FWOS:000342551800009","View Full Record in Web of Science")</f>
        <v>View Full Record in Web of Science</v>
      </c>
    </row>
    <row r="30" spans="1:72" x14ac:dyDescent="0.15">
      <c r="A30" t="s">
        <v>72</v>
      </c>
      <c r="B30" t="s">
        <v>737</v>
      </c>
      <c r="C30" t="s">
        <v>74</v>
      </c>
      <c r="D30" t="s">
        <v>74</v>
      </c>
      <c r="E30" t="s">
        <v>74</v>
      </c>
      <c r="F30" t="s">
        <v>738</v>
      </c>
      <c r="G30" t="s">
        <v>74</v>
      </c>
      <c r="H30" t="s">
        <v>74</v>
      </c>
      <c r="I30" t="s">
        <v>739</v>
      </c>
      <c r="J30" t="s">
        <v>740</v>
      </c>
      <c r="K30" t="s">
        <v>74</v>
      </c>
      <c r="L30" t="s">
        <v>74</v>
      </c>
      <c r="M30" t="s">
        <v>78</v>
      </c>
      <c r="N30" t="s">
        <v>185</v>
      </c>
      <c r="O30" t="s">
        <v>74</v>
      </c>
      <c r="P30" t="s">
        <v>74</v>
      </c>
      <c r="Q30" t="s">
        <v>74</v>
      </c>
      <c r="R30" t="s">
        <v>74</v>
      </c>
      <c r="S30" t="s">
        <v>74</v>
      </c>
      <c r="T30" t="s">
        <v>741</v>
      </c>
      <c r="U30" t="s">
        <v>742</v>
      </c>
      <c r="V30" t="s">
        <v>743</v>
      </c>
      <c r="W30" t="s">
        <v>744</v>
      </c>
      <c r="X30" t="s">
        <v>745</v>
      </c>
      <c r="Y30" t="s">
        <v>746</v>
      </c>
      <c r="Z30" t="s">
        <v>747</v>
      </c>
      <c r="AA30" t="s">
        <v>748</v>
      </c>
      <c r="AB30" t="s">
        <v>749</v>
      </c>
      <c r="AC30" t="s">
        <v>750</v>
      </c>
      <c r="AD30" t="s">
        <v>751</v>
      </c>
      <c r="AE30" t="s">
        <v>752</v>
      </c>
      <c r="AF30" t="s">
        <v>74</v>
      </c>
      <c r="AG30">
        <v>104</v>
      </c>
      <c r="AH30">
        <v>84</v>
      </c>
      <c r="AI30">
        <v>92</v>
      </c>
      <c r="AJ30">
        <v>1</v>
      </c>
      <c r="AK30">
        <v>46</v>
      </c>
      <c r="AL30" t="s">
        <v>753</v>
      </c>
      <c r="AM30" t="s">
        <v>124</v>
      </c>
      <c r="AN30" t="s">
        <v>754</v>
      </c>
      <c r="AO30" t="s">
        <v>755</v>
      </c>
      <c r="AP30" t="s">
        <v>756</v>
      </c>
      <c r="AQ30" t="s">
        <v>74</v>
      </c>
      <c r="AR30" t="s">
        <v>757</v>
      </c>
      <c r="AS30" t="s">
        <v>758</v>
      </c>
      <c r="AT30" t="s">
        <v>99</v>
      </c>
      <c r="AU30">
        <v>2014</v>
      </c>
      <c r="AV30">
        <v>235</v>
      </c>
      <c r="AW30" t="s">
        <v>74</v>
      </c>
      <c r="AX30" t="s">
        <v>74</v>
      </c>
      <c r="AY30" t="s">
        <v>74</v>
      </c>
      <c r="AZ30" t="s">
        <v>74</v>
      </c>
      <c r="BA30" t="s">
        <v>74</v>
      </c>
      <c r="BB30">
        <v>66</v>
      </c>
      <c r="BC30">
        <v>83</v>
      </c>
      <c r="BD30" t="s">
        <v>74</v>
      </c>
      <c r="BE30" t="s">
        <v>759</v>
      </c>
      <c r="BF30" t="str">
        <f>HYPERLINK("http://dx.doi.org/10.1016/j.pepi.2014.07.006","http://dx.doi.org/10.1016/j.pepi.2014.07.006")</f>
        <v>http://dx.doi.org/10.1016/j.pepi.2014.07.006</v>
      </c>
      <c r="BG30" t="s">
        <v>74</v>
      </c>
      <c r="BH30" t="s">
        <v>74</v>
      </c>
      <c r="BI30">
        <v>18</v>
      </c>
      <c r="BJ30" t="s">
        <v>425</v>
      </c>
      <c r="BK30" t="s">
        <v>102</v>
      </c>
      <c r="BL30" t="s">
        <v>425</v>
      </c>
      <c r="BM30" t="s">
        <v>760</v>
      </c>
      <c r="BN30" t="s">
        <v>74</v>
      </c>
      <c r="BO30" t="s">
        <v>262</v>
      </c>
      <c r="BP30" t="s">
        <v>74</v>
      </c>
      <c r="BQ30" t="s">
        <v>74</v>
      </c>
      <c r="BR30" t="s">
        <v>105</v>
      </c>
      <c r="BS30" t="s">
        <v>761</v>
      </c>
      <c r="BT30" t="str">
        <f>HYPERLINK("https%3A%2F%2Fwww.webofscience.com%2Fwos%2Fwoscc%2Ffull-record%2FWOS:000343020200006","View Full Record in Web of Science")</f>
        <v>View Full Record in Web of Science</v>
      </c>
    </row>
    <row r="31" spans="1:72" x14ac:dyDescent="0.15">
      <c r="A31" t="s">
        <v>72</v>
      </c>
      <c r="B31" t="s">
        <v>762</v>
      </c>
      <c r="C31" t="s">
        <v>74</v>
      </c>
      <c r="D31" t="s">
        <v>74</v>
      </c>
      <c r="E31" t="s">
        <v>74</v>
      </c>
      <c r="F31" t="s">
        <v>763</v>
      </c>
      <c r="G31" t="s">
        <v>74</v>
      </c>
      <c r="H31" t="s">
        <v>74</v>
      </c>
      <c r="I31" t="s">
        <v>764</v>
      </c>
      <c r="J31" t="s">
        <v>765</v>
      </c>
      <c r="K31" t="s">
        <v>74</v>
      </c>
      <c r="L31" t="s">
        <v>74</v>
      </c>
      <c r="M31" t="s">
        <v>78</v>
      </c>
      <c r="N31" t="s">
        <v>79</v>
      </c>
      <c r="O31" t="s">
        <v>74</v>
      </c>
      <c r="P31" t="s">
        <v>74</v>
      </c>
      <c r="Q31" t="s">
        <v>74</v>
      </c>
      <c r="R31" t="s">
        <v>74</v>
      </c>
      <c r="S31" t="s">
        <v>74</v>
      </c>
      <c r="T31" t="s">
        <v>766</v>
      </c>
      <c r="U31" t="s">
        <v>767</v>
      </c>
      <c r="V31" t="s">
        <v>768</v>
      </c>
      <c r="W31" t="s">
        <v>769</v>
      </c>
      <c r="X31" t="s">
        <v>770</v>
      </c>
      <c r="Y31" t="s">
        <v>771</v>
      </c>
      <c r="Z31" t="s">
        <v>772</v>
      </c>
      <c r="AA31" t="s">
        <v>773</v>
      </c>
      <c r="AB31" t="s">
        <v>774</v>
      </c>
      <c r="AC31" t="s">
        <v>775</v>
      </c>
      <c r="AD31" t="s">
        <v>776</v>
      </c>
      <c r="AE31" t="s">
        <v>777</v>
      </c>
      <c r="AF31" t="s">
        <v>74</v>
      </c>
      <c r="AG31">
        <v>63</v>
      </c>
      <c r="AH31">
        <v>6</v>
      </c>
      <c r="AI31">
        <v>8</v>
      </c>
      <c r="AJ31">
        <v>1</v>
      </c>
      <c r="AK31">
        <v>16</v>
      </c>
      <c r="AL31" t="s">
        <v>224</v>
      </c>
      <c r="AM31" t="s">
        <v>576</v>
      </c>
      <c r="AN31" t="s">
        <v>778</v>
      </c>
      <c r="AO31" t="s">
        <v>779</v>
      </c>
      <c r="AP31" t="s">
        <v>780</v>
      </c>
      <c r="AQ31" t="s">
        <v>74</v>
      </c>
      <c r="AR31" t="s">
        <v>781</v>
      </c>
      <c r="AS31" t="s">
        <v>782</v>
      </c>
      <c r="AT31" t="s">
        <v>99</v>
      </c>
      <c r="AU31">
        <v>2014</v>
      </c>
      <c r="AV31">
        <v>37</v>
      </c>
      <c r="AW31">
        <v>10</v>
      </c>
      <c r="AX31" t="s">
        <v>74</v>
      </c>
      <c r="AY31" t="s">
        <v>74</v>
      </c>
      <c r="AZ31" t="s">
        <v>74</v>
      </c>
      <c r="BA31" t="s">
        <v>74</v>
      </c>
      <c r="BB31">
        <v>1383</v>
      </c>
      <c r="BC31">
        <v>1392</v>
      </c>
      <c r="BD31" t="s">
        <v>74</v>
      </c>
      <c r="BE31" t="s">
        <v>783</v>
      </c>
      <c r="BF31" t="str">
        <f>HYPERLINK("http://dx.doi.org/10.1007/s00300-014-1528-4","http://dx.doi.org/10.1007/s00300-014-1528-4")</f>
        <v>http://dx.doi.org/10.1007/s00300-014-1528-4</v>
      </c>
      <c r="BG31" t="s">
        <v>74</v>
      </c>
      <c r="BH31" t="s">
        <v>74</v>
      </c>
      <c r="BI31">
        <v>10</v>
      </c>
      <c r="BJ31" t="s">
        <v>784</v>
      </c>
      <c r="BK31" t="s">
        <v>102</v>
      </c>
      <c r="BL31" t="s">
        <v>785</v>
      </c>
      <c r="BM31" t="s">
        <v>786</v>
      </c>
      <c r="BN31" t="s">
        <v>74</v>
      </c>
      <c r="BO31" t="s">
        <v>359</v>
      </c>
      <c r="BP31" t="s">
        <v>74</v>
      </c>
      <c r="BQ31" t="s">
        <v>74</v>
      </c>
      <c r="BR31" t="s">
        <v>105</v>
      </c>
      <c r="BS31" t="s">
        <v>787</v>
      </c>
      <c r="BT31" t="str">
        <f>HYPERLINK("https%3A%2F%2Fwww.webofscience.com%2Fwos%2Fwoscc%2Ffull-record%2FWOS:000342228200002","View Full Record in Web of Science")</f>
        <v>View Full Record in Web of Science</v>
      </c>
    </row>
    <row r="32" spans="1:72" x14ac:dyDescent="0.15">
      <c r="A32" t="s">
        <v>72</v>
      </c>
      <c r="B32" t="s">
        <v>788</v>
      </c>
      <c r="C32" t="s">
        <v>74</v>
      </c>
      <c r="D32" t="s">
        <v>74</v>
      </c>
      <c r="E32" t="s">
        <v>74</v>
      </c>
      <c r="F32" t="s">
        <v>789</v>
      </c>
      <c r="G32" t="s">
        <v>74</v>
      </c>
      <c r="H32" t="s">
        <v>74</v>
      </c>
      <c r="I32" t="s">
        <v>790</v>
      </c>
      <c r="J32" t="s">
        <v>765</v>
      </c>
      <c r="K32" t="s">
        <v>74</v>
      </c>
      <c r="L32" t="s">
        <v>74</v>
      </c>
      <c r="M32" t="s">
        <v>78</v>
      </c>
      <c r="N32" t="s">
        <v>79</v>
      </c>
      <c r="O32" t="s">
        <v>74</v>
      </c>
      <c r="P32" t="s">
        <v>74</v>
      </c>
      <c r="Q32" t="s">
        <v>74</v>
      </c>
      <c r="R32" t="s">
        <v>74</v>
      </c>
      <c r="S32" t="s">
        <v>74</v>
      </c>
      <c r="T32" t="s">
        <v>791</v>
      </c>
      <c r="U32" t="s">
        <v>792</v>
      </c>
      <c r="V32" t="s">
        <v>793</v>
      </c>
      <c r="W32" t="s">
        <v>794</v>
      </c>
      <c r="X32" t="s">
        <v>795</v>
      </c>
      <c r="Y32" t="s">
        <v>796</v>
      </c>
      <c r="Z32" t="s">
        <v>797</v>
      </c>
      <c r="AA32" t="s">
        <v>798</v>
      </c>
      <c r="AB32" t="s">
        <v>799</v>
      </c>
      <c r="AC32" t="s">
        <v>800</v>
      </c>
      <c r="AD32" t="s">
        <v>801</v>
      </c>
      <c r="AE32" t="s">
        <v>802</v>
      </c>
      <c r="AF32" t="s">
        <v>74</v>
      </c>
      <c r="AG32">
        <v>65</v>
      </c>
      <c r="AH32">
        <v>49</v>
      </c>
      <c r="AI32">
        <v>53</v>
      </c>
      <c r="AJ32">
        <v>0</v>
      </c>
      <c r="AK32">
        <v>54</v>
      </c>
      <c r="AL32" t="s">
        <v>224</v>
      </c>
      <c r="AM32" t="s">
        <v>576</v>
      </c>
      <c r="AN32" t="s">
        <v>778</v>
      </c>
      <c r="AO32" t="s">
        <v>779</v>
      </c>
      <c r="AP32" t="s">
        <v>780</v>
      </c>
      <c r="AQ32" t="s">
        <v>74</v>
      </c>
      <c r="AR32" t="s">
        <v>781</v>
      </c>
      <c r="AS32" t="s">
        <v>782</v>
      </c>
      <c r="AT32" t="s">
        <v>99</v>
      </c>
      <c r="AU32">
        <v>2014</v>
      </c>
      <c r="AV32">
        <v>37</v>
      </c>
      <c r="AW32">
        <v>10</v>
      </c>
      <c r="AX32" t="s">
        <v>74</v>
      </c>
      <c r="AY32" t="s">
        <v>74</v>
      </c>
      <c r="AZ32" t="s">
        <v>74</v>
      </c>
      <c r="BA32" t="s">
        <v>74</v>
      </c>
      <c r="BB32">
        <v>1469</v>
      </c>
      <c r="BC32">
        <v>1477</v>
      </c>
      <c r="BD32" t="s">
        <v>74</v>
      </c>
      <c r="BE32" t="s">
        <v>803</v>
      </c>
      <c r="BF32" t="str">
        <f>HYPERLINK("http://dx.doi.org/10.1007/s00300-014-1537-3","http://dx.doi.org/10.1007/s00300-014-1537-3")</f>
        <v>http://dx.doi.org/10.1007/s00300-014-1537-3</v>
      </c>
      <c r="BG32" t="s">
        <v>74</v>
      </c>
      <c r="BH32" t="s">
        <v>74</v>
      </c>
      <c r="BI32">
        <v>9</v>
      </c>
      <c r="BJ32" t="s">
        <v>784</v>
      </c>
      <c r="BK32" t="s">
        <v>102</v>
      </c>
      <c r="BL32" t="s">
        <v>785</v>
      </c>
      <c r="BM32" t="s">
        <v>786</v>
      </c>
      <c r="BN32" t="s">
        <v>74</v>
      </c>
      <c r="BO32" t="s">
        <v>359</v>
      </c>
      <c r="BP32" t="s">
        <v>74</v>
      </c>
      <c r="BQ32" t="s">
        <v>74</v>
      </c>
      <c r="BR32" t="s">
        <v>105</v>
      </c>
      <c r="BS32" t="s">
        <v>804</v>
      </c>
      <c r="BT32" t="str">
        <f>HYPERLINK("https%3A%2F%2Fwww.webofscience.com%2Fwos%2Fwoscc%2Ffull-record%2FWOS:000342228200009","View Full Record in Web of Science")</f>
        <v>View Full Record in Web of Science</v>
      </c>
    </row>
    <row r="33" spans="1:72" x14ac:dyDescent="0.15">
      <c r="A33" t="s">
        <v>72</v>
      </c>
      <c r="B33" t="s">
        <v>805</v>
      </c>
      <c r="C33" t="s">
        <v>74</v>
      </c>
      <c r="D33" t="s">
        <v>74</v>
      </c>
      <c r="E33" t="s">
        <v>74</v>
      </c>
      <c r="F33" t="s">
        <v>806</v>
      </c>
      <c r="G33" t="s">
        <v>74</v>
      </c>
      <c r="H33" t="s">
        <v>74</v>
      </c>
      <c r="I33" t="s">
        <v>807</v>
      </c>
      <c r="J33" t="s">
        <v>808</v>
      </c>
      <c r="K33" t="s">
        <v>74</v>
      </c>
      <c r="L33" t="s">
        <v>74</v>
      </c>
      <c r="M33" t="s">
        <v>78</v>
      </c>
      <c r="N33" t="s">
        <v>79</v>
      </c>
      <c r="O33" t="s">
        <v>74</v>
      </c>
      <c r="P33" t="s">
        <v>74</v>
      </c>
      <c r="Q33" t="s">
        <v>74</v>
      </c>
      <c r="R33" t="s">
        <v>74</v>
      </c>
      <c r="S33" t="s">
        <v>74</v>
      </c>
      <c r="T33" t="s">
        <v>809</v>
      </c>
      <c r="U33" t="s">
        <v>810</v>
      </c>
      <c r="V33" t="s">
        <v>811</v>
      </c>
      <c r="W33" t="s">
        <v>812</v>
      </c>
      <c r="X33" t="s">
        <v>813</v>
      </c>
      <c r="Y33" t="s">
        <v>814</v>
      </c>
      <c r="Z33" t="s">
        <v>815</v>
      </c>
      <c r="AA33" t="s">
        <v>816</v>
      </c>
      <c r="AB33" t="s">
        <v>817</v>
      </c>
      <c r="AC33" t="s">
        <v>818</v>
      </c>
      <c r="AD33" t="s">
        <v>819</v>
      </c>
      <c r="AE33" t="s">
        <v>820</v>
      </c>
      <c r="AF33" t="s">
        <v>74</v>
      </c>
      <c r="AG33">
        <v>45</v>
      </c>
      <c r="AH33">
        <v>25</v>
      </c>
      <c r="AI33">
        <v>25</v>
      </c>
      <c r="AJ33">
        <v>1</v>
      </c>
      <c r="AK33">
        <v>33</v>
      </c>
      <c r="AL33" t="s">
        <v>171</v>
      </c>
      <c r="AM33" t="s">
        <v>93</v>
      </c>
      <c r="AN33" t="s">
        <v>94</v>
      </c>
      <c r="AO33" t="s">
        <v>821</v>
      </c>
      <c r="AP33" t="s">
        <v>822</v>
      </c>
      <c r="AQ33" t="s">
        <v>74</v>
      </c>
      <c r="AR33" t="s">
        <v>823</v>
      </c>
      <c r="AS33" t="s">
        <v>824</v>
      </c>
      <c r="AT33" t="s">
        <v>99</v>
      </c>
      <c r="AU33">
        <v>2014</v>
      </c>
      <c r="AV33">
        <v>140</v>
      </c>
      <c r="AW33">
        <v>684</v>
      </c>
      <c r="AX33" t="s">
        <v>257</v>
      </c>
      <c r="AY33" t="s">
        <v>74</v>
      </c>
      <c r="AZ33" t="s">
        <v>74</v>
      </c>
      <c r="BA33" t="s">
        <v>74</v>
      </c>
      <c r="BB33">
        <v>2176</v>
      </c>
      <c r="BC33">
        <v>2185</v>
      </c>
      <c r="BD33" t="s">
        <v>74</v>
      </c>
      <c r="BE33" t="s">
        <v>825</v>
      </c>
      <c r="BF33" t="str">
        <f>HYPERLINK("http://dx.doi.org/10.1002/qj.2287","http://dx.doi.org/10.1002/qj.2287")</f>
        <v>http://dx.doi.org/10.1002/qj.2287</v>
      </c>
      <c r="BG33" t="s">
        <v>74</v>
      </c>
      <c r="BH33" t="s">
        <v>74</v>
      </c>
      <c r="BI33">
        <v>10</v>
      </c>
      <c r="BJ33" t="s">
        <v>177</v>
      </c>
      <c r="BK33" t="s">
        <v>102</v>
      </c>
      <c r="BL33" t="s">
        <v>177</v>
      </c>
      <c r="BM33" t="s">
        <v>826</v>
      </c>
      <c r="BN33" t="s">
        <v>74</v>
      </c>
      <c r="BO33" t="s">
        <v>827</v>
      </c>
      <c r="BP33" t="s">
        <v>74</v>
      </c>
      <c r="BQ33" t="s">
        <v>74</v>
      </c>
      <c r="BR33" t="s">
        <v>105</v>
      </c>
      <c r="BS33" t="s">
        <v>828</v>
      </c>
      <c r="BT33" t="str">
        <f>HYPERLINK("https%3A%2F%2Fwww.webofscience.com%2Fwos%2Fwoscc%2Ffull-record%2FWOS:000344400200007","View Full Record in Web of Science")</f>
        <v>View Full Record in Web of Science</v>
      </c>
    </row>
    <row r="34" spans="1:72" x14ac:dyDescent="0.15">
      <c r="A34" t="s">
        <v>72</v>
      </c>
      <c r="B34" t="s">
        <v>829</v>
      </c>
      <c r="C34" t="s">
        <v>74</v>
      </c>
      <c r="D34" t="s">
        <v>74</v>
      </c>
      <c r="E34" t="s">
        <v>74</v>
      </c>
      <c r="F34" t="s">
        <v>830</v>
      </c>
      <c r="G34" t="s">
        <v>74</v>
      </c>
      <c r="H34" t="s">
        <v>74</v>
      </c>
      <c r="I34" t="s">
        <v>831</v>
      </c>
      <c r="J34" t="s">
        <v>808</v>
      </c>
      <c r="K34" t="s">
        <v>74</v>
      </c>
      <c r="L34" t="s">
        <v>74</v>
      </c>
      <c r="M34" t="s">
        <v>78</v>
      </c>
      <c r="N34" t="s">
        <v>79</v>
      </c>
      <c r="O34" t="s">
        <v>74</v>
      </c>
      <c r="P34" t="s">
        <v>74</v>
      </c>
      <c r="Q34" t="s">
        <v>74</v>
      </c>
      <c r="R34" t="s">
        <v>74</v>
      </c>
      <c r="S34" t="s">
        <v>74</v>
      </c>
      <c r="T34" t="s">
        <v>832</v>
      </c>
      <c r="U34" t="s">
        <v>833</v>
      </c>
      <c r="V34" t="s">
        <v>834</v>
      </c>
      <c r="W34" t="s">
        <v>835</v>
      </c>
      <c r="X34" t="s">
        <v>836</v>
      </c>
      <c r="Y34" t="s">
        <v>837</v>
      </c>
      <c r="Z34" t="s">
        <v>838</v>
      </c>
      <c r="AA34" t="s">
        <v>839</v>
      </c>
      <c r="AB34" t="s">
        <v>840</v>
      </c>
      <c r="AC34" t="s">
        <v>841</v>
      </c>
      <c r="AD34" t="s">
        <v>842</v>
      </c>
      <c r="AE34" t="s">
        <v>843</v>
      </c>
      <c r="AF34" t="s">
        <v>74</v>
      </c>
      <c r="AG34">
        <v>45</v>
      </c>
      <c r="AH34">
        <v>46</v>
      </c>
      <c r="AI34">
        <v>46</v>
      </c>
      <c r="AJ34">
        <v>1</v>
      </c>
      <c r="AK34">
        <v>22</v>
      </c>
      <c r="AL34" t="s">
        <v>171</v>
      </c>
      <c r="AM34" t="s">
        <v>93</v>
      </c>
      <c r="AN34" t="s">
        <v>94</v>
      </c>
      <c r="AO34" t="s">
        <v>821</v>
      </c>
      <c r="AP34" t="s">
        <v>822</v>
      </c>
      <c r="AQ34" t="s">
        <v>74</v>
      </c>
      <c r="AR34" t="s">
        <v>823</v>
      </c>
      <c r="AS34" t="s">
        <v>824</v>
      </c>
      <c r="AT34" t="s">
        <v>99</v>
      </c>
      <c r="AU34">
        <v>2014</v>
      </c>
      <c r="AV34">
        <v>140</v>
      </c>
      <c r="AW34">
        <v>684</v>
      </c>
      <c r="AX34" t="s">
        <v>257</v>
      </c>
      <c r="AY34" t="s">
        <v>74</v>
      </c>
      <c r="AZ34" t="s">
        <v>74</v>
      </c>
      <c r="BA34" t="s">
        <v>74</v>
      </c>
      <c r="BB34">
        <v>2287</v>
      </c>
      <c r="BC34">
        <v>2297</v>
      </c>
      <c r="BD34" t="s">
        <v>74</v>
      </c>
      <c r="BE34" t="s">
        <v>844</v>
      </c>
      <c r="BF34" t="str">
        <f>HYPERLINK("http://dx.doi.org/10.1002/qj.2296","http://dx.doi.org/10.1002/qj.2296")</f>
        <v>http://dx.doi.org/10.1002/qj.2296</v>
      </c>
      <c r="BG34" t="s">
        <v>74</v>
      </c>
      <c r="BH34" t="s">
        <v>74</v>
      </c>
      <c r="BI34">
        <v>11</v>
      </c>
      <c r="BJ34" t="s">
        <v>177</v>
      </c>
      <c r="BK34" t="s">
        <v>102</v>
      </c>
      <c r="BL34" t="s">
        <v>177</v>
      </c>
      <c r="BM34" t="s">
        <v>826</v>
      </c>
      <c r="BN34" t="s">
        <v>74</v>
      </c>
      <c r="BO34" t="s">
        <v>359</v>
      </c>
      <c r="BP34" t="s">
        <v>74</v>
      </c>
      <c r="BQ34" t="s">
        <v>74</v>
      </c>
      <c r="BR34" t="s">
        <v>105</v>
      </c>
      <c r="BS34" t="s">
        <v>845</v>
      </c>
      <c r="BT34" t="str">
        <f>HYPERLINK("https%3A%2F%2Fwww.webofscience.com%2Fwos%2Fwoscc%2Ffull-record%2FWOS:000344400200016","View Full Record in Web of Science")</f>
        <v>View Full Record in Web of Science</v>
      </c>
    </row>
    <row r="35" spans="1:72" x14ac:dyDescent="0.15">
      <c r="A35" t="s">
        <v>72</v>
      </c>
      <c r="B35" t="s">
        <v>846</v>
      </c>
      <c r="C35" t="s">
        <v>74</v>
      </c>
      <c r="D35" t="s">
        <v>74</v>
      </c>
      <c r="E35" t="s">
        <v>74</v>
      </c>
      <c r="F35" t="s">
        <v>847</v>
      </c>
      <c r="G35" t="s">
        <v>74</v>
      </c>
      <c r="H35" t="s">
        <v>74</v>
      </c>
      <c r="I35" t="s">
        <v>848</v>
      </c>
      <c r="J35" t="s">
        <v>849</v>
      </c>
      <c r="K35" t="s">
        <v>74</v>
      </c>
      <c r="L35" t="s">
        <v>74</v>
      </c>
      <c r="M35" t="s">
        <v>850</v>
      </c>
      <c r="N35" t="s">
        <v>79</v>
      </c>
      <c r="O35" t="s">
        <v>74</v>
      </c>
      <c r="P35" t="s">
        <v>74</v>
      </c>
      <c r="Q35" t="s">
        <v>74</v>
      </c>
      <c r="R35" t="s">
        <v>74</v>
      </c>
      <c r="S35" t="s">
        <v>74</v>
      </c>
      <c r="T35" t="s">
        <v>851</v>
      </c>
      <c r="U35" t="s">
        <v>74</v>
      </c>
      <c r="V35" t="s">
        <v>852</v>
      </c>
      <c r="W35" t="s">
        <v>853</v>
      </c>
      <c r="X35" t="s">
        <v>854</v>
      </c>
      <c r="Y35" t="s">
        <v>855</v>
      </c>
      <c r="Z35" t="s">
        <v>856</v>
      </c>
      <c r="AA35" t="s">
        <v>74</v>
      </c>
      <c r="AB35" t="s">
        <v>74</v>
      </c>
      <c r="AC35" t="s">
        <v>74</v>
      </c>
      <c r="AD35" t="s">
        <v>74</v>
      </c>
      <c r="AE35" t="s">
        <v>74</v>
      </c>
      <c r="AF35" t="s">
        <v>74</v>
      </c>
      <c r="AG35">
        <v>18</v>
      </c>
      <c r="AH35">
        <v>1</v>
      </c>
      <c r="AI35">
        <v>1</v>
      </c>
      <c r="AJ35">
        <v>0</v>
      </c>
      <c r="AK35">
        <v>0</v>
      </c>
      <c r="AL35" t="s">
        <v>857</v>
      </c>
      <c r="AM35" t="s">
        <v>858</v>
      </c>
      <c r="AN35" t="s">
        <v>859</v>
      </c>
      <c r="AO35" t="s">
        <v>860</v>
      </c>
      <c r="AP35" t="s">
        <v>74</v>
      </c>
      <c r="AQ35" t="s">
        <v>74</v>
      </c>
      <c r="AR35" t="s">
        <v>861</v>
      </c>
      <c r="AS35" t="s">
        <v>862</v>
      </c>
      <c r="AT35" t="s">
        <v>863</v>
      </c>
      <c r="AU35">
        <v>2014</v>
      </c>
      <c r="AV35">
        <v>5</v>
      </c>
      <c r="AW35">
        <v>4</v>
      </c>
      <c r="AX35" t="s">
        <v>74</v>
      </c>
      <c r="AY35" t="s">
        <v>74</v>
      </c>
      <c r="AZ35" t="s">
        <v>74</v>
      </c>
      <c r="BA35" t="s">
        <v>74</v>
      </c>
      <c r="BB35">
        <v>1</v>
      </c>
      <c r="BC35">
        <v>8</v>
      </c>
      <c r="BD35" t="s">
        <v>74</v>
      </c>
      <c r="BE35" t="s">
        <v>74</v>
      </c>
      <c r="BF35" t="s">
        <v>74</v>
      </c>
      <c r="BG35" t="s">
        <v>74</v>
      </c>
      <c r="BH35" t="s">
        <v>74</v>
      </c>
      <c r="BI35">
        <v>8</v>
      </c>
      <c r="BJ35" t="s">
        <v>864</v>
      </c>
      <c r="BK35" t="s">
        <v>488</v>
      </c>
      <c r="BL35" t="s">
        <v>864</v>
      </c>
      <c r="BM35" t="s">
        <v>865</v>
      </c>
      <c r="BN35" t="s">
        <v>74</v>
      </c>
      <c r="BO35" t="s">
        <v>74</v>
      </c>
      <c r="BP35" t="s">
        <v>74</v>
      </c>
      <c r="BQ35" t="s">
        <v>74</v>
      </c>
      <c r="BR35" t="s">
        <v>105</v>
      </c>
      <c r="BS35" t="s">
        <v>866</v>
      </c>
      <c r="BT35" t="str">
        <f>HYPERLINK("https%3A%2F%2Fwww.webofscience.com%2Fwos%2Fwoscc%2Ffull-record%2FWOS:000215960700001","View Full Record in Web of Science")</f>
        <v>View Full Record in Web of Science</v>
      </c>
    </row>
    <row r="36" spans="1:72" x14ac:dyDescent="0.15">
      <c r="A36" t="s">
        <v>72</v>
      </c>
      <c r="B36" t="s">
        <v>867</v>
      </c>
      <c r="C36" t="s">
        <v>74</v>
      </c>
      <c r="D36" t="s">
        <v>74</v>
      </c>
      <c r="E36" t="s">
        <v>74</v>
      </c>
      <c r="F36" t="s">
        <v>868</v>
      </c>
      <c r="G36" t="s">
        <v>74</v>
      </c>
      <c r="H36" t="s">
        <v>74</v>
      </c>
      <c r="I36" t="s">
        <v>869</v>
      </c>
      <c r="J36" t="s">
        <v>870</v>
      </c>
      <c r="K36" t="s">
        <v>74</v>
      </c>
      <c r="L36" t="s">
        <v>74</v>
      </c>
      <c r="M36" t="s">
        <v>78</v>
      </c>
      <c r="N36" t="s">
        <v>79</v>
      </c>
      <c r="O36" t="s">
        <v>74</v>
      </c>
      <c r="P36" t="s">
        <v>74</v>
      </c>
      <c r="Q36" t="s">
        <v>74</v>
      </c>
      <c r="R36" t="s">
        <v>74</v>
      </c>
      <c r="S36" t="s">
        <v>74</v>
      </c>
      <c r="T36" t="s">
        <v>871</v>
      </c>
      <c r="U36" t="s">
        <v>872</v>
      </c>
      <c r="V36" t="s">
        <v>873</v>
      </c>
      <c r="W36" t="s">
        <v>874</v>
      </c>
      <c r="X36" t="s">
        <v>875</v>
      </c>
      <c r="Y36" t="s">
        <v>876</v>
      </c>
      <c r="Z36" t="s">
        <v>877</v>
      </c>
      <c r="AA36" t="s">
        <v>878</v>
      </c>
      <c r="AB36" t="s">
        <v>879</v>
      </c>
      <c r="AC36" t="s">
        <v>880</v>
      </c>
      <c r="AD36" t="s">
        <v>881</v>
      </c>
      <c r="AE36" t="s">
        <v>882</v>
      </c>
      <c r="AF36" t="s">
        <v>74</v>
      </c>
      <c r="AG36">
        <v>97</v>
      </c>
      <c r="AH36">
        <v>32</v>
      </c>
      <c r="AI36">
        <v>36</v>
      </c>
      <c r="AJ36">
        <v>0</v>
      </c>
      <c r="AK36">
        <v>44</v>
      </c>
      <c r="AL36" t="s">
        <v>171</v>
      </c>
      <c r="AM36" t="s">
        <v>93</v>
      </c>
      <c r="AN36" t="s">
        <v>94</v>
      </c>
      <c r="AO36" t="s">
        <v>883</v>
      </c>
      <c r="AP36" t="s">
        <v>884</v>
      </c>
      <c r="AQ36" t="s">
        <v>74</v>
      </c>
      <c r="AR36" t="s">
        <v>870</v>
      </c>
      <c r="AS36" t="s">
        <v>885</v>
      </c>
      <c r="AT36" t="s">
        <v>99</v>
      </c>
      <c r="AU36">
        <v>2014</v>
      </c>
      <c r="AV36">
        <v>61</v>
      </c>
      <c r="AW36">
        <v>6</v>
      </c>
      <c r="AX36" t="s">
        <v>74</v>
      </c>
      <c r="AY36" t="s">
        <v>74</v>
      </c>
      <c r="AZ36" t="s">
        <v>74</v>
      </c>
      <c r="BA36" t="s">
        <v>74</v>
      </c>
      <c r="BB36">
        <v>1535</v>
      </c>
      <c r="BC36">
        <v>1557</v>
      </c>
      <c r="BD36" t="s">
        <v>74</v>
      </c>
      <c r="BE36" t="s">
        <v>886</v>
      </c>
      <c r="BF36" t="str">
        <f>HYPERLINK("http://dx.doi.org/10.1111/sed.12108","http://dx.doi.org/10.1111/sed.12108")</f>
        <v>http://dx.doi.org/10.1111/sed.12108</v>
      </c>
      <c r="BG36" t="s">
        <v>74</v>
      </c>
      <c r="BH36" t="s">
        <v>74</v>
      </c>
      <c r="BI36">
        <v>23</v>
      </c>
      <c r="BJ36" t="s">
        <v>686</v>
      </c>
      <c r="BK36" t="s">
        <v>102</v>
      </c>
      <c r="BL36" t="s">
        <v>686</v>
      </c>
      <c r="BM36" t="s">
        <v>887</v>
      </c>
      <c r="BN36" t="s">
        <v>74</v>
      </c>
      <c r="BO36" t="s">
        <v>74</v>
      </c>
      <c r="BP36" t="s">
        <v>74</v>
      </c>
      <c r="BQ36" t="s">
        <v>74</v>
      </c>
      <c r="BR36" t="s">
        <v>105</v>
      </c>
      <c r="BS36" t="s">
        <v>888</v>
      </c>
      <c r="BT36" t="str">
        <f>HYPERLINK("https%3A%2F%2Fwww.webofscience.com%2Fwos%2Fwoscc%2Ffull-record%2FWOS:000342349100003","View Full Record in Web of Science")</f>
        <v>View Full Record in Web of Science</v>
      </c>
    </row>
    <row r="37" spans="1:72" x14ac:dyDescent="0.15">
      <c r="A37" t="s">
        <v>72</v>
      </c>
      <c r="B37" t="s">
        <v>889</v>
      </c>
      <c r="C37" t="s">
        <v>74</v>
      </c>
      <c r="D37" t="s">
        <v>74</v>
      </c>
      <c r="E37" t="s">
        <v>74</v>
      </c>
      <c r="F37" t="s">
        <v>890</v>
      </c>
      <c r="G37" t="s">
        <v>74</v>
      </c>
      <c r="H37" t="s">
        <v>74</v>
      </c>
      <c r="I37" t="s">
        <v>891</v>
      </c>
      <c r="J37" t="s">
        <v>892</v>
      </c>
      <c r="K37" t="s">
        <v>74</v>
      </c>
      <c r="L37" t="s">
        <v>74</v>
      </c>
      <c r="M37" t="s">
        <v>78</v>
      </c>
      <c r="N37" t="s">
        <v>79</v>
      </c>
      <c r="O37" t="s">
        <v>74</v>
      </c>
      <c r="P37" t="s">
        <v>74</v>
      </c>
      <c r="Q37" t="s">
        <v>74</v>
      </c>
      <c r="R37" t="s">
        <v>74</v>
      </c>
      <c r="S37" t="s">
        <v>74</v>
      </c>
      <c r="T37" t="s">
        <v>893</v>
      </c>
      <c r="U37" t="s">
        <v>894</v>
      </c>
      <c r="V37" t="s">
        <v>895</v>
      </c>
      <c r="W37" t="s">
        <v>896</v>
      </c>
      <c r="X37" t="s">
        <v>897</v>
      </c>
      <c r="Y37" t="s">
        <v>898</v>
      </c>
      <c r="Z37" t="s">
        <v>899</v>
      </c>
      <c r="AA37" t="s">
        <v>74</v>
      </c>
      <c r="AB37" t="s">
        <v>74</v>
      </c>
      <c r="AC37" t="s">
        <v>900</v>
      </c>
      <c r="AD37" t="s">
        <v>901</v>
      </c>
      <c r="AE37" t="s">
        <v>902</v>
      </c>
      <c r="AF37" t="s">
        <v>74</v>
      </c>
      <c r="AG37">
        <v>29</v>
      </c>
      <c r="AH37">
        <v>42</v>
      </c>
      <c r="AI37">
        <v>49</v>
      </c>
      <c r="AJ37">
        <v>3</v>
      </c>
      <c r="AK37">
        <v>81</v>
      </c>
      <c r="AL37" t="s">
        <v>224</v>
      </c>
      <c r="AM37" t="s">
        <v>576</v>
      </c>
      <c r="AN37" t="s">
        <v>778</v>
      </c>
      <c r="AO37" t="s">
        <v>903</v>
      </c>
      <c r="AP37" t="s">
        <v>904</v>
      </c>
      <c r="AQ37" t="s">
        <v>74</v>
      </c>
      <c r="AR37" t="s">
        <v>905</v>
      </c>
      <c r="AS37" t="s">
        <v>906</v>
      </c>
      <c r="AT37" t="s">
        <v>99</v>
      </c>
      <c r="AU37">
        <v>2014</v>
      </c>
      <c r="AV37">
        <v>30</v>
      </c>
      <c r="AW37">
        <v>10</v>
      </c>
      <c r="AX37" t="s">
        <v>74</v>
      </c>
      <c r="AY37" t="s">
        <v>74</v>
      </c>
      <c r="AZ37" t="s">
        <v>74</v>
      </c>
      <c r="BA37" t="s">
        <v>74</v>
      </c>
      <c r="BB37">
        <v>2711</v>
      </c>
      <c r="BC37">
        <v>2721</v>
      </c>
      <c r="BD37" t="s">
        <v>74</v>
      </c>
      <c r="BE37" t="s">
        <v>907</v>
      </c>
      <c r="BF37" t="str">
        <f>HYPERLINK("http://dx.doi.org/10.1007/s11274-014-1695-z","http://dx.doi.org/10.1007/s11274-014-1695-z")</f>
        <v>http://dx.doi.org/10.1007/s11274-014-1695-z</v>
      </c>
      <c r="BG37" t="s">
        <v>74</v>
      </c>
      <c r="BH37" t="s">
        <v>74</v>
      </c>
      <c r="BI37">
        <v>11</v>
      </c>
      <c r="BJ37" t="s">
        <v>908</v>
      </c>
      <c r="BK37" t="s">
        <v>102</v>
      </c>
      <c r="BL37" t="s">
        <v>908</v>
      </c>
      <c r="BM37" t="s">
        <v>909</v>
      </c>
      <c r="BN37">
        <v>25001073</v>
      </c>
      <c r="BO37" t="s">
        <v>74</v>
      </c>
      <c r="BP37" t="s">
        <v>74</v>
      </c>
      <c r="BQ37" t="s">
        <v>74</v>
      </c>
      <c r="BR37" t="s">
        <v>105</v>
      </c>
      <c r="BS37" t="s">
        <v>910</v>
      </c>
      <c r="BT37" t="str">
        <f>HYPERLINK("https%3A%2F%2Fwww.webofscience.com%2Fwos%2Fwoscc%2Ffull-record%2FWOS:000341635000017","View Full Record in Web of Science")</f>
        <v>View Full Record in Web of Science</v>
      </c>
    </row>
    <row r="38" spans="1:72" x14ac:dyDescent="0.15">
      <c r="A38" t="s">
        <v>72</v>
      </c>
      <c r="B38" t="s">
        <v>911</v>
      </c>
      <c r="C38" t="s">
        <v>74</v>
      </c>
      <c r="D38" t="s">
        <v>74</v>
      </c>
      <c r="E38" t="s">
        <v>74</v>
      </c>
      <c r="F38" t="s">
        <v>912</v>
      </c>
      <c r="G38" t="s">
        <v>74</v>
      </c>
      <c r="H38" t="s">
        <v>74</v>
      </c>
      <c r="I38" t="s">
        <v>913</v>
      </c>
      <c r="J38" t="s">
        <v>914</v>
      </c>
      <c r="K38" t="s">
        <v>74</v>
      </c>
      <c r="L38" t="s">
        <v>74</v>
      </c>
      <c r="M38" t="s">
        <v>78</v>
      </c>
      <c r="N38" t="s">
        <v>79</v>
      </c>
      <c r="O38" t="s">
        <v>74</v>
      </c>
      <c r="P38" t="s">
        <v>74</v>
      </c>
      <c r="Q38" t="s">
        <v>74</v>
      </c>
      <c r="R38" t="s">
        <v>74</v>
      </c>
      <c r="S38" t="s">
        <v>74</v>
      </c>
      <c r="T38" t="s">
        <v>915</v>
      </c>
      <c r="U38" t="s">
        <v>916</v>
      </c>
      <c r="V38" t="s">
        <v>917</v>
      </c>
      <c r="W38" t="s">
        <v>918</v>
      </c>
      <c r="X38" t="s">
        <v>919</v>
      </c>
      <c r="Y38" t="s">
        <v>920</v>
      </c>
      <c r="Z38" t="s">
        <v>921</v>
      </c>
      <c r="AA38" t="s">
        <v>922</v>
      </c>
      <c r="AB38" t="s">
        <v>923</v>
      </c>
      <c r="AC38" t="s">
        <v>924</v>
      </c>
      <c r="AD38" t="s">
        <v>925</v>
      </c>
      <c r="AE38" t="s">
        <v>926</v>
      </c>
      <c r="AF38" t="s">
        <v>74</v>
      </c>
      <c r="AG38">
        <v>69</v>
      </c>
      <c r="AH38">
        <v>12</v>
      </c>
      <c r="AI38">
        <v>12</v>
      </c>
      <c r="AJ38">
        <v>0</v>
      </c>
      <c r="AK38">
        <v>67</v>
      </c>
      <c r="AL38" t="s">
        <v>123</v>
      </c>
      <c r="AM38" t="s">
        <v>124</v>
      </c>
      <c r="AN38" t="s">
        <v>125</v>
      </c>
      <c r="AO38" t="s">
        <v>927</v>
      </c>
      <c r="AP38" t="s">
        <v>928</v>
      </c>
      <c r="AQ38" t="s">
        <v>74</v>
      </c>
      <c r="AR38" t="s">
        <v>929</v>
      </c>
      <c r="AS38" t="s">
        <v>930</v>
      </c>
      <c r="AT38" t="s">
        <v>99</v>
      </c>
      <c r="AU38">
        <v>2014</v>
      </c>
      <c r="AV38">
        <v>459</v>
      </c>
      <c r="AW38" t="s">
        <v>74</v>
      </c>
      <c r="AX38" t="s">
        <v>74</v>
      </c>
      <c r="AY38" t="s">
        <v>74</v>
      </c>
      <c r="AZ38" t="s">
        <v>74</v>
      </c>
      <c r="BA38" t="s">
        <v>74</v>
      </c>
      <c r="BB38">
        <v>190</v>
      </c>
      <c r="BC38">
        <v>198</v>
      </c>
      <c r="BD38" t="s">
        <v>74</v>
      </c>
      <c r="BE38" t="s">
        <v>931</v>
      </c>
      <c r="BF38" t="str">
        <f>HYPERLINK("http://dx.doi.org/10.1016/j.jembe.2014.05.026","http://dx.doi.org/10.1016/j.jembe.2014.05.026")</f>
        <v>http://dx.doi.org/10.1016/j.jembe.2014.05.026</v>
      </c>
      <c r="BG38" t="s">
        <v>74</v>
      </c>
      <c r="BH38" t="s">
        <v>74</v>
      </c>
      <c r="BI38">
        <v>9</v>
      </c>
      <c r="BJ38" t="s">
        <v>932</v>
      </c>
      <c r="BK38" t="s">
        <v>102</v>
      </c>
      <c r="BL38" t="s">
        <v>933</v>
      </c>
      <c r="BM38" t="s">
        <v>934</v>
      </c>
      <c r="BN38" t="s">
        <v>74</v>
      </c>
      <c r="BO38" t="s">
        <v>74</v>
      </c>
      <c r="BP38" t="s">
        <v>74</v>
      </c>
      <c r="BQ38" t="s">
        <v>74</v>
      </c>
      <c r="BR38" t="s">
        <v>105</v>
      </c>
      <c r="BS38" t="s">
        <v>935</v>
      </c>
      <c r="BT38" t="str">
        <f>HYPERLINK("https%3A%2F%2Fwww.webofscience.com%2Fwos%2Fwoscc%2Ffull-record%2FWOS:000339128500023","View Full Record in Web of Science")</f>
        <v>View Full Record in Web of Science</v>
      </c>
    </row>
    <row r="39" spans="1:72" x14ac:dyDescent="0.15">
      <c r="A39" t="s">
        <v>72</v>
      </c>
      <c r="B39" t="s">
        <v>936</v>
      </c>
      <c r="C39" t="s">
        <v>74</v>
      </c>
      <c r="D39" t="s">
        <v>74</v>
      </c>
      <c r="E39" t="s">
        <v>74</v>
      </c>
      <c r="F39" t="s">
        <v>937</v>
      </c>
      <c r="G39" t="s">
        <v>74</v>
      </c>
      <c r="H39" t="s">
        <v>74</v>
      </c>
      <c r="I39" t="s">
        <v>938</v>
      </c>
      <c r="J39" t="s">
        <v>939</v>
      </c>
      <c r="K39" t="s">
        <v>74</v>
      </c>
      <c r="L39" t="s">
        <v>74</v>
      </c>
      <c r="M39" t="s">
        <v>78</v>
      </c>
      <c r="N39" t="s">
        <v>79</v>
      </c>
      <c r="O39" t="s">
        <v>74</v>
      </c>
      <c r="P39" t="s">
        <v>74</v>
      </c>
      <c r="Q39" t="s">
        <v>74</v>
      </c>
      <c r="R39" t="s">
        <v>74</v>
      </c>
      <c r="S39" t="s">
        <v>74</v>
      </c>
      <c r="T39" t="s">
        <v>940</v>
      </c>
      <c r="U39" t="s">
        <v>941</v>
      </c>
      <c r="V39" t="s">
        <v>942</v>
      </c>
      <c r="W39" t="s">
        <v>943</v>
      </c>
      <c r="X39" t="s">
        <v>944</v>
      </c>
      <c r="Y39" t="s">
        <v>945</v>
      </c>
      <c r="Z39" t="s">
        <v>946</v>
      </c>
      <c r="AA39" t="s">
        <v>947</v>
      </c>
      <c r="AB39" t="s">
        <v>948</v>
      </c>
      <c r="AC39" t="s">
        <v>949</v>
      </c>
      <c r="AD39" t="s">
        <v>950</v>
      </c>
      <c r="AE39" t="s">
        <v>951</v>
      </c>
      <c r="AF39" t="s">
        <v>74</v>
      </c>
      <c r="AG39">
        <v>58</v>
      </c>
      <c r="AH39">
        <v>14</v>
      </c>
      <c r="AI39">
        <v>14</v>
      </c>
      <c r="AJ39">
        <v>1</v>
      </c>
      <c r="AK39">
        <v>32</v>
      </c>
      <c r="AL39" t="s">
        <v>952</v>
      </c>
      <c r="AM39" t="s">
        <v>953</v>
      </c>
      <c r="AN39" t="s">
        <v>954</v>
      </c>
      <c r="AO39" t="s">
        <v>955</v>
      </c>
      <c r="AP39" t="s">
        <v>956</v>
      </c>
      <c r="AQ39" t="s">
        <v>74</v>
      </c>
      <c r="AR39" t="s">
        <v>957</v>
      </c>
      <c r="AS39" t="s">
        <v>958</v>
      </c>
      <c r="AT39" t="s">
        <v>99</v>
      </c>
      <c r="AU39">
        <v>2014</v>
      </c>
      <c r="AV39">
        <v>52</v>
      </c>
      <c r="AW39">
        <v>10</v>
      </c>
      <c r="AX39" t="s">
        <v>74</v>
      </c>
      <c r="AY39" t="s">
        <v>74</v>
      </c>
      <c r="AZ39" t="s">
        <v>74</v>
      </c>
      <c r="BA39" t="s">
        <v>74</v>
      </c>
      <c r="BB39">
        <v>6639</v>
      </c>
      <c r="BC39">
        <v>6651</v>
      </c>
      <c r="BD39" t="s">
        <v>74</v>
      </c>
      <c r="BE39" t="s">
        <v>959</v>
      </c>
      <c r="BF39" t="str">
        <f>HYPERLINK("http://dx.doi.org/10.1109/TGRS.2014.2299829","http://dx.doi.org/10.1109/TGRS.2014.2299829")</f>
        <v>http://dx.doi.org/10.1109/TGRS.2014.2299829</v>
      </c>
      <c r="BG39" t="s">
        <v>74</v>
      </c>
      <c r="BH39" t="s">
        <v>74</v>
      </c>
      <c r="BI39">
        <v>13</v>
      </c>
      <c r="BJ39" t="s">
        <v>960</v>
      </c>
      <c r="BK39" t="s">
        <v>102</v>
      </c>
      <c r="BL39" t="s">
        <v>961</v>
      </c>
      <c r="BM39" t="s">
        <v>962</v>
      </c>
      <c r="BN39" t="s">
        <v>74</v>
      </c>
      <c r="BO39" t="s">
        <v>74</v>
      </c>
      <c r="BP39" t="s">
        <v>74</v>
      </c>
      <c r="BQ39" t="s">
        <v>74</v>
      </c>
      <c r="BR39" t="s">
        <v>105</v>
      </c>
      <c r="BS39" t="s">
        <v>963</v>
      </c>
      <c r="BT39" t="str">
        <f>HYPERLINK("https%3A%2F%2Fwww.webofscience.com%2Fwos%2Fwoscc%2Ffull-record%2FWOS:000337173200053","View Full Record in Web of Science")</f>
        <v>View Full Record in Web of Science</v>
      </c>
    </row>
    <row r="40" spans="1:72" x14ac:dyDescent="0.15">
      <c r="A40" t="s">
        <v>72</v>
      </c>
      <c r="B40" t="s">
        <v>964</v>
      </c>
      <c r="C40" t="s">
        <v>74</v>
      </c>
      <c r="D40" t="s">
        <v>74</v>
      </c>
      <c r="E40" t="s">
        <v>74</v>
      </c>
      <c r="F40" t="s">
        <v>965</v>
      </c>
      <c r="G40" t="s">
        <v>74</v>
      </c>
      <c r="H40" t="s">
        <v>74</v>
      </c>
      <c r="I40" t="s">
        <v>966</v>
      </c>
      <c r="J40" t="s">
        <v>967</v>
      </c>
      <c r="K40" t="s">
        <v>74</v>
      </c>
      <c r="L40" t="s">
        <v>74</v>
      </c>
      <c r="M40" t="s">
        <v>78</v>
      </c>
      <c r="N40" t="s">
        <v>79</v>
      </c>
      <c r="O40" t="s">
        <v>74</v>
      </c>
      <c r="P40" t="s">
        <v>74</v>
      </c>
      <c r="Q40" t="s">
        <v>74</v>
      </c>
      <c r="R40" t="s">
        <v>74</v>
      </c>
      <c r="S40" t="s">
        <v>74</v>
      </c>
      <c r="T40" t="s">
        <v>74</v>
      </c>
      <c r="U40" t="s">
        <v>968</v>
      </c>
      <c r="V40" t="s">
        <v>969</v>
      </c>
      <c r="W40" t="s">
        <v>970</v>
      </c>
      <c r="X40" t="s">
        <v>971</v>
      </c>
      <c r="Y40" t="s">
        <v>972</v>
      </c>
      <c r="Z40" t="s">
        <v>973</v>
      </c>
      <c r="AA40" t="s">
        <v>974</v>
      </c>
      <c r="AB40" t="s">
        <v>975</v>
      </c>
      <c r="AC40" t="s">
        <v>976</v>
      </c>
      <c r="AD40" t="s">
        <v>977</v>
      </c>
      <c r="AE40" t="s">
        <v>978</v>
      </c>
      <c r="AF40" t="s">
        <v>74</v>
      </c>
      <c r="AG40">
        <v>26</v>
      </c>
      <c r="AH40">
        <v>14</v>
      </c>
      <c r="AI40">
        <v>14</v>
      </c>
      <c r="AJ40">
        <v>0</v>
      </c>
      <c r="AK40">
        <v>34</v>
      </c>
      <c r="AL40" t="s">
        <v>979</v>
      </c>
      <c r="AM40" t="s">
        <v>980</v>
      </c>
      <c r="AN40" t="s">
        <v>981</v>
      </c>
      <c r="AO40" t="s">
        <v>982</v>
      </c>
      <c r="AP40" t="s">
        <v>74</v>
      </c>
      <c r="AQ40" t="s">
        <v>74</v>
      </c>
      <c r="AR40" t="s">
        <v>983</v>
      </c>
      <c r="AS40" t="s">
        <v>984</v>
      </c>
      <c r="AT40" t="s">
        <v>985</v>
      </c>
      <c r="AU40">
        <v>2014</v>
      </c>
      <c r="AV40">
        <v>4</v>
      </c>
      <c r="AW40" t="s">
        <v>74</v>
      </c>
      <c r="AX40" t="s">
        <v>74</v>
      </c>
      <c r="AY40" t="s">
        <v>74</v>
      </c>
      <c r="AZ40" t="s">
        <v>74</v>
      </c>
      <c r="BA40" t="s">
        <v>74</v>
      </c>
      <c r="BB40" t="s">
        <v>74</v>
      </c>
      <c r="BC40" t="s">
        <v>74</v>
      </c>
      <c r="BD40">
        <v>6408</v>
      </c>
      <c r="BE40" t="s">
        <v>986</v>
      </c>
      <c r="BF40" t="str">
        <f>HYPERLINK("http://dx.doi.org/10.1038/srep06408","http://dx.doi.org/10.1038/srep06408")</f>
        <v>http://dx.doi.org/10.1038/srep06408</v>
      </c>
      <c r="BG40" t="s">
        <v>74</v>
      </c>
      <c r="BH40" t="s">
        <v>74</v>
      </c>
      <c r="BI40">
        <v>6</v>
      </c>
      <c r="BJ40" t="s">
        <v>660</v>
      </c>
      <c r="BK40" t="s">
        <v>102</v>
      </c>
      <c r="BL40" t="s">
        <v>661</v>
      </c>
      <c r="BM40" t="s">
        <v>987</v>
      </c>
      <c r="BN40">
        <v>25266953</v>
      </c>
      <c r="BO40" t="s">
        <v>206</v>
      </c>
      <c r="BP40" t="s">
        <v>74</v>
      </c>
      <c r="BQ40" t="s">
        <v>74</v>
      </c>
      <c r="BR40" t="s">
        <v>105</v>
      </c>
      <c r="BS40" t="s">
        <v>988</v>
      </c>
      <c r="BT40" t="str">
        <f>HYPERLINK("https%3A%2F%2Fwww.webofscience.com%2Fwos%2Fwoscc%2Ffull-record%2FWOS:000342448600001","View Full Record in Web of Science")</f>
        <v>View Full Record in Web of Science</v>
      </c>
    </row>
    <row r="41" spans="1:72" x14ac:dyDescent="0.15">
      <c r="A41" t="s">
        <v>72</v>
      </c>
      <c r="B41" t="s">
        <v>989</v>
      </c>
      <c r="C41" t="s">
        <v>74</v>
      </c>
      <c r="D41" t="s">
        <v>74</v>
      </c>
      <c r="E41" t="s">
        <v>74</v>
      </c>
      <c r="F41" t="s">
        <v>990</v>
      </c>
      <c r="G41" t="s">
        <v>74</v>
      </c>
      <c r="H41" t="s">
        <v>74</v>
      </c>
      <c r="I41" t="s">
        <v>991</v>
      </c>
      <c r="J41" t="s">
        <v>992</v>
      </c>
      <c r="K41" t="s">
        <v>74</v>
      </c>
      <c r="L41" t="s">
        <v>74</v>
      </c>
      <c r="M41" t="s">
        <v>78</v>
      </c>
      <c r="N41" t="s">
        <v>79</v>
      </c>
      <c r="O41" t="s">
        <v>74</v>
      </c>
      <c r="P41" t="s">
        <v>74</v>
      </c>
      <c r="Q41" t="s">
        <v>74</v>
      </c>
      <c r="R41" t="s">
        <v>74</v>
      </c>
      <c r="S41" t="s">
        <v>74</v>
      </c>
      <c r="T41" t="s">
        <v>993</v>
      </c>
      <c r="U41" t="s">
        <v>994</v>
      </c>
      <c r="V41" t="s">
        <v>995</v>
      </c>
      <c r="W41" t="s">
        <v>996</v>
      </c>
      <c r="X41" t="s">
        <v>997</v>
      </c>
      <c r="Y41" t="s">
        <v>998</v>
      </c>
      <c r="Z41" t="s">
        <v>999</v>
      </c>
      <c r="AA41" t="s">
        <v>1000</v>
      </c>
      <c r="AB41" t="s">
        <v>1001</v>
      </c>
      <c r="AC41" t="s">
        <v>1002</v>
      </c>
      <c r="AD41" t="s">
        <v>1003</v>
      </c>
      <c r="AE41" t="s">
        <v>1004</v>
      </c>
      <c r="AF41" t="s">
        <v>74</v>
      </c>
      <c r="AG41">
        <v>67</v>
      </c>
      <c r="AH41">
        <v>27</v>
      </c>
      <c r="AI41">
        <v>29</v>
      </c>
      <c r="AJ41">
        <v>1</v>
      </c>
      <c r="AK41">
        <v>48</v>
      </c>
      <c r="AL41" t="s">
        <v>1005</v>
      </c>
      <c r="AM41" t="s">
        <v>1006</v>
      </c>
      <c r="AN41" t="s">
        <v>1007</v>
      </c>
      <c r="AO41" t="s">
        <v>1008</v>
      </c>
      <c r="AP41" t="s">
        <v>74</v>
      </c>
      <c r="AQ41" t="s">
        <v>74</v>
      </c>
      <c r="AR41" t="s">
        <v>1009</v>
      </c>
      <c r="AS41" t="s">
        <v>1010</v>
      </c>
      <c r="AT41" t="s">
        <v>985</v>
      </c>
      <c r="AU41">
        <v>2014</v>
      </c>
      <c r="AV41">
        <v>5</v>
      </c>
      <c r="AW41" t="s">
        <v>74</v>
      </c>
      <c r="AX41" t="s">
        <v>74</v>
      </c>
      <c r="AY41" t="s">
        <v>74</v>
      </c>
      <c r="AZ41" t="s">
        <v>74</v>
      </c>
      <c r="BA41" t="s">
        <v>74</v>
      </c>
      <c r="BB41" t="s">
        <v>74</v>
      </c>
      <c r="BC41" t="s">
        <v>74</v>
      </c>
      <c r="BD41">
        <v>515</v>
      </c>
      <c r="BE41" t="s">
        <v>1011</v>
      </c>
      <c r="BF41" t="str">
        <f>HYPERLINK("http://dx.doi.org/10.3389/fmicb.2014.00515","http://dx.doi.org/10.3389/fmicb.2014.00515")</f>
        <v>http://dx.doi.org/10.3389/fmicb.2014.00515</v>
      </c>
      <c r="BG41" t="s">
        <v>74</v>
      </c>
      <c r="BH41" t="s">
        <v>74</v>
      </c>
      <c r="BI41">
        <v>11</v>
      </c>
      <c r="BJ41" t="s">
        <v>1012</v>
      </c>
      <c r="BK41" t="s">
        <v>102</v>
      </c>
      <c r="BL41" t="s">
        <v>1012</v>
      </c>
      <c r="BM41" t="s">
        <v>1013</v>
      </c>
      <c r="BN41">
        <v>25324835</v>
      </c>
      <c r="BO41" t="s">
        <v>206</v>
      </c>
      <c r="BP41" t="s">
        <v>74</v>
      </c>
      <c r="BQ41" t="s">
        <v>74</v>
      </c>
      <c r="BR41" t="s">
        <v>105</v>
      </c>
      <c r="BS41" t="s">
        <v>1014</v>
      </c>
      <c r="BT41" t="str">
        <f>HYPERLINK("https%3A%2F%2Fwww.webofscience.com%2Fwos%2Fwoscc%2Ffull-record%2FWOS:000342488900001","View Full Record in Web of Science")</f>
        <v>View Full Record in Web of Science</v>
      </c>
    </row>
    <row r="42" spans="1:72" x14ac:dyDescent="0.15">
      <c r="A42" t="s">
        <v>72</v>
      </c>
      <c r="B42" t="s">
        <v>1015</v>
      </c>
      <c r="C42" t="s">
        <v>74</v>
      </c>
      <c r="D42" t="s">
        <v>74</v>
      </c>
      <c r="E42" t="s">
        <v>74</v>
      </c>
      <c r="F42" t="s">
        <v>1016</v>
      </c>
      <c r="G42" t="s">
        <v>74</v>
      </c>
      <c r="H42" t="s">
        <v>74</v>
      </c>
      <c r="I42" t="s">
        <v>1017</v>
      </c>
      <c r="J42" t="s">
        <v>1018</v>
      </c>
      <c r="K42" t="s">
        <v>74</v>
      </c>
      <c r="L42" t="s">
        <v>74</v>
      </c>
      <c r="M42" t="s">
        <v>78</v>
      </c>
      <c r="N42" t="s">
        <v>79</v>
      </c>
      <c r="O42" t="s">
        <v>74</v>
      </c>
      <c r="P42" t="s">
        <v>74</v>
      </c>
      <c r="Q42" t="s">
        <v>74</v>
      </c>
      <c r="R42" t="s">
        <v>74</v>
      </c>
      <c r="S42" t="s">
        <v>74</v>
      </c>
      <c r="T42" t="s">
        <v>74</v>
      </c>
      <c r="U42" t="s">
        <v>1019</v>
      </c>
      <c r="V42" t="s">
        <v>1020</v>
      </c>
      <c r="W42" t="s">
        <v>1021</v>
      </c>
      <c r="X42" t="s">
        <v>1022</v>
      </c>
      <c r="Y42" t="s">
        <v>1023</v>
      </c>
      <c r="Z42" t="s">
        <v>1024</v>
      </c>
      <c r="AA42" t="s">
        <v>1025</v>
      </c>
      <c r="AB42" t="s">
        <v>1026</v>
      </c>
      <c r="AC42" t="s">
        <v>1027</v>
      </c>
      <c r="AD42" t="s">
        <v>1028</v>
      </c>
      <c r="AE42" t="s">
        <v>1029</v>
      </c>
      <c r="AF42" t="s">
        <v>74</v>
      </c>
      <c r="AG42">
        <v>26</v>
      </c>
      <c r="AH42">
        <v>24</v>
      </c>
      <c r="AI42">
        <v>24</v>
      </c>
      <c r="AJ42">
        <v>0</v>
      </c>
      <c r="AK42">
        <v>16</v>
      </c>
      <c r="AL42" t="s">
        <v>331</v>
      </c>
      <c r="AM42" t="s">
        <v>332</v>
      </c>
      <c r="AN42" t="s">
        <v>333</v>
      </c>
      <c r="AO42" t="s">
        <v>1030</v>
      </c>
      <c r="AP42" t="s">
        <v>1031</v>
      </c>
      <c r="AQ42" t="s">
        <v>74</v>
      </c>
      <c r="AR42" t="s">
        <v>1032</v>
      </c>
      <c r="AS42" t="s">
        <v>1033</v>
      </c>
      <c r="AT42" t="s">
        <v>1034</v>
      </c>
      <c r="AU42">
        <v>2014</v>
      </c>
      <c r="AV42">
        <v>41</v>
      </c>
      <c r="AW42">
        <v>18</v>
      </c>
      <c r="AX42" t="s">
        <v>74</v>
      </c>
      <c r="AY42" t="s">
        <v>74</v>
      </c>
      <c r="AZ42" t="s">
        <v>74</v>
      </c>
      <c r="BA42" t="s">
        <v>74</v>
      </c>
      <c r="BB42">
        <v>6509</v>
      </c>
      <c r="BC42">
        <v>6514</v>
      </c>
      <c r="BD42" t="s">
        <v>74</v>
      </c>
      <c r="BE42" t="s">
        <v>1035</v>
      </c>
      <c r="BF42" t="str">
        <f>HYPERLINK("http://dx.doi.org/10.1002/2014GL061421","http://dx.doi.org/10.1002/2014GL061421")</f>
        <v>http://dx.doi.org/10.1002/2014GL061421</v>
      </c>
      <c r="BG42" t="s">
        <v>74</v>
      </c>
      <c r="BH42" t="s">
        <v>74</v>
      </c>
      <c r="BI42">
        <v>6</v>
      </c>
      <c r="BJ42" t="s">
        <v>685</v>
      </c>
      <c r="BK42" t="s">
        <v>102</v>
      </c>
      <c r="BL42" t="s">
        <v>686</v>
      </c>
      <c r="BM42" t="s">
        <v>1036</v>
      </c>
      <c r="BN42" t="s">
        <v>74</v>
      </c>
      <c r="BO42" t="s">
        <v>359</v>
      </c>
      <c r="BP42" t="s">
        <v>74</v>
      </c>
      <c r="BQ42" t="s">
        <v>74</v>
      </c>
      <c r="BR42" t="s">
        <v>105</v>
      </c>
      <c r="BS42" t="s">
        <v>1037</v>
      </c>
      <c r="BT42" t="str">
        <f>HYPERLINK("https%3A%2F%2Fwww.webofscience.com%2Fwos%2Fwoscc%2Ffull-record%2FWOS:000344913700026","View Full Record in Web of Science")</f>
        <v>View Full Record in Web of Science</v>
      </c>
    </row>
    <row r="43" spans="1:72" x14ac:dyDescent="0.15">
      <c r="A43" t="s">
        <v>72</v>
      </c>
      <c r="B43" t="s">
        <v>1038</v>
      </c>
      <c r="C43" t="s">
        <v>74</v>
      </c>
      <c r="D43" t="s">
        <v>74</v>
      </c>
      <c r="E43" t="s">
        <v>74</v>
      </c>
      <c r="F43" t="s">
        <v>1039</v>
      </c>
      <c r="G43" t="s">
        <v>74</v>
      </c>
      <c r="H43" t="s">
        <v>74</v>
      </c>
      <c r="I43" t="s">
        <v>1040</v>
      </c>
      <c r="J43" t="s">
        <v>1018</v>
      </c>
      <c r="K43" t="s">
        <v>74</v>
      </c>
      <c r="L43" t="s">
        <v>74</v>
      </c>
      <c r="M43" t="s">
        <v>78</v>
      </c>
      <c r="N43" t="s">
        <v>79</v>
      </c>
      <c r="O43" t="s">
        <v>74</v>
      </c>
      <c r="P43" t="s">
        <v>74</v>
      </c>
      <c r="Q43" t="s">
        <v>74</v>
      </c>
      <c r="R43" t="s">
        <v>74</v>
      </c>
      <c r="S43" t="s">
        <v>74</v>
      </c>
      <c r="T43" t="s">
        <v>74</v>
      </c>
      <c r="U43" t="s">
        <v>1041</v>
      </c>
      <c r="V43" t="s">
        <v>1042</v>
      </c>
      <c r="W43" t="s">
        <v>1043</v>
      </c>
      <c r="X43" t="s">
        <v>1044</v>
      </c>
      <c r="Y43" t="s">
        <v>1045</v>
      </c>
      <c r="Z43" t="s">
        <v>1046</v>
      </c>
      <c r="AA43" t="s">
        <v>1047</v>
      </c>
      <c r="AB43" t="s">
        <v>1048</v>
      </c>
      <c r="AC43" t="s">
        <v>1049</v>
      </c>
      <c r="AD43" t="s">
        <v>1050</v>
      </c>
      <c r="AE43" t="s">
        <v>1051</v>
      </c>
      <c r="AF43" t="s">
        <v>74</v>
      </c>
      <c r="AG43">
        <v>36</v>
      </c>
      <c r="AH43">
        <v>32</v>
      </c>
      <c r="AI43">
        <v>37</v>
      </c>
      <c r="AJ43">
        <v>0</v>
      </c>
      <c r="AK43">
        <v>19</v>
      </c>
      <c r="AL43" t="s">
        <v>331</v>
      </c>
      <c r="AM43" t="s">
        <v>332</v>
      </c>
      <c r="AN43" t="s">
        <v>333</v>
      </c>
      <c r="AO43" t="s">
        <v>1030</v>
      </c>
      <c r="AP43" t="s">
        <v>1031</v>
      </c>
      <c r="AQ43" t="s">
        <v>74</v>
      </c>
      <c r="AR43" t="s">
        <v>1032</v>
      </c>
      <c r="AS43" t="s">
        <v>1033</v>
      </c>
      <c r="AT43" t="s">
        <v>1034</v>
      </c>
      <c r="AU43">
        <v>2014</v>
      </c>
      <c r="AV43">
        <v>41</v>
      </c>
      <c r="AW43">
        <v>18</v>
      </c>
      <c r="AX43" t="s">
        <v>74</v>
      </c>
      <c r="AY43" t="s">
        <v>74</v>
      </c>
      <c r="AZ43" t="s">
        <v>74</v>
      </c>
      <c r="BA43" t="s">
        <v>74</v>
      </c>
      <c r="BB43">
        <v>6530</v>
      </c>
      <c r="BC43">
        <v>6537</v>
      </c>
      <c r="BD43" t="s">
        <v>74</v>
      </c>
      <c r="BE43" t="s">
        <v>1052</v>
      </c>
      <c r="BF43" t="str">
        <f>HYPERLINK("http://dx.doi.org/10.1002/2014GL061216","http://dx.doi.org/10.1002/2014GL061216")</f>
        <v>http://dx.doi.org/10.1002/2014GL061216</v>
      </c>
      <c r="BG43" t="s">
        <v>74</v>
      </c>
      <c r="BH43" t="s">
        <v>74</v>
      </c>
      <c r="BI43">
        <v>8</v>
      </c>
      <c r="BJ43" t="s">
        <v>685</v>
      </c>
      <c r="BK43" t="s">
        <v>102</v>
      </c>
      <c r="BL43" t="s">
        <v>686</v>
      </c>
      <c r="BM43" t="s">
        <v>1036</v>
      </c>
      <c r="BN43" t="s">
        <v>74</v>
      </c>
      <c r="BO43" t="s">
        <v>1053</v>
      </c>
      <c r="BP43" t="s">
        <v>74</v>
      </c>
      <c r="BQ43" t="s">
        <v>74</v>
      </c>
      <c r="BR43" t="s">
        <v>105</v>
      </c>
      <c r="BS43" t="s">
        <v>1054</v>
      </c>
      <c r="BT43" t="str">
        <f>HYPERLINK("https%3A%2F%2Fwww.webofscience.com%2Fwos%2Fwoscc%2Ffull-record%2FWOS:000344913700029","View Full Record in Web of Science")</f>
        <v>View Full Record in Web of Science</v>
      </c>
    </row>
    <row r="44" spans="1:72" x14ac:dyDescent="0.15">
      <c r="A44" t="s">
        <v>72</v>
      </c>
      <c r="B44" t="s">
        <v>1055</v>
      </c>
      <c r="C44" t="s">
        <v>74</v>
      </c>
      <c r="D44" t="s">
        <v>74</v>
      </c>
      <c r="E44" t="s">
        <v>74</v>
      </c>
      <c r="F44" t="s">
        <v>1056</v>
      </c>
      <c r="G44" t="s">
        <v>74</v>
      </c>
      <c r="H44" t="s">
        <v>74</v>
      </c>
      <c r="I44" t="s">
        <v>1057</v>
      </c>
      <c r="J44" t="s">
        <v>1058</v>
      </c>
      <c r="K44" t="s">
        <v>74</v>
      </c>
      <c r="L44" t="s">
        <v>74</v>
      </c>
      <c r="M44" t="s">
        <v>78</v>
      </c>
      <c r="N44" t="s">
        <v>185</v>
      </c>
      <c r="O44" t="s">
        <v>74</v>
      </c>
      <c r="P44" t="s">
        <v>74</v>
      </c>
      <c r="Q44" t="s">
        <v>74</v>
      </c>
      <c r="R44" t="s">
        <v>74</v>
      </c>
      <c r="S44" t="s">
        <v>74</v>
      </c>
      <c r="T44" t="s">
        <v>1059</v>
      </c>
      <c r="U44" t="s">
        <v>1060</v>
      </c>
      <c r="V44" t="s">
        <v>1061</v>
      </c>
      <c r="W44" t="s">
        <v>1062</v>
      </c>
      <c r="X44" t="s">
        <v>1022</v>
      </c>
      <c r="Y44" t="s">
        <v>1063</v>
      </c>
      <c r="Z44" t="s">
        <v>1064</v>
      </c>
      <c r="AA44" t="s">
        <v>1065</v>
      </c>
      <c r="AB44" t="s">
        <v>1066</v>
      </c>
      <c r="AC44" t="s">
        <v>1067</v>
      </c>
      <c r="AD44" t="s">
        <v>1068</v>
      </c>
      <c r="AE44" t="s">
        <v>1069</v>
      </c>
      <c r="AF44" t="s">
        <v>74</v>
      </c>
      <c r="AG44">
        <v>92</v>
      </c>
      <c r="AH44">
        <v>6</v>
      </c>
      <c r="AI44">
        <v>7</v>
      </c>
      <c r="AJ44">
        <v>2</v>
      </c>
      <c r="AK44">
        <v>60</v>
      </c>
      <c r="AL44" t="s">
        <v>1070</v>
      </c>
      <c r="AM44" t="s">
        <v>654</v>
      </c>
      <c r="AN44" t="s">
        <v>1071</v>
      </c>
      <c r="AO44" t="s">
        <v>1072</v>
      </c>
      <c r="AP44" t="s">
        <v>1073</v>
      </c>
      <c r="AQ44" t="s">
        <v>74</v>
      </c>
      <c r="AR44" t="s">
        <v>1074</v>
      </c>
      <c r="AS44" t="s">
        <v>1075</v>
      </c>
      <c r="AT44" t="s">
        <v>1034</v>
      </c>
      <c r="AU44">
        <v>2014</v>
      </c>
      <c r="AV44">
        <v>372</v>
      </c>
      <c r="AW44">
        <v>2025</v>
      </c>
      <c r="AX44" t="s">
        <v>74</v>
      </c>
      <c r="AY44" t="s">
        <v>74</v>
      </c>
      <c r="AZ44" t="s">
        <v>258</v>
      </c>
      <c r="BA44" t="s">
        <v>74</v>
      </c>
      <c r="BB44" t="s">
        <v>74</v>
      </c>
      <c r="BC44" t="s">
        <v>74</v>
      </c>
      <c r="BD44">
        <v>20130337</v>
      </c>
      <c r="BE44" t="s">
        <v>1076</v>
      </c>
      <c r="BF44" t="str">
        <f>HYPERLINK("http://dx.doi.org/10.1098/rsta.2013.0337","http://dx.doi.org/10.1098/rsta.2013.0337")</f>
        <v>http://dx.doi.org/10.1098/rsta.2013.0337</v>
      </c>
      <c r="BG44" t="s">
        <v>74</v>
      </c>
      <c r="BH44" t="s">
        <v>74</v>
      </c>
      <c r="BI44">
        <v>15</v>
      </c>
      <c r="BJ44" t="s">
        <v>660</v>
      </c>
      <c r="BK44" t="s">
        <v>102</v>
      </c>
      <c r="BL44" t="s">
        <v>661</v>
      </c>
      <c r="BM44" t="s">
        <v>1077</v>
      </c>
      <c r="BN44">
        <v>25157189</v>
      </c>
      <c r="BO44" t="s">
        <v>1078</v>
      </c>
      <c r="BP44" t="s">
        <v>74</v>
      </c>
      <c r="BQ44" t="s">
        <v>74</v>
      </c>
      <c r="BR44" t="s">
        <v>105</v>
      </c>
      <c r="BS44" t="s">
        <v>1079</v>
      </c>
      <c r="BT44" t="str">
        <f>HYPERLINK("https%3A%2F%2Fwww.webofscience.com%2Fwos%2Fwoscc%2Ffull-record%2FWOS:000340801800005","View Full Record in Web of Science")</f>
        <v>View Full Record in Web of Science</v>
      </c>
    </row>
    <row r="45" spans="1:72" x14ac:dyDescent="0.15">
      <c r="A45" t="s">
        <v>72</v>
      </c>
      <c r="B45" t="s">
        <v>1080</v>
      </c>
      <c r="C45" t="s">
        <v>74</v>
      </c>
      <c r="D45" t="s">
        <v>74</v>
      </c>
      <c r="E45" t="s">
        <v>74</v>
      </c>
      <c r="F45" t="s">
        <v>1081</v>
      </c>
      <c r="G45" t="s">
        <v>74</v>
      </c>
      <c r="H45" t="s">
        <v>74</v>
      </c>
      <c r="I45" t="s">
        <v>1082</v>
      </c>
      <c r="J45" t="s">
        <v>1083</v>
      </c>
      <c r="K45" t="s">
        <v>74</v>
      </c>
      <c r="L45" t="s">
        <v>74</v>
      </c>
      <c r="M45" t="s">
        <v>78</v>
      </c>
      <c r="N45" t="s">
        <v>1084</v>
      </c>
      <c r="O45" t="s">
        <v>74</v>
      </c>
      <c r="P45" t="s">
        <v>74</v>
      </c>
      <c r="Q45" t="s">
        <v>74</v>
      </c>
      <c r="R45" t="s">
        <v>74</v>
      </c>
      <c r="S45" t="s">
        <v>74</v>
      </c>
      <c r="T45" t="s">
        <v>74</v>
      </c>
      <c r="U45" t="s">
        <v>74</v>
      </c>
      <c r="V45" t="s">
        <v>74</v>
      </c>
      <c r="W45" t="s">
        <v>1085</v>
      </c>
      <c r="X45" t="s">
        <v>1086</v>
      </c>
      <c r="Y45" t="s">
        <v>1087</v>
      </c>
      <c r="Z45" t="s">
        <v>74</v>
      </c>
      <c r="AA45" t="s">
        <v>1088</v>
      </c>
      <c r="AB45" t="s">
        <v>1089</v>
      </c>
      <c r="AC45" t="s">
        <v>74</v>
      </c>
      <c r="AD45" t="s">
        <v>74</v>
      </c>
      <c r="AE45" t="s">
        <v>74</v>
      </c>
      <c r="AF45" t="s">
        <v>74</v>
      </c>
      <c r="AG45">
        <v>1</v>
      </c>
      <c r="AH45">
        <v>1</v>
      </c>
      <c r="AI45">
        <v>1</v>
      </c>
      <c r="AJ45">
        <v>0</v>
      </c>
      <c r="AK45">
        <v>22</v>
      </c>
      <c r="AL45" t="s">
        <v>1090</v>
      </c>
      <c r="AM45" t="s">
        <v>1091</v>
      </c>
      <c r="AN45" t="s">
        <v>1092</v>
      </c>
      <c r="AO45" t="s">
        <v>1093</v>
      </c>
      <c r="AP45" t="s">
        <v>74</v>
      </c>
      <c r="AQ45" t="s">
        <v>74</v>
      </c>
      <c r="AR45" t="s">
        <v>1083</v>
      </c>
      <c r="AS45" t="s">
        <v>1094</v>
      </c>
      <c r="AT45" t="s">
        <v>1095</v>
      </c>
      <c r="AU45">
        <v>2014</v>
      </c>
      <c r="AV45">
        <v>9</v>
      </c>
      <c r="AW45">
        <v>9</v>
      </c>
      <c r="AX45" t="s">
        <v>74</v>
      </c>
      <c r="AY45" t="s">
        <v>74</v>
      </c>
      <c r="AZ45" t="s">
        <v>74</v>
      </c>
      <c r="BA45" t="s">
        <v>74</v>
      </c>
      <c r="BB45" t="s">
        <v>74</v>
      </c>
      <c r="BC45" t="s">
        <v>74</v>
      </c>
      <c r="BD45" t="s">
        <v>1096</v>
      </c>
      <c r="BE45" t="s">
        <v>1097</v>
      </c>
      <c r="BF45" t="str">
        <f>HYPERLINK("http://dx.doi.org/10.1371/journal.pone.0109468","http://dx.doi.org/10.1371/journal.pone.0109468")</f>
        <v>http://dx.doi.org/10.1371/journal.pone.0109468</v>
      </c>
      <c r="BG45" t="s">
        <v>74</v>
      </c>
      <c r="BH45" t="s">
        <v>74</v>
      </c>
      <c r="BI45">
        <v>1</v>
      </c>
      <c r="BJ45" t="s">
        <v>660</v>
      </c>
      <c r="BK45" t="s">
        <v>102</v>
      </c>
      <c r="BL45" t="s">
        <v>661</v>
      </c>
      <c r="BM45" t="s">
        <v>1098</v>
      </c>
      <c r="BN45" t="s">
        <v>74</v>
      </c>
      <c r="BO45" t="s">
        <v>1099</v>
      </c>
      <c r="BP45" t="s">
        <v>74</v>
      </c>
      <c r="BQ45" t="s">
        <v>74</v>
      </c>
      <c r="BR45" t="s">
        <v>105</v>
      </c>
      <c r="BS45" t="s">
        <v>1100</v>
      </c>
      <c r="BT45" t="str">
        <f>HYPERLINK("https%3A%2F%2Fwww.webofscience.com%2Fwos%2Fwoscc%2Ffull-record%2FWOS:000342685600106","View Full Record in Web of Science")</f>
        <v>View Full Record in Web of Science</v>
      </c>
    </row>
    <row r="46" spans="1:72" x14ac:dyDescent="0.15">
      <c r="A46" t="s">
        <v>72</v>
      </c>
      <c r="B46" t="s">
        <v>1101</v>
      </c>
      <c r="C46" t="s">
        <v>74</v>
      </c>
      <c r="D46" t="s">
        <v>74</v>
      </c>
      <c r="E46" t="s">
        <v>74</v>
      </c>
      <c r="F46" t="s">
        <v>1102</v>
      </c>
      <c r="G46" t="s">
        <v>74</v>
      </c>
      <c r="H46" t="s">
        <v>74</v>
      </c>
      <c r="I46" t="s">
        <v>1103</v>
      </c>
      <c r="J46" t="s">
        <v>1104</v>
      </c>
      <c r="K46" t="s">
        <v>74</v>
      </c>
      <c r="L46" t="s">
        <v>74</v>
      </c>
      <c r="M46" t="s">
        <v>78</v>
      </c>
      <c r="N46" t="s">
        <v>79</v>
      </c>
      <c r="O46" t="s">
        <v>74</v>
      </c>
      <c r="P46" t="s">
        <v>74</v>
      </c>
      <c r="Q46" t="s">
        <v>74</v>
      </c>
      <c r="R46" t="s">
        <v>74</v>
      </c>
      <c r="S46" t="s">
        <v>74</v>
      </c>
      <c r="T46" t="s">
        <v>1105</v>
      </c>
      <c r="U46" t="s">
        <v>1106</v>
      </c>
      <c r="V46" t="s">
        <v>1107</v>
      </c>
      <c r="W46" t="s">
        <v>1108</v>
      </c>
      <c r="X46" t="s">
        <v>1109</v>
      </c>
      <c r="Y46" t="s">
        <v>1110</v>
      </c>
      <c r="Z46" t="s">
        <v>1111</v>
      </c>
      <c r="AA46" t="s">
        <v>1112</v>
      </c>
      <c r="AB46" t="s">
        <v>1113</v>
      </c>
      <c r="AC46" t="s">
        <v>1114</v>
      </c>
      <c r="AD46" t="s">
        <v>1115</v>
      </c>
      <c r="AE46" t="s">
        <v>1116</v>
      </c>
      <c r="AF46" t="s">
        <v>74</v>
      </c>
      <c r="AG46">
        <v>44</v>
      </c>
      <c r="AH46">
        <v>18</v>
      </c>
      <c r="AI46">
        <v>18</v>
      </c>
      <c r="AJ46">
        <v>1</v>
      </c>
      <c r="AK46">
        <v>14</v>
      </c>
      <c r="AL46" t="s">
        <v>1117</v>
      </c>
      <c r="AM46" t="s">
        <v>1118</v>
      </c>
      <c r="AN46" t="s">
        <v>1119</v>
      </c>
      <c r="AO46" t="s">
        <v>1120</v>
      </c>
      <c r="AP46" t="s">
        <v>74</v>
      </c>
      <c r="AQ46" t="s">
        <v>74</v>
      </c>
      <c r="AR46" t="s">
        <v>1121</v>
      </c>
      <c r="AS46" t="s">
        <v>1122</v>
      </c>
      <c r="AT46" t="s">
        <v>1123</v>
      </c>
      <c r="AU46">
        <v>2014</v>
      </c>
      <c r="AV46">
        <v>107</v>
      </c>
      <c r="AW46">
        <v>6</v>
      </c>
      <c r="AX46" t="s">
        <v>74</v>
      </c>
      <c r="AY46" t="s">
        <v>74</v>
      </c>
      <c r="AZ46" t="s">
        <v>74</v>
      </c>
      <c r="BA46" t="s">
        <v>74</v>
      </c>
      <c r="BB46">
        <v>1019</v>
      </c>
      <c r="BC46">
        <v>1026</v>
      </c>
      <c r="BD46" t="s">
        <v>74</v>
      </c>
      <c r="BE46" t="s">
        <v>74</v>
      </c>
      <c r="BF46" t="s">
        <v>74</v>
      </c>
      <c r="BG46" t="s">
        <v>74</v>
      </c>
      <c r="BH46" t="s">
        <v>74</v>
      </c>
      <c r="BI46">
        <v>8</v>
      </c>
      <c r="BJ46" t="s">
        <v>660</v>
      </c>
      <c r="BK46" t="s">
        <v>102</v>
      </c>
      <c r="BL46" t="s">
        <v>661</v>
      </c>
      <c r="BM46" t="s">
        <v>1124</v>
      </c>
      <c r="BN46" t="s">
        <v>74</v>
      </c>
      <c r="BO46" t="s">
        <v>74</v>
      </c>
      <c r="BP46" t="s">
        <v>74</v>
      </c>
      <c r="BQ46" t="s">
        <v>74</v>
      </c>
      <c r="BR46" t="s">
        <v>105</v>
      </c>
      <c r="BS46" t="s">
        <v>1125</v>
      </c>
      <c r="BT46" t="str">
        <f>HYPERLINK("https%3A%2F%2Fwww.webofscience.com%2Fwos%2Fwoscc%2Ffull-record%2FWOS:000342547600027","View Full Record in Web of Science")</f>
        <v>View Full Record in Web of Science</v>
      </c>
    </row>
    <row r="47" spans="1:72" x14ac:dyDescent="0.15">
      <c r="A47" t="s">
        <v>72</v>
      </c>
      <c r="B47" t="s">
        <v>1126</v>
      </c>
      <c r="C47" t="s">
        <v>74</v>
      </c>
      <c r="D47" t="s">
        <v>74</v>
      </c>
      <c r="E47" t="s">
        <v>74</v>
      </c>
      <c r="F47" t="s">
        <v>1127</v>
      </c>
      <c r="G47" t="s">
        <v>74</v>
      </c>
      <c r="H47" t="s">
        <v>74</v>
      </c>
      <c r="I47" t="s">
        <v>1128</v>
      </c>
      <c r="J47" t="s">
        <v>1129</v>
      </c>
      <c r="K47" t="s">
        <v>74</v>
      </c>
      <c r="L47" t="s">
        <v>74</v>
      </c>
      <c r="M47" t="s">
        <v>78</v>
      </c>
      <c r="N47" t="s">
        <v>1130</v>
      </c>
      <c r="O47" t="s">
        <v>74</v>
      </c>
      <c r="P47" t="s">
        <v>74</v>
      </c>
      <c r="Q47" t="s">
        <v>74</v>
      </c>
      <c r="R47" t="s">
        <v>74</v>
      </c>
      <c r="S47" t="s">
        <v>74</v>
      </c>
      <c r="T47" t="s">
        <v>74</v>
      </c>
      <c r="U47" t="s">
        <v>74</v>
      </c>
      <c r="V47" t="s">
        <v>74</v>
      </c>
      <c r="W47" t="s">
        <v>1131</v>
      </c>
      <c r="X47" t="s">
        <v>1132</v>
      </c>
      <c r="Y47" t="s">
        <v>1133</v>
      </c>
      <c r="Z47" t="s">
        <v>1134</v>
      </c>
      <c r="AA47" t="s">
        <v>74</v>
      </c>
      <c r="AB47" t="s">
        <v>74</v>
      </c>
      <c r="AC47" t="s">
        <v>74</v>
      </c>
      <c r="AD47" t="s">
        <v>74</v>
      </c>
      <c r="AE47" t="s">
        <v>74</v>
      </c>
      <c r="AF47" t="s">
        <v>74</v>
      </c>
      <c r="AG47">
        <v>1</v>
      </c>
      <c r="AH47">
        <v>1</v>
      </c>
      <c r="AI47">
        <v>1</v>
      </c>
      <c r="AJ47">
        <v>0</v>
      </c>
      <c r="AK47">
        <v>11</v>
      </c>
      <c r="AL47" t="s">
        <v>653</v>
      </c>
      <c r="AM47" t="s">
        <v>654</v>
      </c>
      <c r="AN47" t="s">
        <v>655</v>
      </c>
      <c r="AO47" t="s">
        <v>1135</v>
      </c>
      <c r="AP47" t="s">
        <v>1136</v>
      </c>
      <c r="AQ47" t="s">
        <v>74</v>
      </c>
      <c r="AR47" t="s">
        <v>1129</v>
      </c>
      <c r="AS47" t="s">
        <v>1137</v>
      </c>
      <c r="AT47" t="s">
        <v>1123</v>
      </c>
      <c r="AU47">
        <v>2014</v>
      </c>
      <c r="AV47">
        <v>513</v>
      </c>
      <c r="AW47">
        <v>7519</v>
      </c>
      <c r="AX47" t="s">
        <v>74</v>
      </c>
      <c r="AY47" t="s">
        <v>74</v>
      </c>
      <c r="AZ47" t="s">
        <v>74</v>
      </c>
      <c r="BA47" t="s">
        <v>74</v>
      </c>
      <c r="BB47">
        <v>487</v>
      </c>
      <c r="BC47">
        <v>487</v>
      </c>
      <c r="BD47" t="s">
        <v>74</v>
      </c>
      <c r="BE47" t="s">
        <v>1138</v>
      </c>
      <c r="BF47" t="str">
        <f>HYPERLINK("http://dx.doi.org/10.1038/513487a","http://dx.doi.org/10.1038/513487a")</f>
        <v>http://dx.doi.org/10.1038/513487a</v>
      </c>
      <c r="BG47" t="s">
        <v>74</v>
      </c>
      <c r="BH47" t="s">
        <v>74</v>
      </c>
      <c r="BI47">
        <v>1</v>
      </c>
      <c r="BJ47" t="s">
        <v>660</v>
      </c>
      <c r="BK47" t="s">
        <v>102</v>
      </c>
      <c r="BL47" t="s">
        <v>661</v>
      </c>
      <c r="BM47" t="s">
        <v>1139</v>
      </c>
      <c r="BN47">
        <v>25254464</v>
      </c>
      <c r="BO47" t="s">
        <v>179</v>
      </c>
      <c r="BP47" t="s">
        <v>74</v>
      </c>
      <c r="BQ47" t="s">
        <v>74</v>
      </c>
      <c r="BR47" t="s">
        <v>105</v>
      </c>
      <c r="BS47" t="s">
        <v>1140</v>
      </c>
      <c r="BT47" t="str">
        <f>HYPERLINK("https%3A%2F%2Fwww.webofscience.com%2Fwos%2Fwoscc%2Ffull-record%2FWOS:000342075800019","View Full Record in Web of Science")</f>
        <v>View Full Record in Web of Science</v>
      </c>
    </row>
    <row r="48" spans="1:72" x14ac:dyDescent="0.15">
      <c r="A48" t="s">
        <v>72</v>
      </c>
      <c r="B48" t="s">
        <v>1141</v>
      </c>
      <c r="C48" t="s">
        <v>74</v>
      </c>
      <c r="D48" t="s">
        <v>74</v>
      </c>
      <c r="E48" t="s">
        <v>74</v>
      </c>
      <c r="F48" t="s">
        <v>1142</v>
      </c>
      <c r="G48" t="s">
        <v>74</v>
      </c>
      <c r="H48" t="s">
        <v>74</v>
      </c>
      <c r="I48" t="s">
        <v>1143</v>
      </c>
      <c r="J48" t="s">
        <v>1144</v>
      </c>
      <c r="K48" t="s">
        <v>74</v>
      </c>
      <c r="L48" t="s">
        <v>74</v>
      </c>
      <c r="M48" t="s">
        <v>78</v>
      </c>
      <c r="N48" t="s">
        <v>79</v>
      </c>
      <c r="O48" t="s">
        <v>74</v>
      </c>
      <c r="P48" t="s">
        <v>74</v>
      </c>
      <c r="Q48" t="s">
        <v>74</v>
      </c>
      <c r="R48" t="s">
        <v>74</v>
      </c>
      <c r="S48" t="s">
        <v>74</v>
      </c>
      <c r="T48" t="s">
        <v>1145</v>
      </c>
      <c r="U48" t="s">
        <v>1146</v>
      </c>
      <c r="V48" t="s">
        <v>1147</v>
      </c>
      <c r="W48" t="s">
        <v>1148</v>
      </c>
      <c r="X48" t="s">
        <v>1149</v>
      </c>
      <c r="Y48" t="s">
        <v>1150</v>
      </c>
      <c r="Z48" t="s">
        <v>1151</v>
      </c>
      <c r="AA48" t="s">
        <v>1152</v>
      </c>
      <c r="AB48" t="s">
        <v>1153</v>
      </c>
      <c r="AC48" t="s">
        <v>1154</v>
      </c>
      <c r="AD48" t="s">
        <v>1154</v>
      </c>
      <c r="AE48" t="s">
        <v>1155</v>
      </c>
      <c r="AF48" t="s">
        <v>74</v>
      </c>
      <c r="AG48">
        <v>74</v>
      </c>
      <c r="AH48">
        <v>9</v>
      </c>
      <c r="AI48">
        <v>9</v>
      </c>
      <c r="AJ48">
        <v>0</v>
      </c>
      <c r="AK48">
        <v>47</v>
      </c>
      <c r="AL48" t="s">
        <v>1156</v>
      </c>
      <c r="AM48" t="s">
        <v>1157</v>
      </c>
      <c r="AN48" t="s">
        <v>1158</v>
      </c>
      <c r="AO48" t="s">
        <v>1159</v>
      </c>
      <c r="AP48" t="s">
        <v>1160</v>
      </c>
      <c r="AQ48" t="s">
        <v>74</v>
      </c>
      <c r="AR48" t="s">
        <v>1161</v>
      </c>
      <c r="AS48" t="s">
        <v>1162</v>
      </c>
      <c r="AT48" t="s">
        <v>1163</v>
      </c>
      <c r="AU48">
        <v>2014</v>
      </c>
      <c r="AV48">
        <v>511</v>
      </c>
      <c r="AW48" t="s">
        <v>74</v>
      </c>
      <c r="AX48" t="s">
        <v>74</v>
      </c>
      <c r="AY48" t="s">
        <v>74</v>
      </c>
      <c r="AZ48" t="s">
        <v>74</v>
      </c>
      <c r="BA48" t="s">
        <v>74</v>
      </c>
      <c r="BB48">
        <v>249</v>
      </c>
      <c r="BC48">
        <v>263</v>
      </c>
      <c r="BD48" t="s">
        <v>74</v>
      </c>
      <c r="BE48" t="s">
        <v>1164</v>
      </c>
      <c r="BF48" t="str">
        <f>HYPERLINK("http://dx.doi.org/10.3354/meps10886","http://dx.doi.org/10.3354/meps10886")</f>
        <v>http://dx.doi.org/10.3354/meps10886</v>
      </c>
      <c r="BG48" t="s">
        <v>74</v>
      </c>
      <c r="BH48" t="s">
        <v>74</v>
      </c>
      <c r="BI48">
        <v>15</v>
      </c>
      <c r="BJ48" t="s">
        <v>1165</v>
      </c>
      <c r="BK48" t="s">
        <v>102</v>
      </c>
      <c r="BL48" t="s">
        <v>1166</v>
      </c>
      <c r="BM48" t="s">
        <v>1167</v>
      </c>
      <c r="BN48" t="s">
        <v>74</v>
      </c>
      <c r="BO48" t="s">
        <v>179</v>
      </c>
      <c r="BP48" t="s">
        <v>74</v>
      </c>
      <c r="BQ48" t="s">
        <v>74</v>
      </c>
      <c r="BR48" t="s">
        <v>105</v>
      </c>
      <c r="BS48" t="s">
        <v>1168</v>
      </c>
      <c r="BT48" t="str">
        <f>HYPERLINK("https%3A%2F%2Fwww.webofscience.com%2Fwos%2Fwoscc%2Ffull-record%2FWOS:000342924200020","View Full Record in Web of Science")</f>
        <v>View Full Record in Web of Science</v>
      </c>
    </row>
    <row r="49" spans="1:72" x14ac:dyDescent="0.15">
      <c r="A49" t="s">
        <v>72</v>
      </c>
      <c r="B49" t="s">
        <v>1169</v>
      </c>
      <c r="C49" t="s">
        <v>74</v>
      </c>
      <c r="D49" t="s">
        <v>74</v>
      </c>
      <c r="E49" t="s">
        <v>74</v>
      </c>
      <c r="F49" t="s">
        <v>1170</v>
      </c>
      <c r="G49" t="s">
        <v>74</v>
      </c>
      <c r="H49" t="s">
        <v>74</v>
      </c>
      <c r="I49" t="s">
        <v>1171</v>
      </c>
      <c r="J49" t="s">
        <v>1172</v>
      </c>
      <c r="K49" t="s">
        <v>74</v>
      </c>
      <c r="L49" t="s">
        <v>74</v>
      </c>
      <c r="M49" t="s">
        <v>78</v>
      </c>
      <c r="N49" t="s">
        <v>79</v>
      </c>
      <c r="O49" t="s">
        <v>74</v>
      </c>
      <c r="P49" t="s">
        <v>74</v>
      </c>
      <c r="Q49" t="s">
        <v>74</v>
      </c>
      <c r="R49" t="s">
        <v>74</v>
      </c>
      <c r="S49" t="s">
        <v>74</v>
      </c>
      <c r="T49" t="s">
        <v>1173</v>
      </c>
      <c r="U49" t="s">
        <v>1174</v>
      </c>
      <c r="V49" t="s">
        <v>1175</v>
      </c>
      <c r="W49" t="s">
        <v>1176</v>
      </c>
      <c r="X49" t="s">
        <v>1177</v>
      </c>
      <c r="Y49" t="s">
        <v>1178</v>
      </c>
      <c r="Z49" t="s">
        <v>1179</v>
      </c>
      <c r="AA49" t="s">
        <v>1180</v>
      </c>
      <c r="AB49" t="s">
        <v>74</v>
      </c>
      <c r="AC49" t="s">
        <v>74</v>
      </c>
      <c r="AD49" t="s">
        <v>74</v>
      </c>
      <c r="AE49" t="s">
        <v>74</v>
      </c>
      <c r="AF49" t="s">
        <v>74</v>
      </c>
      <c r="AG49">
        <v>28</v>
      </c>
      <c r="AH49">
        <v>3</v>
      </c>
      <c r="AI49">
        <v>4</v>
      </c>
      <c r="AJ49">
        <v>0</v>
      </c>
      <c r="AK49">
        <v>17</v>
      </c>
      <c r="AL49" t="s">
        <v>1181</v>
      </c>
      <c r="AM49" t="s">
        <v>654</v>
      </c>
      <c r="AN49" t="s">
        <v>1182</v>
      </c>
      <c r="AO49" t="s">
        <v>1183</v>
      </c>
      <c r="AP49" t="s">
        <v>74</v>
      </c>
      <c r="AQ49" t="s">
        <v>74</v>
      </c>
      <c r="AR49" t="s">
        <v>1172</v>
      </c>
      <c r="AS49" t="s">
        <v>1184</v>
      </c>
      <c r="AT49" t="s">
        <v>1185</v>
      </c>
      <c r="AU49">
        <v>2014</v>
      </c>
      <c r="AV49">
        <v>2</v>
      </c>
      <c r="AW49" t="s">
        <v>74</v>
      </c>
      <c r="AX49" t="s">
        <v>74</v>
      </c>
      <c r="AY49" t="s">
        <v>74</v>
      </c>
      <c r="AZ49" t="s">
        <v>74</v>
      </c>
      <c r="BA49" t="s">
        <v>74</v>
      </c>
      <c r="BB49" t="s">
        <v>74</v>
      </c>
      <c r="BC49" t="s">
        <v>74</v>
      </c>
      <c r="BD49" t="s">
        <v>1186</v>
      </c>
      <c r="BE49" t="s">
        <v>1187</v>
      </c>
      <c r="BF49" t="str">
        <f>HYPERLINK("http://dx.doi.org/10.7717/peerj.588","http://dx.doi.org/10.7717/peerj.588")</f>
        <v>http://dx.doi.org/10.7717/peerj.588</v>
      </c>
      <c r="BG49" t="s">
        <v>74</v>
      </c>
      <c r="BH49" t="s">
        <v>74</v>
      </c>
      <c r="BI49">
        <v>12</v>
      </c>
      <c r="BJ49" t="s">
        <v>660</v>
      </c>
      <c r="BK49" t="s">
        <v>102</v>
      </c>
      <c r="BL49" t="s">
        <v>661</v>
      </c>
      <c r="BM49" t="s">
        <v>1188</v>
      </c>
      <c r="BN49">
        <v>25279268</v>
      </c>
      <c r="BO49" t="s">
        <v>1189</v>
      </c>
      <c r="BP49" t="s">
        <v>74</v>
      </c>
      <c r="BQ49" t="s">
        <v>74</v>
      </c>
      <c r="BR49" t="s">
        <v>105</v>
      </c>
      <c r="BS49" t="s">
        <v>1190</v>
      </c>
      <c r="BT49" t="str">
        <f>HYPERLINK("https%3A%2F%2Fwww.webofscience.com%2Fwos%2Fwoscc%2Ffull-record%2FWOS:000347621300008","View Full Record in Web of Science")</f>
        <v>View Full Record in Web of Science</v>
      </c>
    </row>
    <row r="50" spans="1:72" x14ac:dyDescent="0.15">
      <c r="A50" t="s">
        <v>72</v>
      </c>
      <c r="B50" t="s">
        <v>1191</v>
      </c>
      <c r="C50" t="s">
        <v>74</v>
      </c>
      <c r="D50" t="s">
        <v>74</v>
      </c>
      <c r="E50" t="s">
        <v>74</v>
      </c>
      <c r="F50" t="s">
        <v>1192</v>
      </c>
      <c r="G50" t="s">
        <v>74</v>
      </c>
      <c r="H50" t="s">
        <v>74</v>
      </c>
      <c r="I50" t="s">
        <v>1193</v>
      </c>
      <c r="J50" t="s">
        <v>1194</v>
      </c>
      <c r="K50" t="s">
        <v>74</v>
      </c>
      <c r="L50" t="s">
        <v>74</v>
      </c>
      <c r="M50" t="s">
        <v>78</v>
      </c>
      <c r="N50" t="s">
        <v>79</v>
      </c>
      <c r="O50" t="s">
        <v>74</v>
      </c>
      <c r="P50" t="s">
        <v>74</v>
      </c>
      <c r="Q50" t="s">
        <v>74</v>
      </c>
      <c r="R50" t="s">
        <v>74</v>
      </c>
      <c r="S50" t="s">
        <v>74</v>
      </c>
      <c r="T50" t="s">
        <v>1195</v>
      </c>
      <c r="U50" t="s">
        <v>1196</v>
      </c>
      <c r="V50" t="s">
        <v>1197</v>
      </c>
      <c r="W50" t="s">
        <v>1198</v>
      </c>
      <c r="X50" t="s">
        <v>1199</v>
      </c>
      <c r="Y50" t="s">
        <v>1200</v>
      </c>
      <c r="Z50" t="s">
        <v>1201</v>
      </c>
      <c r="AA50" t="s">
        <v>1202</v>
      </c>
      <c r="AB50" t="s">
        <v>1203</v>
      </c>
      <c r="AC50" t="s">
        <v>1204</v>
      </c>
      <c r="AD50" t="s">
        <v>1205</v>
      </c>
      <c r="AE50" t="s">
        <v>1206</v>
      </c>
      <c r="AF50" t="s">
        <v>74</v>
      </c>
      <c r="AG50">
        <v>48</v>
      </c>
      <c r="AH50">
        <v>51</v>
      </c>
      <c r="AI50">
        <v>59</v>
      </c>
      <c r="AJ50">
        <v>1</v>
      </c>
      <c r="AK50">
        <v>22</v>
      </c>
      <c r="AL50" t="s">
        <v>1207</v>
      </c>
      <c r="AM50" t="s">
        <v>332</v>
      </c>
      <c r="AN50" t="s">
        <v>1208</v>
      </c>
      <c r="AO50" t="s">
        <v>1209</v>
      </c>
      <c r="AP50" t="s">
        <v>74</v>
      </c>
      <c r="AQ50" t="s">
        <v>74</v>
      </c>
      <c r="AR50" t="s">
        <v>1210</v>
      </c>
      <c r="AS50" t="s">
        <v>1211</v>
      </c>
      <c r="AT50" t="s">
        <v>1185</v>
      </c>
      <c r="AU50">
        <v>2014</v>
      </c>
      <c r="AV50">
        <v>111</v>
      </c>
      <c r="AW50">
        <v>38</v>
      </c>
      <c r="AX50" t="s">
        <v>74</v>
      </c>
      <c r="AY50" t="s">
        <v>74</v>
      </c>
      <c r="AZ50" t="s">
        <v>74</v>
      </c>
      <c r="BA50" t="s">
        <v>74</v>
      </c>
      <c r="BB50">
        <v>13840</v>
      </c>
      <c r="BC50">
        <v>13845</v>
      </c>
      <c r="BD50" t="s">
        <v>74</v>
      </c>
      <c r="BE50" t="s">
        <v>1212</v>
      </c>
      <c r="BF50" t="str">
        <f>HYPERLINK("http://dx.doi.org/10.1073/pnas.1323208111","http://dx.doi.org/10.1073/pnas.1323208111")</f>
        <v>http://dx.doi.org/10.1073/pnas.1323208111</v>
      </c>
      <c r="BG50" t="s">
        <v>74</v>
      </c>
      <c r="BH50" t="s">
        <v>74</v>
      </c>
      <c r="BI50">
        <v>6</v>
      </c>
      <c r="BJ50" t="s">
        <v>660</v>
      </c>
      <c r="BK50" t="s">
        <v>102</v>
      </c>
      <c r="BL50" t="s">
        <v>661</v>
      </c>
      <c r="BM50" t="s">
        <v>1213</v>
      </c>
      <c r="BN50">
        <v>25201976</v>
      </c>
      <c r="BO50" t="s">
        <v>1053</v>
      </c>
      <c r="BP50" t="s">
        <v>74</v>
      </c>
      <c r="BQ50" t="s">
        <v>74</v>
      </c>
      <c r="BR50" t="s">
        <v>105</v>
      </c>
      <c r="BS50" t="s">
        <v>1214</v>
      </c>
      <c r="BT50" t="str">
        <f>HYPERLINK("https%3A%2F%2Fwww.webofscience.com%2Fwos%2Fwoscc%2Ffull-record%2FWOS:000341988200047","View Full Record in Web of Science")</f>
        <v>View Full Record in Web of Science</v>
      </c>
    </row>
    <row r="51" spans="1:72" x14ac:dyDescent="0.15">
      <c r="A51" t="s">
        <v>72</v>
      </c>
      <c r="B51" t="s">
        <v>1215</v>
      </c>
      <c r="C51" t="s">
        <v>74</v>
      </c>
      <c r="D51" t="s">
        <v>74</v>
      </c>
      <c r="E51" t="s">
        <v>74</v>
      </c>
      <c r="F51" t="s">
        <v>1216</v>
      </c>
      <c r="G51" t="s">
        <v>74</v>
      </c>
      <c r="H51" t="s">
        <v>74</v>
      </c>
      <c r="I51" t="s">
        <v>1217</v>
      </c>
      <c r="J51" t="s">
        <v>1083</v>
      </c>
      <c r="K51" t="s">
        <v>74</v>
      </c>
      <c r="L51" t="s">
        <v>74</v>
      </c>
      <c r="M51" t="s">
        <v>78</v>
      </c>
      <c r="N51" t="s">
        <v>79</v>
      </c>
      <c r="O51" t="s">
        <v>74</v>
      </c>
      <c r="P51" t="s">
        <v>74</v>
      </c>
      <c r="Q51" t="s">
        <v>74</v>
      </c>
      <c r="R51" t="s">
        <v>74</v>
      </c>
      <c r="S51" t="s">
        <v>74</v>
      </c>
      <c r="T51" t="s">
        <v>74</v>
      </c>
      <c r="U51" t="s">
        <v>1218</v>
      </c>
      <c r="V51" t="s">
        <v>1219</v>
      </c>
      <c r="W51" t="s">
        <v>1220</v>
      </c>
      <c r="X51" t="s">
        <v>1221</v>
      </c>
      <c r="Y51" t="s">
        <v>1222</v>
      </c>
      <c r="Z51" t="s">
        <v>1223</v>
      </c>
      <c r="AA51" t="s">
        <v>74</v>
      </c>
      <c r="AB51" t="s">
        <v>1224</v>
      </c>
      <c r="AC51" t="s">
        <v>1225</v>
      </c>
      <c r="AD51" t="s">
        <v>1225</v>
      </c>
      <c r="AE51" t="s">
        <v>1226</v>
      </c>
      <c r="AF51" t="s">
        <v>74</v>
      </c>
      <c r="AG51">
        <v>46</v>
      </c>
      <c r="AH51">
        <v>14</v>
      </c>
      <c r="AI51">
        <v>17</v>
      </c>
      <c r="AJ51">
        <v>1</v>
      </c>
      <c r="AK51">
        <v>43</v>
      </c>
      <c r="AL51" t="s">
        <v>1090</v>
      </c>
      <c r="AM51" t="s">
        <v>1091</v>
      </c>
      <c r="AN51" t="s">
        <v>1092</v>
      </c>
      <c r="AO51" t="s">
        <v>1093</v>
      </c>
      <c r="AP51" t="s">
        <v>74</v>
      </c>
      <c r="AQ51" t="s">
        <v>74</v>
      </c>
      <c r="AR51" t="s">
        <v>1083</v>
      </c>
      <c r="AS51" t="s">
        <v>1094</v>
      </c>
      <c r="AT51" t="s">
        <v>1227</v>
      </c>
      <c r="AU51">
        <v>2014</v>
      </c>
      <c r="AV51">
        <v>9</v>
      </c>
      <c r="AW51">
        <v>9</v>
      </c>
      <c r="AX51" t="s">
        <v>74</v>
      </c>
      <c r="AY51" t="s">
        <v>74</v>
      </c>
      <c r="AZ51" t="s">
        <v>74</v>
      </c>
      <c r="BA51" t="s">
        <v>74</v>
      </c>
      <c r="BB51" t="s">
        <v>74</v>
      </c>
      <c r="BC51" t="s">
        <v>74</v>
      </c>
      <c r="BD51" t="s">
        <v>1228</v>
      </c>
      <c r="BE51" t="s">
        <v>1229</v>
      </c>
      <c r="BF51" t="str">
        <f>HYPERLINK("http://dx.doi.org/10.1371/journal.pone.0107740","http://dx.doi.org/10.1371/journal.pone.0107740")</f>
        <v>http://dx.doi.org/10.1371/journal.pone.0107740</v>
      </c>
      <c r="BG51" t="s">
        <v>74</v>
      </c>
      <c r="BH51" t="s">
        <v>74</v>
      </c>
      <c r="BI51">
        <v>11</v>
      </c>
      <c r="BJ51" t="s">
        <v>660</v>
      </c>
      <c r="BK51" t="s">
        <v>102</v>
      </c>
      <c r="BL51" t="s">
        <v>661</v>
      </c>
      <c r="BM51" t="s">
        <v>1230</v>
      </c>
      <c r="BN51">
        <v>25229644</v>
      </c>
      <c r="BO51" t="s">
        <v>1231</v>
      </c>
      <c r="BP51" t="s">
        <v>74</v>
      </c>
      <c r="BQ51" t="s">
        <v>74</v>
      </c>
      <c r="BR51" t="s">
        <v>105</v>
      </c>
      <c r="BS51" t="s">
        <v>1232</v>
      </c>
      <c r="BT51" t="str">
        <f>HYPERLINK("https%3A%2F%2Fwww.webofscience.com%2Fwos%2Fwoscc%2Ffull-record%2FWOS:000342123900068","View Full Record in Web of Science")</f>
        <v>View Full Record in Web of Science</v>
      </c>
    </row>
    <row r="52" spans="1:72" x14ac:dyDescent="0.15">
      <c r="A52" t="s">
        <v>72</v>
      </c>
      <c r="B52" t="s">
        <v>1233</v>
      </c>
      <c r="C52" t="s">
        <v>74</v>
      </c>
      <c r="D52" t="s">
        <v>74</v>
      </c>
      <c r="E52" t="s">
        <v>74</v>
      </c>
      <c r="F52" t="s">
        <v>1234</v>
      </c>
      <c r="G52" t="s">
        <v>74</v>
      </c>
      <c r="H52" t="s">
        <v>74</v>
      </c>
      <c r="I52" t="s">
        <v>1235</v>
      </c>
      <c r="J52" t="s">
        <v>1236</v>
      </c>
      <c r="K52" t="s">
        <v>74</v>
      </c>
      <c r="L52" t="s">
        <v>74</v>
      </c>
      <c r="M52" t="s">
        <v>78</v>
      </c>
      <c r="N52" t="s">
        <v>79</v>
      </c>
      <c r="O52" t="s">
        <v>74</v>
      </c>
      <c r="P52" t="s">
        <v>74</v>
      </c>
      <c r="Q52" t="s">
        <v>74</v>
      </c>
      <c r="R52" t="s">
        <v>74</v>
      </c>
      <c r="S52" t="s">
        <v>74</v>
      </c>
      <c r="T52" t="s">
        <v>1237</v>
      </c>
      <c r="U52" t="s">
        <v>74</v>
      </c>
      <c r="V52" t="s">
        <v>1238</v>
      </c>
      <c r="W52" t="s">
        <v>1239</v>
      </c>
      <c r="X52" t="s">
        <v>1240</v>
      </c>
      <c r="Y52" t="s">
        <v>1241</v>
      </c>
      <c r="Z52" t="s">
        <v>1242</v>
      </c>
      <c r="AA52" t="s">
        <v>74</v>
      </c>
      <c r="AB52" t="s">
        <v>74</v>
      </c>
      <c r="AC52" t="s">
        <v>1243</v>
      </c>
      <c r="AD52" t="s">
        <v>1244</v>
      </c>
      <c r="AE52" t="s">
        <v>1245</v>
      </c>
      <c r="AF52" t="s">
        <v>74</v>
      </c>
      <c r="AG52">
        <v>32</v>
      </c>
      <c r="AH52">
        <v>11</v>
      </c>
      <c r="AI52">
        <v>11</v>
      </c>
      <c r="AJ52">
        <v>0</v>
      </c>
      <c r="AK52">
        <v>12</v>
      </c>
      <c r="AL52" t="s">
        <v>1246</v>
      </c>
      <c r="AM52" t="s">
        <v>1247</v>
      </c>
      <c r="AN52" t="s">
        <v>1248</v>
      </c>
      <c r="AO52" t="s">
        <v>1249</v>
      </c>
      <c r="AP52" t="s">
        <v>1250</v>
      </c>
      <c r="AQ52" t="s">
        <v>74</v>
      </c>
      <c r="AR52" t="s">
        <v>1236</v>
      </c>
      <c r="AS52" t="s">
        <v>1251</v>
      </c>
      <c r="AT52" t="s">
        <v>1252</v>
      </c>
      <c r="AU52">
        <v>2014</v>
      </c>
      <c r="AV52">
        <v>3861</v>
      </c>
      <c r="AW52">
        <v>4</v>
      </c>
      <c r="AX52" t="s">
        <v>74</v>
      </c>
      <c r="AY52" t="s">
        <v>74</v>
      </c>
      <c r="AZ52" t="s">
        <v>74</v>
      </c>
      <c r="BA52" t="s">
        <v>74</v>
      </c>
      <c r="BB52">
        <v>333</v>
      </c>
      <c r="BC52">
        <v>344</v>
      </c>
      <c r="BD52" t="s">
        <v>74</v>
      </c>
      <c r="BE52" t="s">
        <v>1253</v>
      </c>
      <c r="BF52" t="str">
        <f>HYPERLINK("http://dx.doi.org/10.11646/zootaxa.3861.4.3","http://dx.doi.org/10.11646/zootaxa.3861.4.3")</f>
        <v>http://dx.doi.org/10.11646/zootaxa.3861.4.3</v>
      </c>
      <c r="BG52" t="s">
        <v>74</v>
      </c>
      <c r="BH52" t="s">
        <v>74</v>
      </c>
      <c r="BI52">
        <v>12</v>
      </c>
      <c r="BJ52" t="s">
        <v>1254</v>
      </c>
      <c r="BK52" t="s">
        <v>102</v>
      </c>
      <c r="BL52" t="s">
        <v>1254</v>
      </c>
      <c r="BM52" t="s">
        <v>1255</v>
      </c>
      <c r="BN52">
        <v>25283413</v>
      </c>
      <c r="BO52" t="s">
        <v>74</v>
      </c>
      <c r="BP52" t="s">
        <v>74</v>
      </c>
      <c r="BQ52" t="s">
        <v>74</v>
      </c>
      <c r="BR52" t="s">
        <v>105</v>
      </c>
      <c r="BS52" t="s">
        <v>1256</v>
      </c>
      <c r="BT52" t="str">
        <f>HYPERLINK("https%3A%2F%2Fwww.webofscience.com%2Fwos%2Fwoscc%2Ffull-record%2FWOS:000341625300003","View Full Record in Web of Science")</f>
        <v>View Full Record in Web of Science</v>
      </c>
    </row>
    <row r="53" spans="1:72" x14ac:dyDescent="0.15">
      <c r="A53" t="s">
        <v>72</v>
      </c>
      <c r="B53" t="s">
        <v>1257</v>
      </c>
      <c r="C53" t="s">
        <v>74</v>
      </c>
      <c r="D53" t="s">
        <v>74</v>
      </c>
      <c r="E53" t="s">
        <v>74</v>
      </c>
      <c r="F53" t="s">
        <v>1258</v>
      </c>
      <c r="G53" t="s">
        <v>74</v>
      </c>
      <c r="H53" t="s">
        <v>74</v>
      </c>
      <c r="I53" t="s">
        <v>1259</v>
      </c>
      <c r="J53" t="s">
        <v>1018</v>
      </c>
      <c r="K53" t="s">
        <v>74</v>
      </c>
      <c r="L53" t="s">
        <v>74</v>
      </c>
      <c r="M53" t="s">
        <v>78</v>
      </c>
      <c r="N53" t="s">
        <v>79</v>
      </c>
      <c r="O53" t="s">
        <v>74</v>
      </c>
      <c r="P53" t="s">
        <v>74</v>
      </c>
      <c r="Q53" t="s">
        <v>74</v>
      </c>
      <c r="R53" t="s">
        <v>74</v>
      </c>
      <c r="S53" t="s">
        <v>74</v>
      </c>
      <c r="T53" t="s">
        <v>1260</v>
      </c>
      <c r="U53" t="s">
        <v>1261</v>
      </c>
      <c r="V53" t="s">
        <v>1262</v>
      </c>
      <c r="W53" t="s">
        <v>1263</v>
      </c>
      <c r="X53" t="s">
        <v>1264</v>
      </c>
      <c r="Y53" t="s">
        <v>1265</v>
      </c>
      <c r="Z53" t="s">
        <v>1266</v>
      </c>
      <c r="AA53" t="s">
        <v>1267</v>
      </c>
      <c r="AB53" t="s">
        <v>1268</v>
      </c>
      <c r="AC53" t="s">
        <v>1269</v>
      </c>
      <c r="AD53" t="s">
        <v>1270</v>
      </c>
      <c r="AE53" t="s">
        <v>1271</v>
      </c>
      <c r="AF53" t="s">
        <v>74</v>
      </c>
      <c r="AG53">
        <v>39</v>
      </c>
      <c r="AH53">
        <v>192</v>
      </c>
      <c r="AI53">
        <v>206</v>
      </c>
      <c r="AJ53">
        <v>2</v>
      </c>
      <c r="AK53">
        <v>67</v>
      </c>
      <c r="AL53" t="s">
        <v>331</v>
      </c>
      <c r="AM53" t="s">
        <v>332</v>
      </c>
      <c r="AN53" t="s">
        <v>333</v>
      </c>
      <c r="AO53" t="s">
        <v>1030</v>
      </c>
      <c r="AP53" t="s">
        <v>1031</v>
      </c>
      <c r="AQ53" t="s">
        <v>74</v>
      </c>
      <c r="AR53" t="s">
        <v>1032</v>
      </c>
      <c r="AS53" t="s">
        <v>1033</v>
      </c>
      <c r="AT53" t="s">
        <v>1252</v>
      </c>
      <c r="AU53">
        <v>2014</v>
      </c>
      <c r="AV53">
        <v>41</v>
      </c>
      <c r="AW53">
        <v>17</v>
      </c>
      <c r="AX53" t="s">
        <v>74</v>
      </c>
      <c r="AY53" t="s">
        <v>74</v>
      </c>
      <c r="AZ53" t="s">
        <v>74</v>
      </c>
      <c r="BA53" t="s">
        <v>74</v>
      </c>
      <c r="BB53">
        <v>6199</v>
      </c>
      <c r="BC53">
        <v>6206</v>
      </c>
      <c r="BD53" t="s">
        <v>74</v>
      </c>
      <c r="BE53" t="s">
        <v>1272</v>
      </c>
      <c r="BF53" t="str">
        <f>HYPERLINK("http://dx.doi.org/10.1002/2014GL060881","http://dx.doi.org/10.1002/2014GL060881")</f>
        <v>http://dx.doi.org/10.1002/2014GL060881</v>
      </c>
      <c r="BG53" t="s">
        <v>74</v>
      </c>
      <c r="BH53" t="s">
        <v>74</v>
      </c>
      <c r="BI53">
        <v>8</v>
      </c>
      <c r="BJ53" t="s">
        <v>685</v>
      </c>
      <c r="BK53" t="s">
        <v>102</v>
      </c>
      <c r="BL53" t="s">
        <v>686</v>
      </c>
      <c r="BM53" t="s">
        <v>1273</v>
      </c>
      <c r="BN53" t="s">
        <v>74</v>
      </c>
      <c r="BO53" t="s">
        <v>1274</v>
      </c>
      <c r="BP53" t="s">
        <v>74</v>
      </c>
      <c r="BQ53" t="s">
        <v>74</v>
      </c>
      <c r="BR53" t="s">
        <v>105</v>
      </c>
      <c r="BS53" t="s">
        <v>1275</v>
      </c>
      <c r="BT53" t="str">
        <f>HYPERLINK("https%3A%2F%2Fwww.webofscience.com%2Fwos%2Fwoscc%2Ffull-record%2FWOS:000342757400019","View Full Record in Web of Science")</f>
        <v>View Full Record in Web of Science</v>
      </c>
    </row>
    <row r="54" spans="1:72" x14ac:dyDescent="0.15">
      <c r="A54" t="s">
        <v>72</v>
      </c>
      <c r="B54" t="s">
        <v>1276</v>
      </c>
      <c r="C54" t="s">
        <v>74</v>
      </c>
      <c r="D54" t="s">
        <v>74</v>
      </c>
      <c r="E54" t="s">
        <v>74</v>
      </c>
      <c r="F54" t="s">
        <v>1277</v>
      </c>
      <c r="G54" t="s">
        <v>74</v>
      </c>
      <c r="H54" t="s">
        <v>74</v>
      </c>
      <c r="I54" t="s">
        <v>1278</v>
      </c>
      <c r="J54" t="s">
        <v>1279</v>
      </c>
      <c r="K54" t="s">
        <v>74</v>
      </c>
      <c r="L54" t="s">
        <v>74</v>
      </c>
      <c r="M54" t="s">
        <v>78</v>
      </c>
      <c r="N54" t="s">
        <v>79</v>
      </c>
      <c r="O54" t="s">
        <v>74</v>
      </c>
      <c r="P54" t="s">
        <v>74</v>
      </c>
      <c r="Q54" t="s">
        <v>74</v>
      </c>
      <c r="R54" t="s">
        <v>74</v>
      </c>
      <c r="S54" t="s">
        <v>74</v>
      </c>
      <c r="T54" t="s">
        <v>1280</v>
      </c>
      <c r="U54" t="s">
        <v>1281</v>
      </c>
      <c r="V54" t="s">
        <v>1282</v>
      </c>
      <c r="W54" t="s">
        <v>1283</v>
      </c>
      <c r="X54" t="s">
        <v>1284</v>
      </c>
      <c r="Y54" t="s">
        <v>1285</v>
      </c>
      <c r="Z54" t="s">
        <v>1286</v>
      </c>
      <c r="AA54" t="s">
        <v>1287</v>
      </c>
      <c r="AB54" t="s">
        <v>1288</v>
      </c>
      <c r="AC54" t="s">
        <v>1289</v>
      </c>
      <c r="AD54" t="s">
        <v>1290</v>
      </c>
      <c r="AE54" t="s">
        <v>1291</v>
      </c>
      <c r="AF54" t="s">
        <v>74</v>
      </c>
      <c r="AG54">
        <v>55</v>
      </c>
      <c r="AH54">
        <v>7</v>
      </c>
      <c r="AI54">
        <v>8</v>
      </c>
      <c r="AJ54">
        <v>2</v>
      </c>
      <c r="AK54">
        <v>19</v>
      </c>
      <c r="AL54" t="s">
        <v>1292</v>
      </c>
      <c r="AM54" t="s">
        <v>1293</v>
      </c>
      <c r="AN54" t="s">
        <v>1294</v>
      </c>
      <c r="AO54" t="s">
        <v>1295</v>
      </c>
      <c r="AP54" t="s">
        <v>74</v>
      </c>
      <c r="AQ54" t="s">
        <v>74</v>
      </c>
      <c r="AR54" t="s">
        <v>1296</v>
      </c>
      <c r="AS54" t="s">
        <v>1297</v>
      </c>
      <c r="AT54" t="s">
        <v>1298</v>
      </c>
      <c r="AU54">
        <v>2014</v>
      </c>
      <c r="AV54">
        <v>3</v>
      </c>
      <c r="AW54">
        <v>9</v>
      </c>
      <c r="AX54" t="s">
        <v>74</v>
      </c>
      <c r="AY54" t="s">
        <v>74</v>
      </c>
      <c r="AZ54" t="s">
        <v>74</v>
      </c>
      <c r="BA54" t="s">
        <v>74</v>
      </c>
      <c r="BB54">
        <v>832</v>
      </c>
      <c r="BC54">
        <v>838</v>
      </c>
      <c r="BD54" t="s">
        <v>74</v>
      </c>
      <c r="BE54" t="s">
        <v>1299</v>
      </c>
      <c r="BF54" t="str">
        <f>HYPERLINK("http://dx.doi.org/10.1242/bio.20148888","http://dx.doi.org/10.1242/bio.20148888")</f>
        <v>http://dx.doi.org/10.1242/bio.20148888</v>
      </c>
      <c r="BG54" t="s">
        <v>74</v>
      </c>
      <c r="BH54" t="s">
        <v>74</v>
      </c>
      <c r="BI54">
        <v>7</v>
      </c>
      <c r="BJ54" t="s">
        <v>1300</v>
      </c>
      <c r="BK54" t="s">
        <v>102</v>
      </c>
      <c r="BL54" t="s">
        <v>1301</v>
      </c>
      <c r="BM54" t="s">
        <v>1302</v>
      </c>
      <c r="BN54">
        <v>25150278</v>
      </c>
      <c r="BO54" t="s">
        <v>206</v>
      </c>
      <c r="BP54" t="s">
        <v>74</v>
      </c>
      <c r="BQ54" t="s">
        <v>74</v>
      </c>
      <c r="BR54" t="s">
        <v>105</v>
      </c>
      <c r="BS54" t="s">
        <v>1303</v>
      </c>
      <c r="BT54" t="str">
        <f>HYPERLINK("https%3A%2F%2Fwww.webofscience.com%2Fwos%2Fwoscc%2Ffull-record%2FWOS:000348097400006","View Full Record in Web of Science")</f>
        <v>View Full Record in Web of Science</v>
      </c>
    </row>
    <row r="55" spans="1:72" x14ac:dyDescent="0.15">
      <c r="A55" t="s">
        <v>72</v>
      </c>
      <c r="B55" t="s">
        <v>1304</v>
      </c>
      <c r="C55" t="s">
        <v>74</v>
      </c>
      <c r="D55" t="s">
        <v>74</v>
      </c>
      <c r="E55" t="s">
        <v>74</v>
      </c>
      <c r="F55" t="s">
        <v>1305</v>
      </c>
      <c r="G55" t="s">
        <v>74</v>
      </c>
      <c r="H55" t="s">
        <v>74</v>
      </c>
      <c r="I55" t="s">
        <v>1306</v>
      </c>
      <c r="J55" t="s">
        <v>1307</v>
      </c>
      <c r="K55" t="s">
        <v>74</v>
      </c>
      <c r="L55" t="s">
        <v>74</v>
      </c>
      <c r="M55" t="s">
        <v>78</v>
      </c>
      <c r="N55" t="s">
        <v>185</v>
      </c>
      <c r="O55" t="s">
        <v>74</v>
      </c>
      <c r="P55" t="s">
        <v>74</v>
      </c>
      <c r="Q55" t="s">
        <v>74</v>
      </c>
      <c r="R55" t="s">
        <v>74</v>
      </c>
      <c r="S55" t="s">
        <v>74</v>
      </c>
      <c r="T55" t="s">
        <v>1308</v>
      </c>
      <c r="U55" t="s">
        <v>1309</v>
      </c>
      <c r="V55" t="s">
        <v>1310</v>
      </c>
      <c r="W55" t="s">
        <v>1311</v>
      </c>
      <c r="X55" t="s">
        <v>1312</v>
      </c>
      <c r="Y55" t="s">
        <v>1313</v>
      </c>
      <c r="Z55" t="s">
        <v>1314</v>
      </c>
      <c r="AA55" t="s">
        <v>1315</v>
      </c>
      <c r="AB55" t="s">
        <v>1316</v>
      </c>
      <c r="AC55" t="s">
        <v>74</v>
      </c>
      <c r="AD55" t="s">
        <v>74</v>
      </c>
      <c r="AE55" t="s">
        <v>74</v>
      </c>
      <c r="AF55" t="s">
        <v>74</v>
      </c>
      <c r="AG55">
        <v>85</v>
      </c>
      <c r="AH55">
        <v>27</v>
      </c>
      <c r="AI55">
        <v>28</v>
      </c>
      <c r="AJ55">
        <v>2</v>
      </c>
      <c r="AK55">
        <v>57</v>
      </c>
      <c r="AL55" t="s">
        <v>250</v>
      </c>
      <c r="AM55" t="s">
        <v>251</v>
      </c>
      <c r="AN55" t="s">
        <v>252</v>
      </c>
      <c r="AO55" t="s">
        <v>1317</v>
      </c>
      <c r="AP55" t="s">
        <v>1318</v>
      </c>
      <c r="AQ55" t="s">
        <v>74</v>
      </c>
      <c r="AR55" t="s">
        <v>1319</v>
      </c>
      <c r="AS55" t="s">
        <v>1320</v>
      </c>
      <c r="AT55" t="s">
        <v>1298</v>
      </c>
      <c r="AU55">
        <v>2014</v>
      </c>
      <c r="AV55">
        <v>86</v>
      </c>
      <c r="AW55" t="s">
        <v>1321</v>
      </c>
      <c r="AX55" t="s">
        <v>74</v>
      </c>
      <c r="AY55" t="s">
        <v>74</v>
      </c>
      <c r="AZ55" t="s">
        <v>74</v>
      </c>
      <c r="BA55" t="s">
        <v>74</v>
      </c>
      <c r="BB55">
        <v>9</v>
      </c>
      <c r="BC55">
        <v>18</v>
      </c>
      <c r="BD55" t="s">
        <v>74</v>
      </c>
      <c r="BE55" t="s">
        <v>1322</v>
      </c>
      <c r="BF55" t="str">
        <f>HYPERLINK("http://dx.doi.org/10.1016/j.marpolbul.2014.07.014","http://dx.doi.org/10.1016/j.marpolbul.2014.07.014")</f>
        <v>http://dx.doi.org/10.1016/j.marpolbul.2014.07.014</v>
      </c>
      <c r="BG55" t="s">
        <v>74</v>
      </c>
      <c r="BH55" t="s">
        <v>74</v>
      </c>
      <c r="BI55">
        <v>10</v>
      </c>
      <c r="BJ55" t="s">
        <v>1323</v>
      </c>
      <c r="BK55" t="s">
        <v>102</v>
      </c>
      <c r="BL55" t="s">
        <v>933</v>
      </c>
      <c r="BM55" t="s">
        <v>1324</v>
      </c>
      <c r="BN55">
        <v>25091734</v>
      </c>
      <c r="BO55" t="s">
        <v>74</v>
      </c>
      <c r="BP55" t="s">
        <v>74</v>
      </c>
      <c r="BQ55" t="s">
        <v>74</v>
      </c>
      <c r="BR55" t="s">
        <v>105</v>
      </c>
      <c r="BS55" t="s">
        <v>1325</v>
      </c>
      <c r="BT55" t="str">
        <f>HYPERLINK("https%3A%2F%2Fwww.webofscience.com%2Fwos%2Fwoscc%2Ffull-record%2FWOS:000342860100014","View Full Record in Web of Science")</f>
        <v>View Full Record in Web of Science</v>
      </c>
    </row>
    <row r="56" spans="1:72" x14ac:dyDescent="0.15">
      <c r="A56" t="s">
        <v>72</v>
      </c>
      <c r="B56" t="s">
        <v>1326</v>
      </c>
      <c r="C56" t="s">
        <v>74</v>
      </c>
      <c r="D56" t="s">
        <v>74</v>
      </c>
      <c r="E56" t="s">
        <v>74</v>
      </c>
      <c r="F56" t="s">
        <v>1327</v>
      </c>
      <c r="G56" t="s">
        <v>74</v>
      </c>
      <c r="H56" t="s">
        <v>74</v>
      </c>
      <c r="I56" t="s">
        <v>1328</v>
      </c>
      <c r="J56" t="s">
        <v>1329</v>
      </c>
      <c r="K56" t="s">
        <v>74</v>
      </c>
      <c r="L56" t="s">
        <v>74</v>
      </c>
      <c r="M56" t="s">
        <v>78</v>
      </c>
      <c r="N56" t="s">
        <v>79</v>
      </c>
      <c r="O56" t="s">
        <v>74</v>
      </c>
      <c r="P56" t="s">
        <v>74</v>
      </c>
      <c r="Q56" t="s">
        <v>74</v>
      </c>
      <c r="R56" t="s">
        <v>74</v>
      </c>
      <c r="S56" t="s">
        <v>74</v>
      </c>
      <c r="T56" t="s">
        <v>74</v>
      </c>
      <c r="U56" t="s">
        <v>1330</v>
      </c>
      <c r="V56" t="s">
        <v>1331</v>
      </c>
      <c r="W56" t="s">
        <v>1332</v>
      </c>
      <c r="X56" t="s">
        <v>1333</v>
      </c>
      <c r="Y56" t="s">
        <v>1334</v>
      </c>
      <c r="Z56" t="s">
        <v>1335</v>
      </c>
      <c r="AA56" t="s">
        <v>1336</v>
      </c>
      <c r="AB56" t="s">
        <v>1337</v>
      </c>
      <c r="AC56" t="s">
        <v>1338</v>
      </c>
      <c r="AD56" t="s">
        <v>1339</v>
      </c>
      <c r="AE56" t="s">
        <v>1340</v>
      </c>
      <c r="AF56" t="s">
        <v>74</v>
      </c>
      <c r="AG56">
        <v>133</v>
      </c>
      <c r="AH56">
        <v>34</v>
      </c>
      <c r="AI56">
        <v>39</v>
      </c>
      <c r="AJ56">
        <v>0</v>
      </c>
      <c r="AK56">
        <v>66</v>
      </c>
      <c r="AL56" t="s">
        <v>250</v>
      </c>
      <c r="AM56" t="s">
        <v>251</v>
      </c>
      <c r="AN56" t="s">
        <v>252</v>
      </c>
      <c r="AO56" t="s">
        <v>1341</v>
      </c>
      <c r="AP56" t="s">
        <v>1342</v>
      </c>
      <c r="AQ56" t="s">
        <v>74</v>
      </c>
      <c r="AR56" t="s">
        <v>1343</v>
      </c>
      <c r="AS56" t="s">
        <v>1344</v>
      </c>
      <c r="AT56" t="s">
        <v>1298</v>
      </c>
      <c r="AU56">
        <v>2014</v>
      </c>
      <c r="AV56">
        <v>141</v>
      </c>
      <c r="AW56" t="s">
        <v>74</v>
      </c>
      <c r="AX56" t="s">
        <v>74</v>
      </c>
      <c r="AY56" t="s">
        <v>74</v>
      </c>
      <c r="AZ56" t="s">
        <v>74</v>
      </c>
      <c r="BA56" t="s">
        <v>74</v>
      </c>
      <c r="BB56">
        <v>26</v>
      </c>
      <c r="BC56">
        <v>44</v>
      </c>
      <c r="BD56" t="s">
        <v>74</v>
      </c>
      <c r="BE56" t="s">
        <v>1345</v>
      </c>
      <c r="BF56" t="str">
        <f>HYPERLINK("http://dx.doi.org/10.1016/j.gca.2014.06.003","http://dx.doi.org/10.1016/j.gca.2014.06.003")</f>
        <v>http://dx.doi.org/10.1016/j.gca.2014.06.003</v>
      </c>
      <c r="BG56" t="s">
        <v>74</v>
      </c>
      <c r="BH56" t="s">
        <v>74</v>
      </c>
      <c r="BI56">
        <v>19</v>
      </c>
      <c r="BJ56" t="s">
        <v>425</v>
      </c>
      <c r="BK56" t="s">
        <v>102</v>
      </c>
      <c r="BL56" t="s">
        <v>425</v>
      </c>
      <c r="BM56" t="s">
        <v>1346</v>
      </c>
      <c r="BN56" t="s">
        <v>74</v>
      </c>
      <c r="BO56" t="s">
        <v>74</v>
      </c>
      <c r="BP56" t="s">
        <v>74</v>
      </c>
      <c r="BQ56" t="s">
        <v>74</v>
      </c>
      <c r="BR56" t="s">
        <v>105</v>
      </c>
      <c r="BS56" t="s">
        <v>1347</v>
      </c>
      <c r="BT56" t="str">
        <f>HYPERLINK("https%3A%2F%2Fwww.webofscience.com%2Fwos%2Fwoscc%2Ffull-record%2FWOS:000341926100002","View Full Record in Web of Science")</f>
        <v>View Full Record in Web of Science</v>
      </c>
    </row>
    <row r="57" spans="1:72" x14ac:dyDescent="0.15">
      <c r="A57" t="s">
        <v>72</v>
      </c>
      <c r="B57" t="s">
        <v>1348</v>
      </c>
      <c r="C57" t="s">
        <v>74</v>
      </c>
      <c r="D57" t="s">
        <v>74</v>
      </c>
      <c r="E57" t="s">
        <v>74</v>
      </c>
      <c r="F57" t="s">
        <v>1349</v>
      </c>
      <c r="G57" t="s">
        <v>74</v>
      </c>
      <c r="H57" t="s">
        <v>74</v>
      </c>
      <c r="I57" t="s">
        <v>1350</v>
      </c>
      <c r="J57" t="s">
        <v>1329</v>
      </c>
      <c r="K57" t="s">
        <v>74</v>
      </c>
      <c r="L57" t="s">
        <v>74</v>
      </c>
      <c r="M57" t="s">
        <v>78</v>
      </c>
      <c r="N57" t="s">
        <v>79</v>
      </c>
      <c r="O57" t="s">
        <v>74</v>
      </c>
      <c r="P57" t="s">
        <v>74</v>
      </c>
      <c r="Q57" t="s">
        <v>74</v>
      </c>
      <c r="R57" t="s">
        <v>74</v>
      </c>
      <c r="S57" t="s">
        <v>74</v>
      </c>
      <c r="T57" t="s">
        <v>74</v>
      </c>
      <c r="U57" t="s">
        <v>1351</v>
      </c>
      <c r="V57" t="s">
        <v>1352</v>
      </c>
      <c r="W57" t="s">
        <v>1353</v>
      </c>
      <c r="X57" t="s">
        <v>1354</v>
      </c>
      <c r="Y57" t="s">
        <v>1355</v>
      </c>
      <c r="Z57" t="s">
        <v>1356</v>
      </c>
      <c r="AA57" t="s">
        <v>1357</v>
      </c>
      <c r="AB57" t="s">
        <v>1358</v>
      </c>
      <c r="AC57" t="s">
        <v>1359</v>
      </c>
      <c r="AD57" t="s">
        <v>1360</v>
      </c>
      <c r="AE57" t="s">
        <v>1361</v>
      </c>
      <c r="AF57" t="s">
        <v>74</v>
      </c>
      <c r="AG57">
        <v>122</v>
      </c>
      <c r="AH57">
        <v>68</v>
      </c>
      <c r="AI57">
        <v>84</v>
      </c>
      <c r="AJ57">
        <v>6</v>
      </c>
      <c r="AK57">
        <v>75</v>
      </c>
      <c r="AL57" t="s">
        <v>250</v>
      </c>
      <c r="AM57" t="s">
        <v>251</v>
      </c>
      <c r="AN57" t="s">
        <v>252</v>
      </c>
      <c r="AO57" t="s">
        <v>1341</v>
      </c>
      <c r="AP57" t="s">
        <v>1342</v>
      </c>
      <c r="AQ57" t="s">
        <v>74</v>
      </c>
      <c r="AR57" t="s">
        <v>1343</v>
      </c>
      <c r="AS57" t="s">
        <v>1344</v>
      </c>
      <c r="AT57" t="s">
        <v>1298</v>
      </c>
      <c r="AU57">
        <v>2014</v>
      </c>
      <c r="AV57">
        <v>141</v>
      </c>
      <c r="AW57" t="s">
        <v>74</v>
      </c>
      <c r="AX57" t="s">
        <v>74</v>
      </c>
      <c r="AY57" t="s">
        <v>74</v>
      </c>
      <c r="AZ57" t="s">
        <v>74</v>
      </c>
      <c r="BA57" t="s">
        <v>74</v>
      </c>
      <c r="BB57">
        <v>508</v>
      </c>
      <c r="BC57">
        <v>531</v>
      </c>
      <c r="BD57" t="s">
        <v>74</v>
      </c>
      <c r="BE57" t="s">
        <v>1362</v>
      </c>
      <c r="BF57" t="str">
        <f>HYPERLINK("http://dx.doi.org/10.1016/j.gca.2014.07.001","http://dx.doi.org/10.1016/j.gca.2014.07.001")</f>
        <v>http://dx.doi.org/10.1016/j.gca.2014.07.001</v>
      </c>
      <c r="BG57" t="s">
        <v>74</v>
      </c>
      <c r="BH57" t="s">
        <v>74</v>
      </c>
      <c r="BI57">
        <v>24</v>
      </c>
      <c r="BJ57" t="s">
        <v>425</v>
      </c>
      <c r="BK57" t="s">
        <v>102</v>
      </c>
      <c r="BL57" t="s">
        <v>425</v>
      </c>
      <c r="BM57" t="s">
        <v>1346</v>
      </c>
      <c r="BN57" t="s">
        <v>74</v>
      </c>
      <c r="BO57" t="s">
        <v>74</v>
      </c>
      <c r="BP57" t="s">
        <v>74</v>
      </c>
      <c r="BQ57" t="s">
        <v>74</v>
      </c>
      <c r="BR57" t="s">
        <v>105</v>
      </c>
      <c r="BS57" t="s">
        <v>1363</v>
      </c>
      <c r="BT57" t="str">
        <f>HYPERLINK("https%3A%2F%2Fwww.webofscience.com%2Fwos%2Fwoscc%2Ffull-record%2FWOS:000341926100031","View Full Record in Web of Science")</f>
        <v>View Full Record in Web of Science</v>
      </c>
    </row>
    <row r="58" spans="1:72" x14ac:dyDescent="0.15">
      <c r="A58" t="s">
        <v>72</v>
      </c>
      <c r="B58" t="s">
        <v>1364</v>
      </c>
      <c r="C58" t="s">
        <v>74</v>
      </c>
      <c r="D58" t="s">
        <v>74</v>
      </c>
      <c r="E58" t="s">
        <v>74</v>
      </c>
      <c r="F58" t="s">
        <v>1365</v>
      </c>
      <c r="G58" t="s">
        <v>74</v>
      </c>
      <c r="H58" t="s">
        <v>74</v>
      </c>
      <c r="I58" t="s">
        <v>1366</v>
      </c>
      <c r="J58" t="s">
        <v>1083</v>
      </c>
      <c r="K58" t="s">
        <v>74</v>
      </c>
      <c r="L58" t="s">
        <v>74</v>
      </c>
      <c r="M58" t="s">
        <v>78</v>
      </c>
      <c r="N58" t="s">
        <v>79</v>
      </c>
      <c r="O58" t="s">
        <v>74</v>
      </c>
      <c r="P58" t="s">
        <v>74</v>
      </c>
      <c r="Q58" t="s">
        <v>74</v>
      </c>
      <c r="R58" t="s">
        <v>74</v>
      </c>
      <c r="S58" t="s">
        <v>74</v>
      </c>
      <c r="T58" t="s">
        <v>74</v>
      </c>
      <c r="U58" t="s">
        <v>1367</v>
      </c>
      <c r="V58" t="s">
        <v>1368</v>
      </c>
      <c r="W58" t="s">
        <v>1369</v>
      </c>
      <c r="X58" t="s">
        <v>1370</v>
      </c>
      <c r="Y58" t="s">
        <v>1371</v>
      </c>
      <c r="Z58" t="s">
        <v>1372</v>
      </c>
      <c r="AA58" t="s">
        <v>1373</v>
      </c>
      <c r="AB58" t="s">
        <v>1374</v>
      </c>
      <c r="AC58" t="s">
        <v>1375</v>
      </c>
      <c r="AD58" t="s">
        <v>1376</v>
      </c>
      <c r="AE58" t="s">
        <v>1377</v>
      </c>
      <c r="AF58" t="s">
        <v>74</v>
      </c>
      <c r="AG58">
        <v>69</v>
      </c>
      <c r="AH58">
        <v>16</v>
      </c>
      <c r="AI58">
        <v>19</v>
      </c>
      <c r="AJ58">
        <v>1</v>
      </c>
      <c r="AK58">
        <v>27</v>
      </c>
      <c r="AL58" t="s">
        <v>1090</v>
      </c>
      <c r="AM58" t="s">
        <v>1091</v>
      </c>
      <c r="AN58" t="s">
        <v>1092</v>
      </c>
      <c r="AO58" t="s">
        <v>1093</v>
      </c>
      <c r="AP58" t="s">
        <v>74</v>
      </c>
      <c r="AQ58" t="s">
        <v>74</v>
      </c>
      <c r="AR58" t="s">
        <v>1083</v>
      </c>
      <c r="AS58" t="s">
        <v>1094</v>
      </c>
      <c r="AT58" t="s">
        <v>1298</v>
      </c>
      <c r="AU58">
        <v>2014</v>
      </c>
      <c r="AV58">
        <v>9</v>
      </c>
      <c r="AW58">
        <v>9</v>
      </c>
      <c r="AX58" t="s">
        <v>74</v>
      </c>
      <c r="AY58" t="s">
        <v>74</v>
      </c>
      <c r="AZ58" t="s">
        <v>74</v>
      </c>
      <c r="BA58" t="s">
        <v>74</v>
      </c>
      <c r="BB58" t="s">
        <v>74</v>
      </c>
      <c r="BC58" t="s">
        <v>74</v>
      </c>
      <c r="BD58" t="s">
        <v>1378</v>
      </c>
      <c r="BE58" t="s">
        <v>1379</v>
      </c>
      <c r="BF58" t="str">
        <f>HYPERLINK("http://dx.doi.org/10.1371/journal.pone.0107239","http://dx.doi.org/10.1371/journal.pone.0107239")</f>
        <v>http://dx.doi.org/10.1371/journal.pone.0107239</v>
      </c>
      <c r="BG58" t="s">
        <v>74</v>
      </c>
      <c r="BH58" t="s">
        <v>74</v>
      </c>
      <c r="BI58">
        <v>12</v>
      </c>
      <c r="BJ58" t="s">
        <v>660</v>
      </c>
      <c r="BK58" t="s">
        <v>102</v>
      </c>
      <c r="BL58" t="s">
        <v>661</v>
      </c>
      <c r="BM58" t="s">
        <v>1380</v>
      </c>
      <c r="BN58">
        <v>25221950</v>
      </c>
      <c r="BO58" t="s">
        <v>1381</v>
      </c>
      <c r="BP58" t="s">
        <v>74</v>
      </c>
      <c r="BQ58" t="s">
        <v>74</v>
      </c>
      <c r="BR58" t="s">
        <v>105</v>
      </c>
      <c r="BS58" t="s">
        <v>1382</v>
      </c>
      <c r="BT58" t="str">
        <f>HYPERLINK("https%3A%2F%2Fwww.webofscience.com%2Fwos%2Fwoscc%2Ffull-record%2FWOS:000341774800055","View Full Record in Web of Science")</f>
        <v>View Full Record in Web of Science</v>
      </c>
    </row>
    <row r="59" spans="1:72" x14ac:dyDescent="0.15">
      <c r="A59" t="s">
        <v>72</v>
      </c>
      <c r="B59" t="s">
        <v>1383</v>
      </c>
      <c r="C59" t="s">
        <v>74</v>
      </c>
      <c r="D59" t="s">
        <v>74</v>
      </c>
      <c r="E59" t="s">
        <v>74</v>
      </c>
      <c r="F59" t="s">
        <v>1384</v>
      </c>
      <c r="G59" t="s">
        <v>74</v>
      </c>
      <c r="H59" t="s">
        <v>74</v>
      </c>
      <c r="I59" t="s">
        <v>1385</v>
      </c>
      <c r="J59" t="s">
        <v>1386</v>
      </c>
      <c r="K59" t="s">
        <v>74</v>
      </c>
      <c r="L59" t="s">
        <v>74</v>
      </c>
      <c r="M59" t="s">
        <v>78</v>
      </c>
      <c r="N59" t="s">
        <v>79</v>
      </c>
      <c r="O59" t="s">
        <v>74</v>
      </c>
      <c r="P59" t="s">
        <v>74</v>
      </c>
      <c r="Q59" t="s">
        <v>74</v>
      </c>
      <c r="R59" t="s">
        <v>74</v>
      </c>
      <c r="S59" t="s">
        <v>74</v>
      </c>
      <c r="T59" t="s">
        <v>1387</v>
      </c>
      <c r="U59" t="s">
        <v>1388</v>
      </c>
      <c r="V59" t="s">
        <v>1389</v>
      </c>
      <c r="W59" t="s">
        <v>1390</v>
      </c>
      <c r="X59" t="s">
        <v>1391</v>
      </c>
      <c r="Y59" t="s">
        <v>1392</v>
      </c>
      <c r="Z59" t="s">
        <v>1393</v>
      </c>
      <c r="AA59" t="s">
        <v>74</v>
      </c>
      <c r="AB59" t="s">
        <v>74</v>
      </c>
      <c r="AC59" t="s">
        <v>1394</v>
      </c>
      <c r="AD59" t="s">
        <v>1395</v>
      </c>
      <c r="AE59" t="s">
        <v>1396</v>
      </c>
      <c r="AF59" t="s">
        <v>74</v>
      </c>
      <c r="AG59">
        <v>141</v>
      </c>
      <c r="AH59">
        <v>30</v>
      </c>
      <c r="AI59">
        <v>38</v>
      </c>
      <c r="AJ59">
        <v>1</v>
      </c>
      <c r="AK59">
        <v>53</v>
      </c>
      <c r="AL59" t="s">
        <v>753</v>
      </c>
      <c r="AM59" t="s">
        <v>124</v>
      </c>
      <c r="AN59" t="s">
        <v>754</v>
      </c>
      <c r="AO59" t="s">
        <v>1397</v>
      </c>
      <c r="AP59" t="s">
        <v>1398</v>
      </c>
      <c r="AQ59" t="s">
        <v>74</v>
      </c>
      <c r="AR59" t="s">
        <v>1399</v>
      </c>
      <c r="AS59" t="s">
        <v>1400</v>
      </c>
      <c r="AT59" t="s">
        <v>1298</v>
      </c>
      <c r="AU59">
        <v>2014</v>
      </c>
      <c r="AV59">
        <v>410</v>
      </c>
      <c r="AW59" t="s">
        <v>74</v>
      </c>
      <c r="AX59" t="s">
        <v>74</v>
      </c>
      <c r="AY59" t="s">
        <v>74</v>
      </c>
      <c r="AZ59" t="s">
        <v>74</v>
      </c>
      <c r="BA59" t="s">
        <v>74</v>
      </c>
      <c r="BB59">
        <v>351</v>
      </c>
      <c r="BC59">
        <v>371</v>
      </c>
      <c r="BD59" t="s">
        <v>74</v>
      </c>
      <c r="BE59" t="s">
        <v>1401</v>
      </c>
      <c r="BF59" t="str">
        <f>HYPERLINK("http://dx.doi.org/10.1016/j.palaeo.2014.06.005","http://dx.doi.org/10.1016/j.palaeo.2014.06.005")</f>
        <v>http://dx.doi.org/10.1016/j.palaeo.2014.06.005</v>
      </c>
      <c r="BG59" t="s">
        <v>74</v>
      </c>
      <c r="BH59" t="s">
        <v>74</v>
      </c>
      <c r="BI59">
        <v>21</v>
      </c>
      <c r="BJ59" t="s">
        <v>1402</v>
      </c>
      <c r="BK59" t="s">
        <v>102</v>
      </c>
      <c r="BL59" t="s">
        <v>1403</v>
      </c>
      <c r="BM59" t="s">
        <v>1404</v>
      </c>
      <c r="BN59" t="s">
        <v>74</v>
      </c>
      <c r="BO59" t="s">
        <v>74</v>
      </c>
      <c r="BP59" t="s">
        <v>74</v>
      </c>
      <c r="BQ59" t="s">
        <v>74</v>
      </c>
      <c r="BR59" t="s">
        <v>105</v>
      </c>
      <c r="BS59" t="s">
        <v>1405</v>
      </c>
      <c r="BT59" t="str">
        <f>HYPERLINK("https%3A%2F%2Fwww.webofscience.com%2Fwos%2Fwoscc%2Ffull-record%2FWOS:000340687700027","View Full Record in Web of Science")</f>
        <v>View Full Record in Web of Science</v>
      </c>
    </row>
    <row r="60" spans="1:72" x14ac:dyDescent="0.15">
      <c r="A60" t="s">
        <v>72</v>
      </c>
      <c r="B60" t="s">
        <v>1406</v>
      </c>
      <c r="C60" t="s">
        <v>74</v>
      </c>
      <c r="D60" t="s">
        <v>74</v>
      </c>
      <c r="E60" t="s">
        <v>74</v>
      </c>
      <c r="F60" t="s">
        <v>1407</v>
      </c>
      <c r="G60" t="s">
        <v>74</v>
      </c>
      <c r="H60" t="s">
        <v>74</v>
      </c>
      <c r="I60" t="s">
        <v>1408</v>
      </c>
      <c r="J60" t="s">
        <v>1409</v>
      </c>
      <c r="K60" t="s">
        <v>74</v>
      </c>
      <c r="L60" t="s">
        <v>74</v>
      </c>
      <c r="M60" t="s">
        <v>78</v>
      </c>
      <c r="N60" t="s">
        <v>79</v>
      </c>
      <c r="O60" t="s">
        <v>74</v>
      </c>
      <c r="P60" t="s">
        <v>74</v>
      </c>
      <c r="Q60" t="s">
        <v>74</v>
      </c>
      <c r="R60" t="s">
        <v>74</v>
      </c>
      <c r="S60" t="s">
        <v>74</v>
      </c>
      <c r="T60" t="s">
        <v>1410</v>
      </c>
      <c r="U60" t="s">
        <v>1411</v>
      </c>
      <c r="V60" t="s">
        <v>1412</v>
      </c>
      <c r="W60" t="s">
        <v>1413</v>
      </c>
      <c r="X60" t="s">
        <v>1414</v>
      </c>
      <c r="Y60" t="s">
        <v>1415</v>
      </c>
      <c r="Z60" t="s">
        <v>1416</v>
      </c>
      <c r="AA60" t="s">
        <v>1417</v>
      </c>
      <c r="AB60" t="s">
        <v>1418</v>
      </c>
      <c r="AC60" t="s">
        <v>1419</v>
      </c>
      <c r="AD60" t="s">
        <v>1420</v>
      </c>
      <c r="AE60" t="s">
        <v>1421</v>
      </c>
      <c r="AF60" t="s">
        <v>74</v>
      </c>
      <c r="AG60">
        <v>106</v>
      </c>
      <c r="AH60">
        <v>144</v>
      </c>
      <c r="AI60">
        <v>154</v>
      </c>
      <c r="AJ60">
        <v>1</v>
      </c>
      <c r="AK60">
        <v>51</v>
      </c>
      <c r="AL60" t="s">
        <v>171</v>
      </c>
      <c r="AM60" t="s">
        <v>93</v>
      </c>
      <c r="AN60" t="s">
        <v>94</v>
      </c>
      <c r="AO60" t="s">
        <v>1422</v>
      </c>
      <c r="AP60" t="s">
        <v>1423</v>
      </c>
      <c r="AQ60" t="s">
        <v>74</v>
      </c>
      <c r="AR60" t="s">
        <v>1424</v>
      </c>
      <c r="AS60" t="s">
        <v>1425</v>
      </c>
      <c r="AT60" t="s">
        <v>1298</v>
      </c>
      <c r="AU60">
        <v>2014</v>
      </c>
      <c r="AV60">
        <v>39</v>
      </c>
      <c r="AW60">
        <v>11</v>
      </c>
      <c r="AX60" t="s">
        <v>74</v>
      </c>
      <c r="AY60" t="s">
        <v>74</v>
      </c>
      <c r="AZ60" t="s">
        <v>74</v>
      </c>
      <c r="BA60" t="s">
        <v>74</v>
      </c>
      <c r="BB60">
        <v>1432</v>
      </c>
      <c r="BC60">
        <v>1448</v>
      </c>
      <c r="BD60" t="s">
        <v>74</v>
      </c>
      <c r="BE60" t="s">
        <v>1426</v>
      </c>
      <c r="BF60" t="str">
        <f>HYPERLINK("http://dx.doi.org/10.1002/esp.3532","http://dx.doi.org/10.1002/esp.3532")</f>
        <v>http://dx.doi.org/10.1002/esp.3532</v>
      </c>
      <c r="BG60" t="s">
        <v>74</v>
      </c>
      <c r="BH60" t="s">
        <v>74</v>
      </c>
      <c r="BI60">
        <v>17</v>
      </c>
      <c r="BJ60" t="s">
        <v>1427</v>
      </c>
      <c r="BK60" t="s">
        <v>102</v>
      </c>
      <c r="BL60" t="s">
        <v>1428</v>
      </c>
      <c r="BM60" t="s">
        <v>1429</v>
      </c>
      <c r="BN60" t="s">
        <v>74</v>
      </c>
      <c r="BO60" t="s">
        <v>827</v>
      </c>
      <c r="BP60" t="s">
        <v>74</v>
      </c>
      <c r="BQ60" t="s">
        <v>74</v>
      </c>
      <c r="BR60" t="s">
        <v>105</v>
      </c>
      <c r="BS60" t="s">
        <v>1430</v>
      </c>
      <c r="BT60" t="str">
        <f>HYPERLINK("https%3A%2F%2Fwww.webofscience.com%2Fwos%2Fwoscc%2Ffull-record%2FWOS:000341253300002","View Full Record in Web of Science")</f>
        <v>View Full Record in Web of Science</v>
      </c>
    </row>
    <row r="61" spans="1:72" x14ac:dyDescent="0.15">
      <c r="A61" t="s">
        <v>72</v>
      </c>
      <c r="B61" t="s">
        <v>1431</v>
      </c>
      <c r="C61" t="s">
        <v>74</v>
      </c>
      <c r="D61" t="s">
        <v>74</v>
      </c>
      <c r="E61" t="s">
        <v>74</v>
      </c>
      <c r="F61" t="s">
        <v>1432</v>
      </c>
      <c r="G61" t="s">
        <v>74</v>
      </c>
      <c r="H61" t="s">
        <v>74</v>
      </c>
      <c r="I61" t="s">
        <v>1433</v>
      </c>
      <c r="J61" t="s">
        <v>1434</v>
      </c>
      <c r="K61" t="s">
        <v>74</v>
      </c>
      <c r="L61" t="s">
        <v>74</v>
      </c>
      <c r="M61" t="s">
        <v>78</v>
      </c>
      <c r="N61" t="s">
        <v>79</v>
      </c>
      <c r="O61" t="s">
        <v>74</v>
      </c>
      <c r="P61" t="s">
        <v>74</v>
      </c>
      <c r="Q61" t="s">
        <v>74</v>
      </c>
      <c r="R61" t="s">
        <v>74</v>
      </c>
      <c r="S61" t="s">
        <v>74</v>
      </c>
      <c r="T61" t="s">
        <v>1435</v>
      </c>
      <c r="U61" t="s">
        <v>1436</v>
      </c>
      <c r="V61" t="s">
        <v>1437</v>
      </c>
      <c r="W61" t="s">
        <v>1438</v>
      </c>
      <c r="X61" t="s">
        <v>1439</v>
      </c>
      <c r="Y61" t="s">
        <v>1440</v>
      </c>
      <c r="Z61" t="s">
        <v>1441</v>
      </c>
      <c r="AA61" t="s">
        <v>1442</v>
      </c>
      <c r="AB61" t="s">
        <v>1443</v>
      </c>
      <c r="AC61" t="s">
        <v>1444</v>
      </c>
      <c r="AD61" t="s">
        <v>1445</v>
      </c>
      <c r="AE61" t="s">
        <v>1446</v>
      </c>
      <c r="AF61" t="s">
        <v>74</v>
      </c>
      <c r="AG61">
        <v>89</v>
      </c>
      <c r="AH61">
        <v>57</v>
      </c>
      <c r="AI61">
        <v>57</v>
      </c>
      <c r="AJ61">
        <v>1</v>
      </c>
      <c r="AK61">
        <v>25</v>
      </c>
      <c r="AL61" t="s">
        <v>753</v>
      </c>
      <c r="AM61" t="s">
        <v>124</v>
      </c>
      <c r="AN61" t="s">
        <v>754</v>
      </c>
      <c r="AO61" t="s">
        <v>1447</v>
      </c>
      <c r="AP61" t="s">
        <v>1448</v>
      </c>
      <c r="AQ61" t="s">
        <v>74</v>
      </c>
      <c r="AR61" t="s">
        <v>1449</v>
      </c>
      <c r="AS61" t="s">
        <v>1450</v>
      </c>
      <c r="AT61" t="s">
        <v>1298</v>
      </c>
      <c r="AU61">
        <v>2014</v>
      </c>
      <c r="AV61">
        <v>285</v>
      </c>
      <c r="AW61" t="s">
        <v>74</v>
      </c>
      <c r="AX61" t="s">
        <v>74</v>
      </c>
      <c r="AY61" t="s">
        <v>74</v>
      </c>
      <c r="AZ61" t="s">
        <v>74</v>
      </c>
      <c r="BA61" t="s">
        <v>74</v>
      </c>
      <c r="BB61">
        <v>150</v>
      </c>
      <c r="BC61">
        <v>168</v>
      </c>
      <c r="BD61" t="s">
        <v>74</v>
      </c>
      <c r="BE61" t="s">
        <v>1451</v>
      </c>
      <c r="BF61" t="str">
        <f>HYPERLINK("http://dx.doi.org/10.1016/j.jvolgeores.2014.08.009","http://dx.doi.org/10.1016/j.jvolgeores.2014.08.009")</f>
        <v>http://dx.doi.org/10.1016/j.jvolgeores.2014.08.009</v>
      </c>
      <c r="BG61" t="s">
        <v>74</v>
      </c>
      <c r="BH61" t="s">
        <v>74</v>
      </c>
      <c r="BI61">
        <v>19</v>
      </c>
      <c r="BJ61" t="s">
        <v>685</v>
      </c>
      <c r="BK61" t="s">
        <v>102</v>
      </c>
      <c r="BL61" t="s">
        <v>686</v>
      </c>
      <c r="BM61" t="s">
        <v>1452</v>
      </c>
      <c r="BN61" t="s">
        <v>74</v>
      </c>
      <c r="BO61" t="s">
        <v>262</v>
      </c>
      <c r="BP61" t="s">
        <v>74</v>
      </c>
      <c r="BQ61" t="s">
        <v>74</v>
      </c>
      <c r="BR61" t="s">
        <v>105</v>
      </c>
      <c r="BS61" t="s">
        <v>1453</v>
      </c>
      <c r="BT61" t="str">
        <f>HYPERLINK("https%3A%2F%2Fwww.webofscience.com%2Fwos%2Fwoscc%2Ffull-record%2FWOS:000345721300012","View Full Record in Web of Science")</f>
        <v>View Full Record in Web of Science</v>
      </c>
    </row>
    <row r="62" spans="1:72" x14ac:dyDescent="0.15">
      <c r="A62" t="s">
        <v>72</v>
      </c>
      <c r="B62" t="s">
        <v>1454</v>
      </c>
      <c r="C62" t="s">
        <v>74</v>
      </c>
      <c r="D62" t="s">
        <v>74</v>
      </c>
      <c r="E62" t="s">
        <v>74</v>
      </c>
      <c r="F62" t="s">
        <v>1455</v>
      </c>
      <c r="G62" t="s">
        <v>74</v>
      </c>
      <c r="H62" t="s">
        <v>1456</v>
      </c>
      <c r="I62" t="s">
        <v>1457</v>
      </c>
      <c r="J62" t="s">
        <v>1458</v>
      </c>
      <c r="K62" t="s">
        <v>74</v>
      </c>
      <c r="L62" t="s">
        <v>74</v>
      </c>
      <c r="M62" t="s">
        <v>78</v>
      </c>
      <c r="N62" t="s">
        <v>79</v>
      </c>
      <c r="O62" t="s">
        <v>74</v>
      </c>
      <c r="P62" t="s">
        <v>74</v>
      </c>
      <c r="Q62" t="s">
        <v>74</v>
      </c>
      <c r="R62" t="s">
        <v>74</v>
      </c>
      <c r="S62" t="s">
        <v>74</v>
      </c>
      <c r="T62" t="s">
        <v>1459</v>
      </c>
      <c r="U62" t="s">
        <v>1460</v>
      </c>
      <c r="V62" t="s">
        <v>1461</v>
      </c>
      <c r="W62" t="s">
        <v>1462</v>
      </c>
      <c r="X62" t="s">
        <v>1463</v>
      </c>
      <c r="Y62" t="s">
        <v>1464</v>
      </c>
      <c r="Z62" t="s">
        <v>1465</v>
      </c>
      <c r="AA62" t="s">
        <v>1466</v>
      </c>
      <c r="AB62" t="s">
        <v>1467</v>
      </c>
      <c r="AC62" t="s">
        <v>1468</v>
      </c>
      <c r="AD62" t="s">
        <v>1469</v>
      </c>
      <c r="AE62" t="s">
        <v>1470</v>
      </c>
      <c r="AF62" t="s">
        <v>74</v>
      </c>
      <c r="AG62">
        <v>54</v>
      </c>
      <c r="AH62">
        <v>191</v>
      </c>
      <c r="AI62">
        <v>194</v>
      </c>
      <c r="AJ62">
        <v>1</v>
      </c>
      <c r="AK62">
        <v>116</v>
      </c>
      <c r="AL62" t="s">
        <v>250</v>
      </c>
      <c r="AM62" t="s">
        <v>251</v>
      </c>
      <c r="AN62" t="s">
        <v>252</v>
      </c>
      <c r="AO62" t="s">
        <v>1471</v>
      </c>
      <c r="AP62" t="s">
        <v>74</v>
      </c>
      <c r="AQ62" t="s">
        <v>74</v>
      </c>
      <c r="AR62" t="s">
        <v>1472</v>
      </c>
      <c r="AS62" t="s">
        <v>1473</v>
      </c>
      <c r="AT62" t="s">
        <v>1298</v>
      </c>
      <c r="AU62">
        <v>2014</v>
      </c>
      <c r="AV62">
        <v>100</v>
      </c>
      <c r="AW62" t="s">
        <v>74</v>
      </c>
      <c r="AX62" t="s">
        <v>74</v>
      </c>
      <c r="AY62" t="s">
        <v>74</v>
      </c>
      <c r="AZ62" t="s">
        <v>74</v>
      </c>
      <c r="BA62" t="s">
        <v>74</v>
      </c>
      <c r="BB62">
        <v>1</v>
      </c>
      <c r="BC62">
        <v>9</v>
      </c>
      <c r="BD62" t="s">
        <v>74</v>
      </c>
      <c r="BE62" t="s">
        <v>1474</v>
      </c>
      <c r="BF62" t="str">
        <f>HYPERLINK("http://dx.doi.org/10.1016/j.quascirev.2014.06.025","http://dx.doi.org/10.1016/j.quascirev.2014.06.025")</f>
        <v>http://dx.doi.org/10.1016/j.quascirev.2014.06.025</v>
      </c>
      <c r="BG62" t="s">
        <v>74</v>
      </c>
      <c r="BH62" t="s">
        <v>74</v>
      </c>
      <c r="BI62">
        <v>9</v>
      </c>
      <c r="BJ62" t="s">
        <v>1427</v>
      </c>
      <c r="BK62" t="s">
        <v>102</v>
      </c>
      <c r="BL62" t="s">
        <v>1428</v>
      </c>
      <c r="BM62" t="s">
        <v>1475</v>
      </c>
      <c r="BN62" t="s">
        <v>74</v>
      </c>
      <c r="BO62" t="s">
        <v>1476</v>
      </c>
      <c r="BP62" t="s">
        <v>74</v>
      </c>
      <c r="BQ62" t="s">
        <v>74</v>
      </c>
      <c r="BR62" t="s">
        <v>105</v>
      </c>
      <c r="BS62" t="s">
        <v>1477</v>
      </c>
      <c r="BT62" t="str">
        <f>HYPERLINK("https%3A%2F%2Fwww.webofscience.com%2Fwos%2Fwoscc%2Ffull-record%2FWOS:000342252700001","View Full Record in Web of Science")</f>
        <v>View Full Record in Web of Science</v>
      </c>
    </row>
    <row r="63" spans="1:72" x14ac:dyDescent="0.15">
      <c r="A63" t="s">
        <v>72</v>
      </c>
      <c r="B63" t="s">
        <v>1478</v>
      </c>
      <c r="C63" t="s">
        <v>74</v>
      </c>
      <c r="D63" t="s">
        <v>74</v>
      </c>
      <c r="E63" t="s">
        <v>74</v>
      </c>
      <c r="F63" t="s">
        <v>1479</v>
      </c>
      <c r="G63" t="s">
        <v>74</v>
      </c>
      <c r="H63" t="s">
        <v>74</v>
      </c>
      <c r="I63" t="s">
        <v>1480</v>
      </c>
      <c r="J63" t="s">
        <v>1458</v>
      </c>
      <c r="K63" t="s">
        <v>74</v>
      </c>
      <c r="L63" t="s">
        <v>74</v>
      </c>
      <c r="M63" t="s">
        <v>78</v>
      </c>
      <c r="N63" t="s">
        <v>79</v>
      </c>
      <c r="O63" t="s">
        <v>74</v>
      </c>
      <c r="P63" t="s">
        <v>74</v>
      </c>
      <c r="Q63" t="s">
        <v>74</v>
      </c>
      <c r="R63" t="s">
        <v>74</v>
      </c>
      <c r="S63" t="s">
        <v>74</v>
      </c>
      <c r="T63" t="s">
        <v>1481</v>
      </c>
      <c r="U63" t="s">
        <v>1482</v>
      </c>
      <c r="V63" t="s">
        <v>1483</v>
      </c>
      <c r="W63" t="s">
        <v>1484</v>
      </c>
      <c r="X63" t="s">
        <v>1485</v>
      </c>
      <c r="Y63" t="s">
        <v>1486</v>
      </c>
      <c r="Z63" t="s">
        <v>1487</v>
      </c>
      <c r="AA63" t="s">
        <v>1488</v>
      </c>
      <c r="AB63" t="s">
        <v>1489</v>
      </c>
      <c r="AC63" t="s">
        <v>1490</v>
      </c>
      <c r="AD63" t="s">
        <v>1491</v>
      </c>
      <c r="AE63" t="s">
        <v>1492</v>
      </c>
      <c r="AF63" t="s">
        <v>74</v>
      </c>
      <c r="AG63">
        <v>159</v>
      </c>
      <c r="AH63">
        <v>114</v>
      </c>
      <c r="AI63">
        <v>126</v>
      </c>
      <c r="AJ63">
        <v>1</v>
      </c>
      <c r="AK63">
        <v>79</v>
      </c>
      <c r="AL63" t="s">
        <v>250</v>
      </c>
      <c r="AM63" t="s">
        <v>251</v>
      </c>
      <c r="AN63" t="s">
        <v>252</v>
      </c>
      <c r="AO63" t="s">
        <v>1471</v>
      </c>
      <c r="AP63" t="s">
        <v>1493</v>
      </c>
      <c r="AQ63" t="s">
        <v>74</v>
      </c>
      <c r="AR63" t="s">
        <v>1472</v>
      </c>
      <c r="AS63" t="s">
        <v>1473</v>
      </c>
      <c r="AT63" t="s">
        <v>1298</v>
      </c>
      <c r="AU63">
        <v>2014</v>
      </c>
      <c r="AV63">
        <v>100</v>
      </c>
      <c r="AW63" t="s">
        <v>74</v>
      </c>
      <c r="AX63" t="s">
        <v>74</v>
      </c>
      <c r="AY63" t="s">
        <v>74</v>
      </c>
      <c r="AZ63" t="s">
        <v>74</v>
      </c>
      <c r="BA63" t="s">
        <v>74</v>
      </c>
      <c r="BB63">
        <v>10</v>
      </c>
      <c r="BC63">
        <v>30</v>
      </c>
      <c r="BD63" t="s">
        <v>74</v>
      </c>
      <c r="BE63" t="s">
        <v>1494</v>
      </c>
      <c r="BF63" t="str">
        <f>HYPERLINK("http://dx.doi.org/10.1016/j.quascirev.2013.07.024","http://dx.doi.org/10.1016/j.quascirev.2013.07.024")</f>
        <v>http://dx.doi.org/10.1016/j.quascirev.2013.07.024</v>
      </c>
      <c r="BG63" t="s">
        <v>74</v>
      </c>
      <c r="BH63" t="s">
        <v>74</v>
      </c>
      <c r="BI63">
        <v>21</v>
      </c>
      <c r="BJ63" t="s">
        <v>1427</v>
      </c>
      <c r="BK63" t="s">
        <v>102</v>
      </c>
      <c r="BL63" t="s">
        <v>1428</v>
      </c>
      <c r="BM63" t="s">
        <v>1475</v>
      </c>
      <c r="BN63" t="s">
        <v>74</v>
      </c>
      <c r="BO63" t="s">
        <v>1476</v>
      </c>
      <c r="BP63" t="s">
        <v>74</v>
      </c>
      <c r="BQ63" t="s">
        <v>74</v>
      </c>
      <c r="BR63" t="s">
        <v>105</v>
      </c>
      <c r="BS63" t="s">
        <v>1495</v>
      </c>
      <c r="BT63" t="str">
        <f>HYPERLINK("https%3A%2F%2Fwww.webofscience.com%2Fwos%2Fwoscc%2Ffull-record%2FWOS:000342252700002","View Full Record in Web of Science")</f>
        <v>View Full Record in Web of Science</v>
      </c>
    </row>
    <row r="64" spans="1:72" x14ac:dyDescent="0.15">
      <c r="A64" t="s">
        <v>72</v>
      </c>
      <c r="B64" t="s">
        <v>1496</v>
      </c>
      <c r="C64" t="s">
        <v>74</v>
      </c>
      <c r="D64" t="s">
        <v>74</v>
      </c>
      <c r="E64" t="s">
        <v>74</v>
      </c>
      <c r="F64" t="s">
        <v>1497</v>
      </c>
      <c r="G64" t="s">
        <v>74</v>
      </c>
      <c r="H64" t="s">
        <v>74</v>
      </c>
      <c r="I64" t="s">
        <v>1498</v>
      </c>
      <c r="J64" t="s">
        <v>1458</v>
      </c>
      <c r="K64" t="s">
        <v>74</v>
      </c>
      <c r="L64" t="s">
        <v>74</v>
      </c>
      <c r="M64" t="s">
        <v>78</v>
      </c>
      <c r="N64" t="s">
        <v>79</v>
      </c>
      <c r="O64" t="s">
        <v>74</v>
      </c>
      <c r="P64" t="s">
        <v>74</v>
      </c>
      <c r="Q64" t="s">
        <v>74</v>
      </c>
      <c r="R64" t="s">
        <v>74</v>
      </c>
      <c r="S64" t="s">
        <v>74</v>
      </c>
      <c r="T64" t="s">
        <v>1499</v>
      </c>
      <c r="U64" t="s">
        <v>1500</v>
      </c>
      <c r="V64" t="s">
        <v>1501</v>
      </c>
      <c r="W64" t="s">
        <v>1502</v>
      </c>
      <c r="X64" t="s">
        <v>1503</v>
      </c>
      <c r="Y64" t="s">
        <v>1504</v>
      </c>
      <c r="Z64" t="s">
        <v>1505</v>
      </c>
      <c r="AA64" t="s">
        <v>1506</v>
      </c>
      <c r="AB64" t="s">
        <v>1507</v>
      </c>
      <c r="AC64" t="s">
        <v>1508</v>
      </c>
      <c r="AD64" t="s">
        <v>1509</v>
      </c>
      <c r="AE64" t="s">
        <v>1510</v>
      </c>
      <c r="AF64" t="s">
        <v>74</v>
      </c>
      <c r="AG64">
        <v>109</v>
      </c>
      <c r="AH64">
        <v>136</v>
      </c>
      <c r="AI64">
        <v>150</v>
      </c>
      <c r="AJ64">
        <v>3</v>
      </c>
      <c r="AK64">
        <v>61</v>
      </c>
      <c r="AL64" t="s">
        <v>250</v>
      </c>
      <c r="AM64" t="s">
        <v>251</v>
      </c>
      <c r="AN64" t="s">
        <v>252</v>
      </c>
      <c r="AO64" t="s">
        <v>1471</v>
      </c>
      <c r="AP64" t="s">
        <v>74</v>
      </c>
      <c r="AQ64" t="s">
        <v>74</v>
      </c>
      <c r="AR64" t="s">
        <v>1472</v>
      </c>
      <c r="AS64" t="s">
        <v>1473</v>
      </c>
      <c r="AT64" t="s">
        <v>1298</v>
      </c>
      <c r="AU64">
        <v>2014</v>
      </c>
      <c r="AV64">
        <v>100</v>
      </c>
      <c r="AW64" t="s">
        <v>74</v>
      </c>
      <c r="AX64" t="s">
        <v>74</v>
      </c>
      <c r="AY64" t="s">
        <v>74</v>
      </c>
      <c r="AZ64" t="s">
        <v>74</v>
      </c>
      <c r="BA64" t="s">
        <v>74</v>
      </c>
      <c r="BB64">
        <v>31</v>
      </c>
      <c r="BC64">
        <v>54</v>
      </c>
      <c r="BD64" t="s">
        <v>74</v>
      </c>
      <c r="BE64" t="s">
        <v>1511</v>
      </c>
      <c r="BF64" t="str">
        <f>HYPERLINK("http://dx.doi.org/10.1016/j.quascirev.2013.08.020","http://dx.doi.org/10.1016/j.quascirev.2013.08.020")</f>
        <v>http://dx.doi.org/10.1016/j.quascirev.2013.08.020</v>
      </c>
      <c r="BG64" t="s">
        <v>74</v>
      </c>
      <c r="BH64" t="s">
        <v>74</v>
      </c>
      <c r="BI64">
        <v>24</v>
      </c>
      <c r="BJ64" t="s">
        <v>1427</v>
      </c>
      <c r="BK64" t="s">
        <v>102</v>
      </c>
      <c r="BL64" t="s">
        <v>1428</v>
      </c>
      <c r="BM64" t="s">
        <v>1475</v>
      </c>
      <c r="BN64" t="s">
        <v>74</v>
      </c>
      <c r="BO64" t="s">
        <v>289</v>
      </c>
      <c r="BP64" t="s">
        <v>74</v>
      </c>
      <c r="BQ64" t="s">
        <v>74</v>
      </c>
      <c r="BR64" t="s">
        <v>105</v>
      </c>
      <c r="BS64" t="s">
        <v>1512</v>
      </c>
      <c r="BT64" t="str">
        <f>HYPERLINK("https%3A%2F%2Fwww.webofscience.com%2Fwos%2Fwoscc%2Ffull-record%2FWOS:000342252700003","View Full Record in Web of Science")</f>
        <v>View Full Record in Web of Science</v>
      </c>
    </row>
    <row r="65" spans="1:72" x14ac:dyDescent="0.15">
      <c r="A65" t="s">
        <v>72</v>
      </c>
      <c r="B65" t="s">
        <v>1513</v>
      </c>
      <c r="C65" t="s">
        <v>74</v>
      </c>
      <c r="D65" t="s">
        <v>74</v>
      </c>
      <c r="E65" t="s">
        <v>74</v>
      </c>
      <c r="F65" t="s">
        <v>1514</v>
      </c>
      <c r="G65" t="s">
        <v>74</v>
      </c>
      <c r="H65" t="s">
        <v>74</v>
      </c>
      <c r="I65" t="s">
        <v>1515</v>
      </c>
      <c r="J65" t="s">
        <v>1458</v>
      </c>
      <c r="K65" t="s">
        <v>74</v>
      </c>
      <c r="L65" t="s">
        <v>74</v>
      </c>
      <c r="M65" t="s">
        <v>78</v>
      </c>
      <c r="N65" t="s">
        <v>1516</v>
      </c>
      <c r="O65" t="s">
        <v>74</v>
      </c>
      <c r="P65" t="s">
        <v>74</v>
      </c>
      <c r="Q65" t="s">
        <v>74</v>
      </c>
      <c r="R65" t="s">
        <v>74</v>
      </c>
      <c r="S65" t="s">
        <v>74</v>
      </c>
      <c r="T65" t="s">
        <v>1517</v>
      </c>
      <c r="U65" t="s">
        <v>1518</v>
      </c>
      <c r="V65" t="s">
        <v>1519</v>
      </c>
      <c r="W65" t="s">
        <v>1520</v>
      </c>
      <c r="X65" t="s">
        <v>1521</v>
      </c>
      <c r="Y65" t="s">
        <v>1522</v>
      </c>
      <c r="Z65" t="s">
        <v>1523</v>
      </c>
      <c r="AA65" t="s">
        <v>1524</v>
      </c>
      <c r="AB65" t="s">
        <v>1525</v>
      </c>
      <c r="AC65" t="s">
        <v>1526</v>
      </c>
      <c r="AD65" t="s">
        <v>1527</v>
      </c>
      <c r="AE65" t="s">
        <v>74</v>
      </c>
      <c r="AF65" t="s">
        <v>74</v>
      </c>
      <c r="AG65">
        <v>202</v>
      </c>
      <c r="AH65">
        <v>77</v>
      </c>
      <c r="AI65">
        <v>88</v>
      </c>
      <c r="AJ65">
        <v>0</v>
      </c>
      <c r="AK65">
        <v>63</v>
      </c>
      <c r="AL65" t="s">
        <v>250</v>
      </c>
      <c r="AM65" t="s">
        <v>251</v>
      </c>
      <c r="AN65" t="s">
        <v>252</v>
      </c>
      <c r="AO65" t="s">
        <v>1471</v>
      </c>
      <c r="AP65" t="s">
        <v>1493</v>
      </c>
      <c r="AQ65" t="s">
        <v>74</v>
      </c>
      <c r="AR65" t="s">
        <v>1472</v>
      </c>
      <c r="AS65" t="s">
        <v>1473</v>
      </c>
      <c r="AT65" t="s">
        <v>1298</v>
      </c>
      <c r="AU65">
        <v>2014</v>
      </c>
      <c r="AV65">
        <v>100</v>
      </c>
      <c r="AW65" t="s">
        <v>74</v>
      </c>
      <c r="AX65" t="s">
        <v>74</v>
      </c>
      <c r="AY65" t="s">
        <v>74</v>
      </c>
      <c r="AZ65" t="s">
        <v>74</v>
      </c>
      <c r="BA65" t="s">
        <v>74</v>
      </c>
      <c r="BB65">
        <v>55</v>
      </c>
      <c r="BC65">
        <v>86</v>
      </c>
      <c r="BD65" t="s">
        <v>74</v>
      </c>
      <c r="BE65" t="s">
        <v>1528</v>
      </c>
      <c r="BF65" t="str">
        <f>HYPERLINK("http://dx.doi.org/10.1016/j.quascirev.2013.10.016","http://dx.doi.org/10.1016/j.quascirev.2013.10.016")</f>
        <v>http://dx.doi.org/10.1016/j.quascirev.2013.10.016</v>
      </c>
      <c r="BG65" t="s">
        <v>74</v>
      </c>
      <c r="BH65" t="s">
        <v>74</v>
      </c>
      <c r="BI65">
        <v>32</v>
      </c>
      <c r="BJ65" t="s">
        <v>1427</v>
      </c>
      <c r="BK65" t="s">
        <v>102</v>
      </c>
      <c r="BL65" t="s">
        <v>1428</v>
      </c>
      <c r="BM65" t="s">
        <v>1475</v>
      </c>
      <c r="BN65" t="s">
        <v>74</v>
      </c>
      <c r="BO65" t="s">
        <v>1529</v>
      </c>
      <c r="BP65" t="s">
        <v>74</v>
      </c>
      <c r="BQ65" t="s">
        <v>74</v>
      </c>
      <c r="BR65" t="s">
        <v>105</v>
      </c>
      <c r="BS65" t="s">
        <v>1530</v>
      </c>
      <c r="BT65" t="str">
        <f>HYPERLINK("https%3A%2F%2Fwww.webofscience.com%2Fwos%2Fwoscc%2Ffull-record%2FWOS:000342252700004","View Full Record in Web of Science")</f>
        <v>View Full Record in Web of Science</v>
      </c>
    </row>
    <row r="66" spans="1:72" x14ac:dyDescent="0.15">
      <c r="A66" t="s">
        <v>72</v>
      </c>
      <c r="B66" t="s">
        <v>1531</v>
      </c>
      <c r="C66" t="s">
        <v>74</v>
      </c>
      <c r="D66" t="s">
        <v>74</v>
      </c>
      <c r="E66" t="s">
        <v>74</v>
      </c>
      <c r="F66" t="s">
        <v>1532</v>
      </c>
      <c r="G66" t="s">
        <v>74</v>
      </c>
      <c r="H66" t="s">
        <v>74</v>
      </c>
      <c r="I66" t="s">
        <v>1533</v>
      </c>
      <c r="J66" t="s">
        <v>1458</v>
      </c>
      <c r="K66" t="s">
        <v>74</v>
      </c>
      <c r="L66" t="s">
        <v>74</v>
      </c>
      <c r="M66" t="s">
        <v>78</v>
      </c>
      <c r="N66" t="s">
        <v>79</v>
      </c>
      <c r="O66" t="s">
        <v>74</v>
      </c>
      <c r="P66" t="s">
        <v>74</v>
      </c>
      <c r="Q66" t="s">
        <v>74</v>
      </c>
      <c r="R66" t="s">
        <v>74</v>
      </c>
      <c r="S66" t="s">
        <v>74</v>
      </c>
      <c r="T66" t="s">
        <v>1534</v>
      </c>
      <c r="U66" t="s">
        <v>1535</v>
      </c>
      <c r="V66" t="s">
        <v>1536</v>
      </c>
      <c r="W66" t="s">
        <v>1537</v>
      </c>
      <c r="X66" t="s">
        <v>1538</v>
      </c>
      <c r="Y66" t="s">
        <v>1539</v>
      </c>
      <c r="Z66" t="s">
        <v>1540</v>
      </c>
      <c r="AA66" t="s">
        <v>1541</v>
      </c>
      <c r="AB66" t="s">
        <v>1542</v>
      </c>
      <c r="AC66" t="s">
        <v>1543</v>
      </c>
      <c r="AD66" t="s">
        <v>1544</v>
      </c>
      <c r="AE66" t="s">
        <v>1545</v>
      </c>
      <c r="AF66" t="s">
        <v>74</v>
      </c>
      <c r="AG66">
        <v>202</v>
      </c>
      <c r="AH66">
        <v>111</v>
      </c>
      <c r="AI66">
        <v>123</v>
      </c>
      <c r="AJ66">
        <v>1</v>
      </c>
      <c r="AK66">
        <v>76</v>
      </c>
      <c r="AL66" t="s">
        <v>250</v>
      </c>
      <c r="AM66" t="s">
        <v>251</v>
      </c>
      <c r="AN66" t="s">
        <v>252</v>
      </c>
      <c r="AO66" t="s">
        <v>1471</v>
      </c>
      <c r="AP66" t="s">
        <v>74</v>
      </c>
      <c r="AQ66" t="s">
        <v>74</v>
      </c>
      <c r="AR66" t="s">
        <v>1472</v>
      </c>
      <c r="AS66" t="s">
        <v>1473</v>
      </c>
      <c r="AT66" t="s">
        <v>1298</v>
      </c>
      <c r="AU66">
        <v>2014</v>
      </c>
      <c r="AV66">
        <v>100</v>
      </c>
      <c r="AW66" t="s">
        <v>74</v>
      </c>
      <c r="AX66" t="s">
        <v>74</v>
      </c>
      <c r="AY66" t="s">
        <v>74</v>
      </c>
      <c r="AZ66" t="s">
        <v>74</v>
      </c>
      <c r="BA66" t="s">
        <v>74</v>
      </c>
      <c r="BB66">
        <v>87</v>
      </c>
      <c r="BC66">
        <v>110</v>
      </c>
      <c r="BD66" t="s">
        <v>74</v>
      </c>
      <c r="BE66" t="s">
        <v>1546</v>
      </c>
      <c r="BF66" t="str">
        <f>HYPERLINK("http://dx.doi.org/10.1016/j.quascirev.2014.06.023","http://dx.doi.org/10.1016/j.quascirev.2014.06.023")</f>
        <v>http://dx.doi.org/10.1016/j.quascirev.2014.06.023</v>
      </c>
      <c r="BG66" t="s">
        <v>74</v>
      </c>
      <c r="BH66" t="s">
        <v>74</v>
      </c>
      <c r="BI66">
        <v>24</v>
      </c>
      <c r="BJ66" t="s">
        <v>1427</v>
      </c>
      <c r="BK66" t="s">
        <v>102</v>
      </c>
      <c r="BL66" t="s">
        <v>1428</v>
      </c>
      <c r="BM66" t="s">
        <v>1475</v>
      </c>
      <c r="BN66" t="s">
        <v>74</v>
      </c>
      <c r="BO66" t="s">
        <v>1476</v>
      </c>
      <c r="BP66" t="s">
        <v>74</v>
      </c>
      <c r="BQ66" t="s">
        <v>74</v>
      </c>
      <c r="BR66" t="s">
        <v>105</v>
      </c>
      <c r="BS66" t="s">
        <v>1547</v>
      </c>
      <c r="BT66" t="str">
        <f>HYPERLINK("https%3A%2F%2Fwww.webofscience.com%2Fwos%2Fwoscc%2Ffull-record%2FWOS:000342252700005","View Full Record in Web of Science")</f>
        <v>View Full Record in Web of Science</v>
      </c>
    </row>
    <row r="67" spans="1:72" x14ac:dyDescent="0.15">
      <c r="A67" t="s">
        <v>72</v>
      </c>
      <c r="B67" t="s">
        <v>1548</v>
      </c>
      <c r="C67" t="s">
        <v>74</v>
      </c>
      <c r="D67" t="s">
        <v>74</v>
      </c>
      <c r="E67" t="s">
        <v>74</v>
      </c>
      <c r="F67" t="s">
        <v>1549</v>
      </c>
      <c r="G67" t="s">
        <v>74</v>
      </c>
      <c r="H67" t="s">
        <v>74</v>
      </c>
      <c r="I67" t="s">
        <v>1550</v>
      </c>
      <c r="J67" t="s">
        <v>1458</v>
      </c>
      <c r="K67" t="s">
        <v>74</v>
      </c>
      <c r="L67" t="s">
        <v>74</v>
      </c>
      <c r="M67" t="s">
        <v>78</v>
      </c>
      <c r="N67" t="s">
        <v>79</v>
      </c>
      <c r="O67" t="s">
        <v>74</v>
      </c>
      <c r="P67" t="s">
        <v>74</v>
      </c>
      <c r="Q67" t="s">
        <v>74</v>
      </c>
      <c r="R67" t="s">
        <v>74</v>
      </c>
      <c r="S67" t="s">
        <v>74</v>
      </c>
      <c r="T67" t="s">
        <v>1551</v>
      </c>
      <c r="U67" t="s">
        <v>1552</v>
      </c>
      <c r="V67" t="s">
        <v>1553</v>
      </c>
      <c r="W67" t="s">
        <v>1554</v>
      </c>
      <c r="X67" t="s">
        <v>1555</v>
      </c>
      <c r="Y67" t="s">
        <v>1556</v>
      </c>
      <c r="Z67" t="s">
        <v>1557</v>
      </c>
      <c r="AA67" t="s">
        <v>1558</v>
      </c>
      <c r="AB67" t="s">
        <v>1559</v>
      </c>
      <c r="AC67" t="s">
        <v>1560</v>
      </c>
      <c r="AD67" t="s">
        <v>1561</v>
      </c>
      <c r="AE67" t="s">
        <v>1562</v>
      </c>
      <c r="AF67" t="s">
        <v>74</v>
      </c>
      <c r="AG67">
        <v>167</v>
      </c>
      <c r="AH67">
        <v>76</v>
      </c>
      <c r="AI67">
        <v>82</v>
      </c>
      <c r="AJ67">
        <v>2</v>
      </c>
      <c r="AK67">
        <v>53</v>
      </c>
      <c r="AL67" t="s">
        <v>250</v>
      </c>
      <c r="AM67" t="s">
        <v>251</v>
      </c>
      <c r="AN67" t="s">
        <v>252</v>
      </c>
      <c r="AO67" t="s">
        <v>1471</v>
      </c>
      <c r="AP67" t="s">
        <v>1493</v>
      </c>
      <c r="AQ67" t="s">
        <v>74</v>
      </c>
      <c r="AR67" t="s">
        <v>1472</v>
      </c>
      <c r="AS67" t="s">
        <v>1473</v>
      </c>
      <c r="AT67" t="s">
        <v>1298</v>
      </c>
      <c r="AU67">
        <v>2014</v>
      </c>
      <c r="AV67">
        <v>100</v>
      </c>
      <c r="AW67" t="s">
        <v>74</v>
      </c>
      <c r="AX67" t="s">
        <v>74</v>
      </c>
      <c r="AY67" t="s">
        <v>74</v>
      </c>
      <c r="AZ67" t="s">
        <v>74</v>
      </c>
      <c r="BA67" t="s">
        <v>74</v>
      </c>
      <c r="BB67">
        <v>111</v>
      </c>
      <c r="BC67">
        <v>136</v>
      </c>
      <c r="BD67" t="s">
        <v>74</v>
      </c>
      <c r="BE67" t="s">
        <v>1563</v>
      </c>
      <c r="BF67" t="str">
        <f>HYPERLINK("http://dx.doi.org/10.1016/j.quascirev.2013.07.020","http://dx.doi.org/10.1016/j.quascirev.2013.07.020")</f>
        <v>http://dx.doi.org/10.1016/j.quascirev.2013.07.020</v>
      </c>
      <c r="BG67" t="s">
        <v>74</v>
      </c>
      <c r="BH67" t="s">
        <v>74</v>
      </c>
      <c r="BI67">
        <v>26</v>
      </c>
      <c r="BJ67" t="s">
        <v>1427</v>
      </c>
      <c r="BK67" t="s">
        <v>102</v>
      </c>
      <c r="BL67" t="s">
        <v>1428</v>
      </c>
      <c r="BM67" t="s">
        <v>1475</v>
      </c>
      <c r="BN67" t="s">
        <v>74</v>
      </c>
      <c r="BO67" t="s">
        <v>1564</v>
      </c>
      <c r="BP67" t="s">
        <v>74</v>
      </c>
      <c r="BQ67" t="s">
        <v>74</v>
      </c>
      <c r="BR67" t="s">
        <v>105</v>
      </c>
      <c r="BS67" t="s">
        <v>1565</v>
      </c>
      <c r="BT67" t="str">
        <f>HYPERLINK("https%3A%2F%2Fwww.webofscience.com%2Fwos%2Fwoscc%2Ffull-record%2FWOS:000342252700006","View Full Record in Web of Science")</f>
        <v>View Full Record in Web of Science</v>
      </c>
    </row>
    <row r="68" spans="1:72" x14ac:dyDescent="0.15">
      <c r="A68" t="s">
        <v>72</v>
      </c>
      <c r="B68" t="s">
        <v>1566</v>
      </c>
      <c r="C68" t="s">
        <v>74</v>
      </c>
      <c r="D68" t="s">
        <v>74</v>
      </c>
      <c r="E68" t="s">
        <v>74</v>
      </c>
      <c r="F68" t="s">
        <v>1567</v>
      </c>
      <c r="G68" t="s">
        <v>74</v>
      </c>
      <c r="H68" t="s">
        <v>74</v>
      </c>
      <c r="I68" t="s">
        <v>1568</v>
      </c>
      <c r="J68" t="s">
        <v>1458</v>
      </c>
      <c r="K68" t="s">
        <v>74</v>
      </c>
      <c r="L68" t="s">
        <v>74</v>
      </c>
      <c r="M68" t="s">
        <v>78</v>
      </c>
      <c r="N68" t="s">
        <v>79</v>
      </c>
      <c r="O68" t="s">
        <v>74</v>
      </c>
      <c r="P68" t="s">
        <v>74</v>
      </c>
      <c r="Q68" t="s">
        <v>74</v>
      </c>
      <c r="R68" t="s">
        <v>74</v>
      </c>
      <c r="S68" t="s">
        <v>74</v>
      </c>
      <c r="T68" t="s">
        <v>1569</v>
      </c>
      <c r="U68" t="s">
        <v>1570</v>
      </c>
      <c r="V68" t="s">
        <v>1571</v>
      </c>
      <c r="W68" t="s">
        <v>1572</v>
      </c>
      <c r="X68" t="s">
        <v>1573</v>
      </c>
      <c r="Y68" t="s">
        <v>1574</v>
      </c>
      <c r="Z68" t="s">
        <v>1575</v>
      </c>
      <c r="AA68" t="s">
        <v>1576</v>
      </c>
      <c r="AB68" t="s">
        <v>1577</v>
      </c>
      <c r="AC68" t="s">
        <v>1578</v>
      </c>
      <c r="AD68" t="s">
        <v>1579</v>
      </c>
      <c r="AE68" t="s">
        <v>1580</v>
      </c>
      <c r="AF68" t="s">
        <v>74</v>
      </c>
      <c r="AG68">
        <v>169</v>
      </c>
      <c r="AH68">
        <v>89</v>
      </c>
      <c r="AI68">
        <v>90</v>
      </c>
      <c r="AJ68">
        <v>4</v>
      </c>
      <c r="AK68">
        <v>78</v>
      </c>
      <c r="AL68" t="s">
        <v>250</v>
      </c>
      <c r="AM68" t="s">
        <v>251</v>
      </c>
      <c r="AN68" t="s">
        <v>252</v>
      </c>
      <c r="AO68" t="s">
        <v>1471</v>
      </c>
      <c r="AP68" t="s">
        <v>74</v>
      </c>
      <c r="AQ68" t="s">
        <v>74</v>
      </c>
      <c r="AR68" t="s">
        <v>1472</v>
      </c>
      <c r="AS68" t="s">
        <v>1473</v>
      </c>
      <c r="AT68" t="s">
        <v>1298</v>
      </c>
      <c r="AU68">
        <v>2014</v>
      </c>
      <c r="AV68">
        <v>100</v>
      </c>
      <c r="AW68" t="s">
        <v>74</v>
      </c>
      <c r="AX68" t="s">
        <v>74</v>
      </c>
      <c r="AY68" t="s">
        <v>74</v>
      </c>
      <c r="AZ68" t="s">
        <v>74</v>
      </c>
      <c r="BA68" t="s">
        <v>74</v>
      </c>
      <c r="BB68">
        <v>137</v>
      </c>
      <c r="BC68">
        <v>158</v>
      </c>
      <c r="BD68" t="s">
        <v>74</v>
      </c>
      <c r="BE68" t="s">
        <v>1581</v>
      </c>
      <c r="BF68" t="str">
        <f>HYPERLINK("http://dx.doi.org/10.1016/j.quascirev.2013.12.001","http://dx.doi.org/10.1016/j.quascirev.2013.12.001")</f>
        <v>http://dx.doi.org/10.1016/j.quascirev.2013.12.001</v>
      </c>
      <c r="BG68" t="s">
        <v>74</v>
      </c>
      <c r="BH68" t="s">
        <v>74</v>
      </c>
      <c r="BI68">
        <v>22</v>
      </c>
      <c r="BJ68" t="s">
        <v>1427</v>
      </c>
      <c r="BK68" t="s">
        <v>102</v>
      </c>
      <c r="BL68" t="s">
        <v>1428</v>
      </c>
      <c r="BM68" t="s">
        <v>1475</v>
      </c>
      <c r="BN68" t="s">
        <v>74</v>
      </c>
      <c r="BO68" t="s">
        <v>1476</v>
      </c>
      <c r="BP68" t="s">
        <v>74</v>
      </c>
      <c r="BQ68" t="s">
        <v>74</v>
      </c>
      <c r="BR68" t="s">
        <v>105</v>
      </c>
      <c r="BS68" t="s">
        <v>1582</v>
      </c>
      <c r="BT68" t="str">
        <f>HYPERLINK("https%3A%2F%2Fwww.webofscience.com%2Fwos%2Fwoscc%2Ffull-record%2FWOS:000342252700007","View Full Record in Web of Science")</f>
        <v>View Full Record in Web of Science</v>
      </c>
    </row>
    <row r="69" spans="1:72" x14ac:dyDescent="0.15">
      <c r="A69" t="s">
        <v>72</v>
      </c>
      <c r="B69" t="s">
        <v>1583</v>
      </c>
      <c r="C69" t="s">
        <v>74</v>
      </c>
      <c r="D69" t="s">
        <v>74</v>
      </c>
      <c r="E69" t="s">
        <v>74</v>
      </c>
      <c r="F69" t="s">
        <v>1584</v>
      </c>
      <c r="G69" t="s">
        <v>74</v>
      </c>
      <c r="H69" t="s">
        <v>74</v>
      </c>
      <c r="I69" t="s">
        <v>1585</v>
      </c>
      <c r="J69" t="s">
        <v>1586</v>
      </c>
      <c r="K69" t="s">
        <v>74</v>
      </c>
      <c r="L69" t="s">
        <v>74</v>
      </c>
      <c r="M69" t="s">
        <v>78</v>
      </c>
      <c r="N69" t="s">
        <v>79</v>
      </c>
      <c r="O69" t="s">
        <v>74</v>
      </c>
      <c r="P69" t="s">
        <v>74</v>
      </c>
      <c r="Q69" t="s">
        <v>74</v>
      </c>
      <c r="R69" t="s">
        <v>74</v>
      </c>
      <c r="S69" t="s">
        <v>74</v>
      </c>
      <c r="T69" t="s">
        <v>1587</v>
      </c>
      <c r="U69" t="s">
        <v>1588</v>
      </c>
      <c r="V69" t="s">
        <v>1589</v>
      </c>
      <c r="W69" t="s">
        <v>1590</v>
      </c>
      <c r="X69" t="s">
        <v>1591</v>
      </c>
      <c r="Y69" t="s">
        <v>1592</v>
      </c>
      <c r="Z69" t="s">
        <v>1593</v>
      </c>
      <c r="AA69" t="s">
        <v>74</v>
      </c>
      <c r="AB69" t="s">
        <v>74</v>
      </c>
      <c r="AC69" t="s">
        <v>1594</v>
      </c>
      <c r="AD69" t="s">
        <v>1595</v>
      </c>
      <c r="AE69" t="s">
        <v>1596</v>
      </c>
      <c r="AF69" t="s">
        <v>74</v>
      </c>
      <c r="AG69">
        <v>78</v>
      </c>
      <c r="AH69">
        <v>29</v>
      </c>
      <c r="AI69">
        <v>33</v>
      </c>
      <c r="AJ69">
        <v>1</v>
      </c>
      <c r="AK69">
        <v>25</v>
      </c>
      <c r="AL69" t="s">
        <v>753</v>
      </c>
      <c r="AM69" t="s">
        <v>124</v>
      </c>
      <c r="AN69" t="s">
        <v>754</v>
      </c>
      <c r="AO69" t="s">
        <v>1597</v>
      </c>
      <c r="AP69" t="s">
        <v>1598</v>
      </c>
      <c r="AQ69" t="s">
        <v>74</v>
      </c>
      <c r="AR69" t="s">
        <v>1586</v>
      </c>
      <c r="AS69" t="s">
        <v>1599</v>
      </c>
      <c r="AT69" t="s">
        <v>1298</v>
      </c>
      <c r="AU69">
        <v>2014</v>
      </c>
      <c r="AV69">
        <v>221</v>
      </c>
      <c r="AW69" t="s">
        <v>74</v>
      </c>
      <c r="AX69" t="s">
        <v>74</v>
      </c>
      <c r="AY69" t="s">
        <v>74</v>
      </c>
      <c r="AZ69" t="s">
        <v>74</v>
      </c>
      <c r="BA69" t="s">
        <v>74</v>
      </c>
      <c r="BB69">
        <v>187</v>
      </c>
      <c r="BC69">
        <v>203</v>
      </c>
      <c r="BD69" t="s">
        <v>74</v>
      </c>
      <c r="BE69" t="s">
        <v>1600</v>
      </c>
      <c r="BF69" t="str">
        <f>HYPERLINK("http://dx.doi.org/10.1016/j.geomorph.2014.06.013","http://dx.doi.org/10.1016/j.geomorph.2014.06.013")</f>
        <v>http://dx.doi.org/10.1016/j.geomorph.2014.06.013</v>
      </c>
      <c r="BG69" t="s">
        <v>74</v>
      </c>
      <c r="BH69" t="s">
        <v>74</v>
      </c>
      <c r="BI69">
        <v>17</v>
      </c>
      <c r="BJ69" t="s">
        <v>1427</v>
      </c>
      <c r="BK69" t="s">
        <v>102</v>
      </c>
      <c r="BL69" t="s">
        <v>1428</v>
      </c>
      <c r="BM69" t="s">
        <v>1601</v>
      </c>
      <c r="BN69" t="s">
        <v>74</v>
      </c>
      <c r="BO69" t="s">
        <v>74</v>
      </c>
      <c r="BP69" t="s">
        <v>74</v>
      </c>
      <c r="BQ69" t="s">
        <v>74</v>
      </c>
      <c r="BR69" t="s">
        <v>105</v>
      </c>
      <c r="BS69" t="s">
        <v>1602</v>
      </c>
      <c r="BT69" t="str">
        <f>HYPERLINK("https%3A%2F%2Fwww.webofscience.com%2Fwos%2Fwoscc%2Ffull-record%2FWOS:000340338000015","View Full Record in Web of Science")</f>
        <v>View Full Record in Web of Science</v>
      </c>
    </row>
    <row r="70" spans="1:72" x14ac:dyDescent="0.15">
      <c r="A70" t="s">
        <v>72</v>
      </c>
      <c r="B70" t="s">
        <v>1603</v>
      </c>
      <c r="C70" t="s">
        <v>74</v>
      </c>
      <c r="D70" t="s">
        <v>74</v>
      </c>
      <c r="E70" t="s">
        <v>74</v>
      </c>
      <c r="F70" t="s">
        <v>1604</v>
      </c>
      <c r="G70" t="s">
        <v>74</v>
      </c>
      <c r="H70" t="s">
        <v>74</v>
      </c>
      <c r="I70" t="s">
        <v>1605</v>
      </c>
      <c r="J70" t="s">
        <v>1606</v>
      </c>
      <c r="K70" t="s">
        <v>74</v>
      </c>
      <c r="L70" t="s">
        <v>74</v>
      </c>
      <c r="M70" t="s">
        <v>78</v>
      </c>
      <c r="N70" t="s">
        <v>79</v>
      </c>
      <c r="O70" t="s">
        <v>74</v>
      </c>
      <c r="P70" t="s">
        <v>74</v>
      </c>
      <c r="Q70" t="s">
        <v>74</v>
      </c>
      <c r="R70" t="s">
        <v>74</v>
      </c>
      <c r="S70" t="s">
        <v>74</v>
      </c>
      <c r="T70" t="s">
        <v>74</v>
      </c>
      <c r="U70" t="s">
        <v>1607</v>
      </c>
      <c r="V70" t="s">
        <v>1608</v>
      </c>
      <c r="W70" t="s">
        <v>1609</v>
      </c>
      <c r="X70" t="s">
        <v>1610</v>
      </c>
      <c r="Y70" t="s">
        <v>1611</v>
      </c>
      <c r="Z70" t="s">
        <v>1612</v>
      </c>
      <c r="AA70" t="s">
        <v>74</v>
      </c>
      <c r="AB70" t="s">
        <v>1613</v>
      </c>
      <c r="AC70" t="s">
        <v>1614</v>
      </c>
      <c r="AD70" t="s">
        <v>1615</v>
      </c>
      <c r="AE70" t="s">
        <v>1616</v>
      </c>
      <c r="AF70" t="s">
        <v>74</v>
      </c>
      <c r="AG70">
        <v>19</v>
      </c>
      <c r="AH70">
        <v>3</v>
      </c>
      <c r="AI70">
        <v>3</v>
      </c>
      <c r="AJ70">
        <v>1</v>
      </c>
      <c r="AK70">
        <v>28</v>
      </c>
      <c r="AL70" t="s">
        <v>171</v>
      </c>
      <c r="AM70" t="s">
        <v>93</v>
      </c>
      <c r="AN70" t="s">
        <v>94</v>
      </c>
      <c r="AO70" t="s">
        <v>1617</v>
      </c>
      <c r="AP70" t="s">
        <v>1618</v>
      </c>
      <c r="AQ70" t="s">
        <v>74</v>
      </c>
      <c r="AR70" t="s">
        <v>1619</v>
      </c>
      <c r="AS70" t="s">
        <v>1620</v>
      </c>
      <c r="AT70" t="s">
        <v>1298</v>
      </c>
      <c r="AU70">
        <v>2014</v>
      </c>
      <c r="AV70">
        <v>28</v>
      </c>
      <c r="AW70">
        <v>17</v>
      </c>
      <c r="AX70" t="s">
        <v>74</v>
      </c>
      <c r="AY70" t="s">
        <v>74</v>
      </c>
      <c r="AZ70" t="s">
        <v>74</v>
      </c>
      <c r="BA70" t="s">
        <v>74</v>
      </c>
      <c r="BB70">
        <v>1937</v>
      </c>
      <c r="BC70">
        <v>1947</v>
      </c>
      <c r="BD70" t="s">
        <v>74</v>
      </c>
      <c r="BE70" t="s">
        <v>1621</v>
      </c>
      <c r="BF70" t="str">
        <f>HYPERLINK("http://dx.doi.org/10.1002/rcm.6974","http://dx.doi.org/10.1002/rcm.6974")</f>
        <v>http://dx.doi.org/10.1002/rcm.6974</v>
      </c>
      <c r="BG70" t="s">
        <v>74</v>
      </c>
      <c r="BH70" t="s">
        <v>74</v>
      </c>
      <c r="BI70">
        <v>11</v>
      </c>
      <c r="BJ70" t="s">
        <v>1622</v>
      </c>
      <c r="BK70" t="s">
        <v>102</v>
      </c>
      <c r="BL70" t="s">
        <v>1623</v>
      </c>
      <c r="BM70" t="s">
        <v>1624</v>
      </c>
      <c r="BN70">
        <v>25088137</v>
      </c>
      <c r="BO70" t="s">
        <v>74</v>
      </c>
      <c r="BP70" t="s">
        <v>74</v>
      </c>
      <c r="BQ70" t="s">
        <v>74</v>
      </c>
      <c r="BR70" t="s">
        <v>105</v>
      </c>
      <c r="BS70" t="s">
        <v>1625</v>
      </c>
      <c r="BT70" t="str">
        <f>HYPERLINK("https%3A%2F%2Fwww.webofscience.com%2Fwos%2Fwoscc%2Ffull-record%2FWOS:000340452100010","View Full Record in Web of Science")</f>
        <v>View Full Record in Web of Science</v>
      </c>
    </row>
    <row r="71" spans="1:72" x14ac:dyDescent="0.15">
      <c r="A71" t="s">
        <v>72</v>
      </c>
      <c r="B71" t="s">
        <v>1626</v>
      </c>
      <c r="C71" t="s">
        <v>74</v>
      </c>
      <c r="D71" t="s">
        <v>74</v>
      </c>
      <c r="E71" t="s">
        <v>74</v>
      </c>
      <c r="F71" t="s">
        <v>1627</v>
      </c>
      <c r="G71" t="s">
        <v>74</v>
      </c>
      <c r="H71" t="s">
        <v>74</v>
      </c>
      <c r="I71" t="s">
        <v>1628</v>
      </c>
      <c r="J71" t="s">
        <v>1629</v>
      </c>
      <c r="K71" t="s">
        <v>74</v>
      </c>
      <c r="L71" t="s">
        <v>74</v>
      </c>
      <c r="M71" t="s">
        <v>78</v>
      </c>
      <c r="N71" t="s">
        <v>79</v>
      </c>
      <c r="O71" t="s">
        <v>74</v>
      </c>
      <c r="P71" t="s">
        <v>74</v>
      </c>
      <c r="Q71" t="s">
        <v>74</v>
      </c>
      <c r="R71" t="s">
        <v>74</v>
      </c>
      <c r="S71" t="s">
        <v>74</v>
      </c>
      <c r="T71" t="s">
        <v>74</v>
      </c>
      <c r="U71" t="s">
        <v>1630</v>
      </c>
      <c r="V71" t="s">
        <v>1631</v>
      </c>
      <c r="W71" t="s">
        <v>1632</v>
      </c>
      <c r="X71" t="s">
        <v>1633</v>
      </c>
      <c r="Y71" t="s">
        <v>1634</v>
      </c>
      <c r="Z71" t="s">
        <v>1635</v>
      </c>
      <c r="AA71" t="s">
        <v>1636</v>
      </c>
      <c r="AB71" t="s">
        <v>1637</v>
      </c>
      <c r="AC71" t="s">
        <v>1638</v>
      </c>
      <c r="AD71" t="s">
        <v>1639</v>
      </c>
      <c r="AE71" t="s">
        <v>1640</v>
      </c>
      <c r="AF71" t="s">
        <v>74</v>
      </c>
      <c r="AG71">
        <v>28</v>
      </c>
      <c r="AH71">
        <v>39</v>
      </c>
      <c r="AI71">
        <v>46</v>
      </c>
      <c r="AJ71">
        <v>1</v>
      </c>
      <c r="AK71">
        <v>49</v>
      </c>
      <c r="AL71" t="s">
        <v>1641</v>
      </c>
      <c r="AM71" t="s">
        <v>332</v>
      </c>
      <c r="AN71" t="s">
        <v>1642</v>
      </c>
      <c r="AO71" t="s">
        <v>1643</v>
      </c>
      <c r="AP71" t="s">
        <v>1644</v>
      </c>
      <c r="AQ71" t="s">
        <v>74</v>
      </c>
      <c r="AR71" t="s">
        <v>1629</v>
      </c>
      <c r="AS71" t="s">
        <v>1645</v>
      </c>
      <c r="AT71" t="s">
        <v>1646</v>
      </c>
      <c r="AU71">
        <v>2014</v>
      </c>
      <c r="AV71">
        <v>345</v>
      </c>
      <c r="AW71">
        <v>6202</v>
      </c>
      <c r="AX71" t="s">
        <v>74</v>
      </c>
      <c r="AY71" t="s">
        <v>74</v>
      </c>
      <c r="AZ71" t="s">
        <v>74</v>
      </c>
      <c r="BA71" t="s">
        <v>74</v>
      </c>
      <c r="BB71">
        <v>1354</v>
      </c>
      <c r="BC71">
        <v>1358</v>
      </c>
      <c r="BD71" t="s">
        <v>74</v>
      </c>
      <c r="BE71" t="s">
        <v>1647</v>
      </c>
      <c r="BF71" t="str">
        <f>HYPERLINK("http://dx.doi.org/10.1126/science.1256697","http://dx.doi.org/10.1126/science.1256697")</f>
        <v>http://dx.doi.org/10.1126/science.1256697</v>
      </c>
      <c r="BG71" t="s">
        <v>74</v>
      </c>
      <c r="BH71" t="s">
        <v>74</v>
      </c>
      <c r="BI71">
        <v>5</v>
      </c>
      <c r="BJ71" t="s">
        <v>660</v>
      </c>
      <c r="BK71" t="s">
        <v>102</v>
      </c>
      <c r="BL71" t="s">
        <v>661</v>
      </c>
      <c r="BM71" t="s">
        <v>1648</v>
      </c>
      <c r="BN71">
        <v>25214629</v>
      </c>
      <c r="BO71" t="s">
        <v>359</v>
      </c>
      <c r="BP71" t="s">
        <v>74</v>
      </c>
      <c r="BQ71" t="s">
        <v>74</v>
      </c>
      <c r="BR71" t="s">
        <v>105</v>
      </c>
      <c r="BS71" t="s">
        <v>1649</v>
      </c>
      <c r="BT71" t="str">
        <f>HYPERLINK("https%3A%2F%2Fwww.webofscience.com%2Fwos%2Fwoscc%2Ffull-record%2FWOS:000341483800067","View Full Record in Web of Science")</f>
        <v>View Full Record in Web of Science</v>
      </c>
    </row>
    <row r="72" spans="1:72" x14ac:dyDescent="0.15">
      <c r="A72" t="s">
        <v>72</v>
      </c>
      <c r="B72" t="s">
        <v>1650</v>
      </c>
      <c r="C72" t="s">
        <v>74</v>
      </c>
      <c r="D72" t="s">
        <v>74</v>
      </c>
      <c r="E72" t="s">
        <v>74</v>
      </c>
      <c r="F72" t="s">
        <v>1651</v>
      </c>
      <c r="G72" t="s">
        <v>74</v>
      </c>
      <c r="H72" t="s">
        <v>74</v>
      </c>
      <c r="I72" t="s">
        <v>1652</v>
      </c>
      <c r="J72" t="s">
        <v>1129</v>
      </c>
      <c r="K72" t="s">
        <v>74</v>
      </c>
      <c r="L72" t="s">
        <v>74</v>
      </c>
      <c r="M72" t="s">
        <v>78</v>
      </c>
      <c r="N72" t="s">
        <v>79</v>
      </c>
      <c r="O72" t="s">
        <v>74</v>
      </c>
      <c r="P72" t="s">
        <v>74</v>
      </c>
      <c r="Q72" t="s">
        <v>74</v>
      </c>
      <c r="R72" t="s">
        <v>74</v>
      </c>
      <c r="S72" t="s">
        <v>74</v>
      </c>
      <c r="T72" t="s">
        <v>74</v>
      </c>
      <c r="U72" t="s">
        <v>1653</v>
      </c>
      <c r="V72" t="s">
        <v>1654</v>
      </c>
      <c r="W72" t="s">
        <v>1655</v>
      </c>
      <c r="X72" t="s">
        <v>1656</v>
      </c>
      <c r="Y72" t="s">
        <v>1657</v>
      </c>
      <c r="Z72" t="s">
        <v>1658</v>
      </c>
      <c r="AA72" t="s">
        <v>1659</v>
      </c>
      <c r="AB72" t="s">
        <v>1660</v>
      </c>
      <c r="AC72" t="s">
        <v>1661</v>
      </c>
      <c r="AD72" t="s">
        <v>1662</v>
      </c>
      <c r="AE72" t="s">
        <v>1663</v>
      </c>
      <c r="AF72" t="s">
        <v>74</v>
      </c>
      <c r="AG72">
        <v>50</v>
      </c>
      <c r="AH72">
        <v>69</v>
      </c>
      <c r="AI72">
        <v>80</v>
      </c>
      <c r="AJ72">
        <v>0</v>
      </c>
      <c r="AK72">
        <v>73</v>
      </c>
      <c r="AL72" t="s">
        <v>653</v>
      </c>
      <c r="AM72" t="s">
        <v>654</v>
      </c>
      <c r="AN72" t="s">
        <v>655</v>
      </c>
      <c r="AO72" t="s">
        <v>1135</v>
      </c>
      <c r="AP72" t="s">
        <v>1136</v>
      </c>
      <c r="AQ72" t="s">
        <v>74</v>
      </c>
      <c r="AR72" t="s">
        <v>1129</v>
      </c>
      <c r="AS72" t="s">
        <v>1137</v>
      </c>
      <c r="AT72" t="s">
        <v>1664</v>
      </c>
      <c r="AU72">
        <v>2014</v>
      </c>
      <c r="AV72">
        <v>513</v>
      </c>
      <c r="AW72">
        <v>7517</v>
      </c>
      <c r="AX72" t="s">
        <v>74</v>
      </c>
      <c r="AY72" t="s">
        <v>74</v>
      </c>
      <c r="AZ72" t="s">
        <v>74</v>
      </c>
      <c r="BA72" t="s">
        <v>74</v>
      </c>
      <c r="BB72">
        <v>224</v>
      </c>
      <c r="BC72">
        <v>228</v>
      </c>
      <c r="BD72" t="s">
        <v>74</v>
      </c>
      <c r="BE72" t="s">
        <v>1665</v>
      </c>
      <c r="BF72" t="str">
        <f>HYPERLINK("http://dx.doi.org/10.1038/nature13546","http://dx.doi.org/10.1038/nature13546")</f>
        <v>http://dx.doi.org/10.1038/nature13546</v>
      </c>
      <c r="BG72" t="s">
        <v>74</v>
      </c>
      <c r="BH72" t="s">
        <v>74</v>
      </c>
      <c r="BI72">
        <v>5</v>
      </c>
      <c r="BJ72" t="s">
        <v>660</v>
      </c>
      <c r="BK72" t="s">
        <v>102</v>
      </c>
      <c r="BL72" t="s">
        <v>661</v>
      </c>
      <c r="BM72" t="s">
        <v>1666</v>
      </c>
      <c r="BN72">
        <v>25156258</v>
      </c>
      <c r="BO72" t="s">
        <v>74</v>
      </c>
      <c r="BP72" t="s">
        <v>74</v>
      </c>
      <c r="BQ72" t="s">
        <v>74</v>
      </c>
      <c r="BR72" t="s">
        <v>105</v>
      </c>
      <c r="BS72" t="s">
        <v>1667</v>
      </c>
      <c r="BT72" t="str">
        <f>HYPERLINK("https%3A%2F%2Fwww.webofscience.com%2Fwos%2Fwoscc%2Ffull-record%2FWOS:000341362800048","View Full Record in Web of Science")</f>
        <v>View Full Record in Web of Science</v>
      </c>
    </row>
    <row r="73" spans="1:72" x14ac:dyDescent="0.15">
      <c r="A73" t="s">
        <v>72</v>
      </c>
      <c r="B73" t="s">
        <v>1668</v>
      </c>
      <c r="C73" t="s">
        <v>74</v>
      </c>
      <c r="D73" t="s">
        <v>74</v>
      </c>
      <c r="E73" t="s">
        <v>74</v>
      </c>
      <c r="F73" t="s">
        <v>1669</v>
      </c>
      <c r="G73" t="s">
        <v>74</v>
      </c>
      <c r="H73" t="s">
        <v>74</v>
      </c>
      <c r="I73" t="s">
        <v>1670</v>
      </c>
      <c r="J73" t="s">
        <v>1629</v>
      </c>
      <c r="K73" t="s">
        <v>74</v>
      </c>
      <c r="L73" t="s">
        <v>74</v>
      </c>
      <c r="M73" t="s">
        <v>78</v>
      </c>
      <c r="N73" t="s">
        <v>1516</v>
      </c>
      <c r="O73" t="s">
        <v>74</v>
      </c>
      <c r="P73" t="s">
        <v>74</v>
      </c>
      <c r="Q73" t="s">
        <v>74</v>
      </c>
      <c r="R73" t="s">
        <v>74</v>
      </c>
      <c r="S73" t="s">
        <v>74</v>
      </c>
      <c r="T73" t="s">
        <v>74</v>
      </c>
      <c r="U73" t="s">
        <v>1671</v>
      </c>
      <c r="V73" t="s">
        <v>74</v>
      </c>
      <c r="W73" t="s">
        <v>1672</v>
      </c>
      <c r="X73" t="s">
        <v>1022</v>
      </c>
      <c r="Y73" t="s">
        <v>1673</v>
      </c>
      <c r="Z73" t="s">
        <v>1674</v>
      </c>
      <c r="AA73" t="s">
        <v>1675</v>
      </c>
      <c r="AB73" t="s">
        <v>1676</v>
      </c>
      <c r="AC73" t="s">
        <v>1677</v>
      </c>
      <c r="AD73" t="s">
        <v>678</v>
      </c>
      <c r="AE73" t="s">
        <v>74</v>
      </c>
      <c r="AF73" t="s">
        <v>74</v>
      </c>
      <c r="AG73">
        <v>12</v>
      </c>
      <c r="AH73">
        <v>0</v>
      </c>
      <c r="AI73">
        <v>0</v>
      </c>
      <c r="AJ73">
        <v>0</v>
      </c>
      <c r="AK73">
        <v>17</v>
      </c>
      <c r="AL73" t="s">
        <v>1641</v>
      </c>
      <c r="AM73" t="s">
        <v>332</v>
      </c>
      <c r="AN73" t="s">
        <v>1642</v>
      </c>
      <c r="AO73" t="s">
        <v>1643</v>
      </c>
      <c r="AP73" t="s">
        <v>1644</v>
      </c>
      <c r="AQ73" t="s">
        <v>74</v>
      </c>
      <c r="AR73" t="s">
        <v>1629</v>
      </c>
      <c r="AS73" t="s">
        <v>1645</v>
      </c>
      <c r="AT73" t="s">
        <v>1678</v>
      </c>
      <c r="AU73">
        <v>2014</v>
      </c>
      <c r="AV73">
        <v>345</v>
      </c>
      <c r="AW73">
        <v>6201</v>
      </c>
      <c r="AX73" t="s">
        <v>74</v>
      </c>
      <c r="AY73" t="s">
        <v>74</v>
      </c>
      <c r="AZ73" t="s">
        <v>74</v>
      </c>
      <c r="BA73" t="s">
        <v>74</v>
      </c>
      <c r="BB73">
        <v>1116</v>
      </c>
      <c r="BC73">
        <v>1117</v>
      </c>
      <c r="BD73" t="s">
        <v>74</v>
      </c>
      <c r="BE73" t="s">
        <v>1679</v>
      </c>
      <c r="BF73" t="str">
        <f>HYPERLINK("http://dx.doi.org/10.1126/science.1257842","http://dx.doi.org/10.1126/science.1257842")</f>
        <v>http://dx.doi.org/10.1126/science.1257842</v>
      </c>
      <c r="BG73" t="s">
        <v>74</v>
      </c>
      <c r="BH73" t="s">
        <v>74</v>
      </c>
      <c r="BI73">
        <v>2</v>
      </c>
      <c r="BJ73" t="s">
        <v>660</v>
      </c>
      <c r="BK73" t="s">
        <v>102</v>
      </c>
      <c r="BL73" t="s">
        <v>661</v>
      </c>
      <c r="BM73" t="s">
        <v>1680</v>
      </c>
      <c r="BN73">
        <v>25190777</v>
      </c>
      <c r="BO73" t="s">
        <v>359</v>
      </c>
      <c r="BP73" t="s">
        <v>74</v>
      </c>
      <c r="BQ73" t="s">
        <v>74</v>
      </c>
      <c r="BR73" t="s">
        <v>105</v>
      </c>
      <c r="BS73" t="s">
        <v>1681</v>
      </c>
      <c r="BT73" t="str">
        <f>HYPERLINK("https%3A%2F%2Fwww.webofscience.com%2Fwos%2Fwoscc%2Ffull-record%2FWOS:000341179800019","View Full Record in Web of Science")</f>
        <v>View Full Record in Web of Science</v>
      </c>
    </row>
    <row r="74" spans="1:72" x14ac:dyDescent="0.15">
      <c r="A74" t="s">
        <v>72</v>
      </c>
      <c r="B74" t="s">
        <v>1682</v>
      </c>
      <c r="C74" t="s">
        <v>74</v>
      </c>
      <c r="D74" t="s">
        <v>74</v>
      </c>
      <c r="E74" t="s">
        <v>74</v>
      </c>
      <c r="F74" t="s">
        <v>1683</v>
      </c>
      <c r="G74" t="s">
        <v>74</v>
      </c>
      <c r="H74" t="s">
        <v>74</v>
      </c>
      <c r="I74" t="s">
        <v>1684</v>
      </c>
      <c r="J74" t="s">
        <v>1629</v>
      </c>
      <c r="K74" t="s">
        <v>74</v>
      </c>
      <c r="L74" t="s">
        <v>74</v>
      </c>
      <c r="M74" t="s">
        <v>78</v>
      </c>
      <c r="N74" t="s">
        <v>1516</v>
      </c>
      <c r="O74" t="s">
        <v>74</v>
      </c>
      <c r="P74" t="s">
        <v>74</v>
      </c>
      <c r="Q74" t="s">
        <v>74</v>
      </c>
      <c r="R74" t="s">
        <v>74</v>
      </c>
      <c r="S74" t="s">
        <v>74</v>
      </c>
      <c r="T74" t="s">
        <v>74</v>
      </c>
      <c r="U74" t="s">
        <v>74</v>
      </c>
      <c r="V74" t="s">
        <v>74</v>
      </c>
      <c r="W74" t="s">
        <v>1685</v>
      </c>
      <c r="X74" t="s">
        <v>1686</v>
      </c>
      <c r="Y74" t="s">
        <v>1687</v>
      </c>
      <c r="Z74" t="s">
        <v>1688</v>
      </c>
      <c r="AA74" t="s">
        <v>74</v>
      </c>
      <c r="AB74" t="s">
        <v>74</v>
      </c>
      <c r="AC74" t="s">
        <v>74</v>
      </c>
      <c r="AD74" t="s">
        <v>74</v>
      </c>
      <c r="AE74" t="s">
        <v>74</v>
      </c>
      <c r="AF74" t="s">
        <v>74</v>
      </c>
      <c r="AG74">
        <v>6</v>
      </c>
      <c r="AH74">
        <v>17</v>
      </c>
      <c r="AI74">
        <v>17</v>
      </c>
      <c r="AJ74">
        <v>2</v>
      </c>
      <c r="AK74">
        <v>28</v>
      </c>
      <c r="AL74" t="s">
        <v>1641</v>
      </c>
      <c r="AM74" t="s">
        <v>332</v>
      </c>
      <c r="AN74" t="s">
        <v>1642</v>
      </c>
      <c r="AO74" t="s">
        <v>1643</v>
      </c>
      <c r="AP74" t="s">
        <v>1644</v>
      </c>
      <c r="AQ74" t="s">
        <v>74</v>
      </c>
      <c r="AR74" t="s">
        <v>1629</v>
      </c>
      <c r="AS74" t="s">
        <v>1645</v>
      </c>
      <c r="AT74" t="s">
        <v>1678</v>
      </c>
      <c r="AU74">
        <v>2014</v>
      </c>
      <c r="AV74">
        <v>345</v>
      </c>
      <c r="AW74">
        <v>6201</v>
      </c>
      <c r="AX74" t="s">
        <v>74</v>
      </c>
      <c r="AY74" t="s">
        <v>74</v>
      </c>
      <c r="AZ74" t="s">
        <v>74</v>
      </c>
      <c r="BA74" t="s">
        <v>74</v>
      </c>
      <c r="BB74">
        <v>1125</v>
      </c>
      <c r="BC74">
        <v>1126</v>
      </c>
      <c r="BD74" t="s">
        <v>74</v>
      </c>
      <c r="BE74" t="s">
        <v>1689</v>
      </c>
      <c r="BF74" t="str">
        <f>HYPERLINK("http://dx.doi.org/10.1126/science.1254616","http://dx.doi.org/10.1126/science.1254616")</f>
        <v>http://dx.doi.org/10.1126/science.1254616</v>
      </c>
      <c r="BG74" t="s">
        <v>74</v>
      </c>
      <c r="BH74" t="s">
        <v>74</v>
      </c>
      <c r="BI74">
        <v>2</v>
      </c>
      <c r="BJ74" t="s">
        <v>660</v>
      </c>
      <c r="BK74" t="s">
        <v>1690</v>
      </c>
      <c r="BL74" t="s">
        <v>661</v>
      </c>
      <c r="BM74" t="s">
        <v>1680</v>
      </c>
      <c r="BN74">
        <v>25190783</v>
      </c>
      <c r="BO74" t="s">
        <v>74</v>
      </c>
      <c r="BP74" t="s">
        <v>74</v>
      </c>
      <c r="BQ74" t="s">
        <v>74</v>
      </c>
      <c r="BR74" t="s">
        <v>105</v>
      </c>
      <c r="BS74" t="s">
        <v>1691</v>
      </c>
      <c r="BT74" t="str">
        <f>HYPERLINK("https%3A%2F%2Fwww.webofscience.com%2Fwos%2Fwoscc%2Ffull-record%2FWOS:000341179800025","View Full Record in Web of Science")</f>
        <v>View Full Record in Web of Science</v>
      </c>
    </row>
    <row r="75" spans="1:72" x14ac:dyDescent="0.15">
      <c r="A75" t="s">
        <v>72</v>
      </c>
      <c r="B75" t="s">
        <v>1692</v>
      </c>
      <c r="C75" t="s">
        <v>74</v>
      </c>
      <c r="D75" t="s">
        <v>74</v>
      </c>
      <c r="E75" t="s">
        <v>74</v>
      </c>
      <c r="F75" t="s">
        <v>1693</v>
      </c>
      <c r="G75" t="s">
        <v>74</v>
      </c>
      <c r="H75" t="s">
        <v>74</v>
      </c>
      <c r="I75" t="s">
        <v>1694</v>
      </c>
      <c r="J75" t="s">
        <v>1083</v>
      </c>
      <c r="K75" t="s">
        <v>74</v>
      </c>
      <c r="L75" t="s">
        <v>74</v>
      </c>
      <c r="M75" t="s">
        <v>78</v>
      </c>
      <c r="N75" t="s">
        <v>79</v>
      </c>
      <c r="O75" t="s">
        <v>74</v>
      </c>
      <c r="P75" t="s">
        <v>74</v>
      </c>
      <c r="Q75" t="s">
        <v>74</v>
      </c>
      <c r="R75" t="s">
        <v>74</v>
      </c>
      <c r="S75" t="s">
        <v>74</v>
      </c>
      <c r="T75" t="s">
        <v>74</v>
      </c>
      <c r="U75" t="s">
        <v>1695</v>
      </c>
      <c r="V75" t="s">
        <v>1696</v>
      </c>
      <c r="W75" t="s">
        <v>1697</v>
      </c>
      <c r="X75" t="s">
        <v>1698</v>
      </c>
      <c r="Y75" t="s">
        <v>1699</v>
      </c>
      <c r="Z75" t="s">
        <v>1700</v>
      </c>
      <c r="AA75" t="s">
        <v>1701</v>
      </c>
      <c r="AB75" t="s">
        <v>1702</v>
      </c>
      <c r="AC75" t="s">
        <v>1703</v>
      </c>
      <c r="AD75" t="s">
        <v>1704</v>
      </c>
      <c r="AE75" t="s">
        <v>1705</v>
      </c>
      <c r="AF75" t="s">
        <v>74</v>
      </c>
      <c r="AG75">
        <v>54</v>
      </c>
      <c r="AH75">
        <v>59</v>
      </c>
      <c r="AI75">
        <v>70</v>
      </c>
      <c r="AJ75">
        <v>1</v>
      </c>
      <c r="AK75">
        <v>83</v>
      </c>
      <c r="AL75" t="s">
        <v>1090</v>
      </c>
      <c r="AM75" t="s">
        <v>1091</v>
      </c>
      <c r="AN75" t="s">
        <v>1092</v>
      </c>
      <c r="AO75" t="s">
        <v>1093</v>
      </c>
      <c r="AP75" t="s">
        <v>74</v>
      </c>
      <c r="AQ75" t="s">
        <v>74</v>
      </c>
      <c r="AR75" t="s">
        <v>1083</v>
      </c>
      <c r="AS75" t="s">
        <v>1094</v>
      </c>
      <c r="AT75" t="s">
        <v>1706</v>
      </c>
      <c r="AU75">
        <v>2014</v>
      </c>
      <c r="AV75">
        <v>9</v>
      </c>
      <c r="AW75">
        <v>9</v>
      </c>
      <c r="AX75" t="s">
        <v>74</v>
      </c>
      <c r="AY75" t="s">
        <v>74</v>
      </c>
      <c r="AZ75" t="s">
        <v>74</v>
      </c>
      <c r="BA75" t="s">
        <v>74</v>
      </c>
      <c r="BB75" t="s">
        <v>74</v>
      </c>
      <c r="BC75" t="s">
        <v>74</v>
      </c>
      <c r="BD75" t="s">
        <v>1707</v>
      </c>
      <c r="BE75" t="s">
        <v>1708</v>
      </c>
      <c r="BF75" t="str">
        <f>HYPERLINK("http://dx.doi.org/10.1371/journal.pone.0107032","http://dx.doi.org/10.1371/journal.pone.0107032")</f>
        <v>http://dx.doi.org/10.1371/journal.pone.0107032</v>
      </c>
      <c r="BG75" t="s">
        <v>74</v>
      </c>
      <c r="BH75" t="s">
        <v>74</v>
      </c>
      <c r="BI75">
        <v>7</v>
      </c>
      <c r="BJ75" t="s">
        <v>660</v>
      </c>
      <c r="BK75" t="s">
        <v>102</v>
      </c>
      <c r="BL75" t="s">
        <v>661</v>
      </c>
      <c r="BM75" t="s">
        <v>1709</v>
      </c>
      <c r="BN75">
        <v>25188380</v>
      </c>
      <c r="BO75" t="s">
        <v>1710</v>
      </c>
      <c r="BP75" t="s">
        <v>74</v>
      </c>
      <c r="BQ75" t="s">
        <v>74</v>
      </c>
      <c r="BR75" t="s">
        <v>105</v>
      </c>
      <c r="BS75" t="s">
        <v>1711</v>
      </c>
      <c r="BT75" t="str">
        <f>HYPERLINK("https%3A%2F%2Fwww.webofscience.com%2Fwos%2Fwoscc%2Ffull-record%2FWOS:000341271500110","View Full Record in Web of Science")</f>
        <v>View Full Record in Web of Science</v>
      </c>
    </row>
    <row r="76" spans="1:72" x14ac:dyDescent="0.15">
      <c r="A76" t="s">
        <v>72</v>
      </c>
      <c r="B76" t="s">
        <v>1712</v>
      </c>
      <c r="C76" t="s">
        <v>74</v>
      </c>
      <c r="D76" t="s">
        <v>74</v>
      </c>
      <c r="E76" t="s">
        <v>74</v>
      </c>
      <c r="F76" t="s">
        <v>1713</v>
      </c>
      <c r="G76" t="s">
        <v>74</v>
      </c>
      <c r="H76" t="s">
        <v>74</v>
      </c>
      <c r="I76" t="s">
        <v>1714</v>
      </c>
      <c r="J76" t="s">
        <v>1715</v>
      </c>
      <c r="K76" t="s">
        <v>74</v>
      </c>
      <c r="L76" t="s">
        <v>74</v>
      </c>
      <c r="M76" t="s">
        <v>78</v>
      </c>
      <c r="N76" t="s">
        <v>79</v>
      </c>
      <c r="O76" t="s">
        <v>74</v>
      </c>
      <c r="P76" t="s">
        <v>74</v>
      </c>
      <c r="Q76" t="s">
        <v>74</v>
      </c>
      <c r="R76" t="s">
        <v>74</v>
      </c>
      <c r="S76" t="s">
        <v>74</v>
      </c>
      <c r="T76" t="s">
        <v>1716</v>
      </c>
      <c r="U76" t="s">
        <v>1717</v>
      </c>
      <c r="V76" t="s">
        <v>1718</v>
      </c>
      <c r="W76" t="s">
        <v>1719</v>
      </c>
      <c r="X76" t="s">
        <v>1720</v>
      </c>
      <c r="Y76" t="s">
        <v>1721</v>
      </c>
      <c r="Z76" t="s">
        <v>1722</v>
      </c>
      <c r="AA76" t="s">
        <v>1723</v>
      </c>
      <c r="AB76" t="s">
        <v>1724</v>
      </c>
      <c r="AC76" t="s">
        <v>1725</v>
      </c>
      <c r="AD76" t="s">
        <v>1726</v>
      </c>
      <c r="AE76" t="s">
        <v>1727</v>
      </c>
      <c r="AF76" t="s">
        <v>74</v>
      </c>
      <c r="AG76">
        <v>80</v>
      </c>
      <c r="AH76">
        <v>8</v>
      </c>
      <c r="AI76">
        <v>8</v>
      </c>
      <c r="AJ76">
        <v>0</v>
      </c>
      <c r="AK76">
        <v>7</v>
      </c>
      <c r="AL76" t="s">
        <v>123</v>
      </c>
      <c r="AM76" t="s">
        <v>124</v>
      </c>
      <c r="AN76" t="s">
        <v>125</v>
      </c>
      <c r="AO76" t="s">
        <v>1728</v>
      </c>
      <c r="AP76" t="s">
        <v>1729</v>
      </c>
      <c r="AQ76" t="s">
        <v>74</v>
      </c>
      <c r="AR76" t="s">
        <v>1715</v>
      </c>
      <c r="AS76" t="s">
        <v>1730</v>
      </c>
      <c r="AT76" t="s">
        <v>1731</v>
      </c>
      <c r="AU76">
        <v>2014</v>
      </c>
      <c r="AV76">
        <v>630</v>
      </c>
      <c r="AW76" t="s">
        <v>74</v>
      </c>
      <c r="AX76" t="s">
        <v>74</v>
      </c>
      <c r="AY76" t="s">
        <v>74</v>
      </c>
      <c r="AZ76" t="s">
        <v>74</v>
      </c>
      <c r="BA76" t="s">
        <v>74</v>
      </c>
      <c r="BB76">
        <v>113</v>
      </c>
      <c r="BC76">
        <v>130</v>
      </c>
      <c r="BD76" t="s">
        <v>74</v>
      </c>
      <c r="BE76" t="s">
        <v>1732</v>
      </c>
      <c r="BF76" t="str">
        <f>HYPERLINK("http://dx.doi.org/10.1016/j.tecto.2014.05.020","http://dx.doi.org/10.1016/j.tecto.2014.05.020")</f>
        <v>http://dx.doi.org/10.1016/j.tecto.2014.05.020</v>
      </c>
      <c r="BG76" t="s">
        <v>74</v>
      </c>
      <c r="BH76" t="s">
        <v>74</v>
      </c>
      <c r="BI76">
        <v>18</v>
      </c>
      <c r="BJ76" t="s">
        <v>425</v>
      </c>
      <c r="BK76" t="s">
        <v>102</v>
      </c>
      <c r="BL76" t="s">
        <v>425</v>
      </c>
      <c r="BM76" t="s">
        <v>1733</v>
      </c>
      <c r="BN76" t="s">
        <v>74</v>
      </c>
      <c r="BO76" t="s">
        <v>74</v>
      </c>
      <c r="BP76" t="s">
        <v>74</v>
      </c>
      <c r="BQ76" t="s">
        <v>74</v>
      </c>
      <c r="BR76" t="s">
        <v>105</v>
      </c>
      <c r="BS76" t="s">
        <v>1734</v>
      </c>
      <c r="BT76" t="str">
        <f>HYPERLINK("https%3A%2F%2Fwww.webofscience.com%2Fwos%2Fwoscc%2Ffull-record%2FWOS:000341548900010","View Full Record in Web of Science")</f>
        <v>View Full Record in Web of Science</v>
      </c>
    </row>
    <row r="77" spans="1:72" x14ac:dyDescent="0.15">
      <c r="A77" t="s">
        <v>72</v>
      </c>
      <c r="B77" t="s">
        <v>1735</v>
      </c>
      <c r="C77" t="s">
        <v>74</v>
      </c>
      <c r="D77" t="s">
        <v>74</v>
      </c>
      <c r="E77" t="s">
        <v>74</v>
      </c>
      <c r="F77" t="s">
        <v>1736</v>
      </c>
      <c r="G77" t="s">
        <v>74</v>
      </c>
      <c r="H77" t="s">
        <v>74</v>
      </c>
      <c r="I77" t="s">
        <v>1737</v>
      </c>
      <c r="J77" t="s">
        <v>1715</v>
      </c>
      <c r="K77" t="s">
        <v>74</v>
      </c>
      <c r="L77" t="s">
        <v>74</v>
      </c>
      <c r="M77" t="s">
        <v>78</v>
      </c>
      <c r="N77" t="s">
        <v>79</v>
      </c>
      <c r="O77" t="s">
        <v>74</v>
      </c>
      <c r="P77" t="s">
        <v>74</v>
      </c>
      <c r="Q77" t="s">
        <v>74</v>
      </c>
      <c r="R77" t="s">
        <v>74</v>
      </c>
      <c r="S77" t="s">
        <v>74</v>
      </c>
      <c r="T77" t="s">
        <v>1738</v>
      </c>
      <c r="U77" t="s">
        <v>1739</v>
      </c>
      <c r="V77" t="s">
        <v>1740</v>
      </c>
      <c r="W77" t="s">
        <v>1741</v>
      </c>
      <c r="X77" t="s">
        <v>1742</v>
      </c>
      <c r="Y77" t="s">
        <v>1743</v>
      </c>
      <c r="Z77" t="s">
        <v>1744</v>
      </c>
      <c r="AA77" t="s">
        <v>1745</v>
      </c>
      <c r="AB77" t="s">
        <v>1746</v>
      </c>
      <c r="AC77" t="s">
        <v>1747</v>
      </c>
      <c r="AD77" t="s">
        <v>1748</v>
      </c>
      <c r="AE77" t="s">
        <v>1749</v>
      </c>
      <c r="AF77" t="s">
        <v>74</v>
      </c>
      <c r="AG77">
        <v>57</v>
      </c>
      <c r="AH77">
        <v>17</v>
      </c>
      <c r="AI77">
        <v>17</v>
      </c>
      <c r="AJ77">
        <v>1</v>
      </c>
      <c r="AK77">
        <v>14</v>
      </c>
      <c r="AL77" t="s">
        <v>753</v>
      </c>
      <c r="AM77" t="s">
        <v>124</v>
      </c>
      <c r="AN77" t="s">
        <v>754</v>
      </c>
      <c r="AO77" t="s">
        <v>1728</v>
      </c>
      <c r="AP77" t="s">
        <v>1729</v>
      </c>
      <c r="AQ77" t="s">
        <v>74</v>
      </c>
      <c r="AR77" t="s">
        <v>1715</v>
      </c>
      <c r="AS77" t="s">
        <v>1730</v>
      </c>
      <c r="AT77" t="s">
        <v>1731</v>
      </c>
      <c r="AU77">
        <v>2014</v>
      </c>
      <c r="AV77">
        <v>630</v>
      </c>
      <c r="AW77" t="s">
        <v>74</v>
      </c>
      <c r="AX77" t="s">
        <v>74</v>
      </c>
      <c r="AY77" t="s">
        <v>74</v>
      </c>
      <c r="AZ77" t="s">
        <v>74</v>
      </c>
      <c r="BA77" t="s">
        <v>74</v>
      </c>
      <c r="BB77">
        <v>158</v>
      </c>
      <c r="BC77">
        <v>165</v>
      </c>
      <c r="BD77" t="s">
        <v>74</v>
      </c>
      <c r="BE77" t="s">
        <v>1750</v>
      </c>
      <c r="BF77" t="str">
        <f>HYPERLINK("http://dx.doi.org/10.1016/j.tecto.2014.05.022","http://dx.doi.org/10.1016/j.tecto.2014.05.022")</f>
        <v>http://dx.doi.org/10.1016/j.tecto.2014.05.022</v>
      </c>
      <c r="BG77" t="s">
        <v>74</v>
      </c>
      <c r="BH77" t="s">
        <v>74</v>
      </c>
      <c r="BI77">
        <v>8</v>
      </c>
      <c r="BJ77" t="s">
        <v>425</v>
      </c>
      <c r="BK77" t="s">
        <v>102</v>
      </c>
      <c r="BL77" t="s">
        <v>425</v>
      </c>
      <c r="BM77" t="s">
        <v>1733</v>
      </c>
      <c r="BN77" t="s">
        <v>74</v>
      </c>
      <c r="BO77" t="s">
        <v>74</v>
      </c>
      <c r="BP77" t="s">
        <v>74</v>
      </c>
      <c r="BQ77" t="s">
        <v>74</v>
      </c>
      <c r="BR77" t="s">
        <v>105</v>
      </c>
      <c r="BS77" t="s">
        <v>1751</v>
      </c>
      <c r="BT77" t="str">
        <f>HYPERLINK("https%3A%2F%2Fwww.webofscience.com%2Fwos%2Fwoscc%2Ffull-record%2FWOS:000341548900014","View Full Record in Web of Science")</f>
        <v>View Full Record in Web of Science</v>
      </c>
    </row>
    <row r="78" spans="1:72" x14ac:dyDescent="0.15">
      <c r="A78" t="s">
        <v>72</v>
      </c>
      <c r="B78" t="s">
        <v>1752</v>
      </c>
      <c r="C78" t="s">
        <v>74</v>
      </c>
      <c r="D78" t="s">
        <v>74</v>
      </c>
      <c r="E78" t="s">
        <v>74</v>
      </c>
      <c r="F78" t="s">
        <v>1753</v>
      </c>
      <c r="G78" t="s">
        <v>74</v>
      </c>
      <c r="H78" t="s">
        <v>74</v>
      </c>
      <c r="I78" t="s">
        <v>1754</v>
      </c>
      <c r="J78" t="s">
        <v>1755</v>
      </c>
      <c r="K78" t="s">
        <v>74</v>
      </c>
      <c r="L78" t="s">
        <v>74</v>
      </c>
      <c r="M78" t="s">
        <v>78</v>
      </c>
      <c r="N78" t="s">
        <v>79</v>
      </c>
      <c r="O78" t="s">
        <v>74</v>
      </c>
      <c r="P78" t="s">
        <v>74</v>
      </c>
      <c r="Q78" t="s">
        <v>74</v>
      </c>
      <c r="R78" t="s">
        <v>74</v>
      </c>
      <c r="S78" t="s">
        <v>74</v>
      </c>
      <c r="T78" t="s">
        <v>74</v>
      </c>
      <c r="U78" t="s">
        <v>1756</v>
      </c>
      <c r="V78" t="s">
        <v>1757</v>
      </c>
      <c r="W78" t="s">
        <v>1758</v>
      </c>
      <c r="X78" t="s">
        <v>1759</v>
      </c>
      <c r="Y78" t="s">
        <v>1760</v>
      </c>
      <c r="Z78" t="s">
        <v>1761</v>
      </c>
      <c r="AA78" t="s">
        <v>74</v>
      </c>
      <c r="AB78" t="s">
        <v>74</v>
      </c>
      <c r="AC78" t="s">
        <v>1762</v>
      </c>
      <c r="AD78" t="s">
        <v>1762</v>
      </c>
      <c r="AE78" t="s">
        <v>1763</v>
      </c>
      <c r="AF78" t="s">
        <v>74</v>
      </c>
      <c r="AG78">
        <v>26</v>
      </c>
      <c r="AH78">
        <v>2</v>
      </c>
      <c r="AI78">
        <v>2</v>
      </c>
      <c r="AJ78">
        <v>0</v>
      </c>
      <c r="AK78">
        <v>9</v>
      </c>
      <c r="AL78" t="s">
        <v>1764</v>
      </c>
      <c r="AM78" t="s">
        <v>1765</v>
      </c>
      <c r="AN78" t="s">
        <v>1766</v>
      </c>
      <c r="AO78" t="s">
        <v>1767</v>
      </c>
      <c r="AP78" t="s">
        <v>1768</v>
      </c>
      <c r="AQ78" t="s">
        <v>74</v>
      </c>
      <c r="AR78" t="s">
        <v>1769</v>
      </c>
      <c r="AS78" t="s">
        <v>1770</v>
      </c>
      <c r="AT78" t="s">
        <v>1771</v>
      </c>
      <c r="AU78">
        <v>2014</v>
      </c>
      <c r="AV78">
        <v>5</v>
      </c>
      <c r="AW78">
        <v>9</v>
      </c>
      <c r="AX78" t="s">
        <v>74</v>
      </c>
      <c r="AY78" t="s">
        <v>74</v>
      </c>
      <c r="AZ78" t="s">
        <v>74</v>
      </c>
      <c r="BA78" t="s">
        <v>74</v>
      </c>
      <c r="BB78">
        <v>823</v>
      </c>
      <c r="BC78">
        <v>832</v>
      </c>
      <c r="BD78" t="s">
        <v>74</v>
      </c>
      <c r="BE78" t="s">
        <v>1772</v>
      </c>
      <c r="BF78" t="str">
        <f>HYPERLINK("http://dx.doi.org/10.1080/2150704X.2014.970715","http://dx.doi.org/10.1080/2150704X.2014.970715")</f>
        <v>http://dx.doi.org/10.1080/2150704X.2014.970715</v>
      </c>
      <c r="BG78" t="s">
        <v>74</v>
      </c>
      <c r="BH78" t="s">
        <v>74</v>
      </c>
      <c r="BI78">
        <v>10</v>
      </c>
      <c r="BJ78" t="s">
        <v>1773</v>
      </c>
      <c r="BK78" t="s">
        <v>102</v>
      </c>
      <c r="BL78" t="s">
        <v>1773</v>
      </c>
      <c r="BM78" t="s">
        <v>1774</v>
      </c>
      <c r="BN78" t="s">
        <v>74</v>
      </c>
      <c r="BO78" t="s">
        <v>74</v>
      </c>
      <c r="BP78" t="s">
        <v>74</v>
      </c>
      <c r="BQ78" t="s">
        <v>74</v>
      </c>
      <c r="BR78" t="s">
        <v>105</v>
      </c>
      <c r="BS78" t="s">
        <v>1775</v>
      </c>
      <c r="BT78" t="str">
        <f>HYPERLINK("https%3A%2F%2Fwww.webofscience.com%2Fwos%2Fwoscc%2Ffull-record%2FWOS:000343209800006","View Full Record in Web of Science")</f>
        <v>View Full Record in Web of Science</v>
      </c>
    </row>
    <row r="79" spans="1:72" x14ac:dyDescent="0.15">
      <c r="A79" t="s">
        <v>72</v>
      </c>
      <c r="B79" t="s">
        <v>1776</v>
      </c>
      <c r="C79" t="s">
        <v>74</v>
      </c>
      <c r="D79" t="s">
        <v>74</v>
      </c>
      <c r="E79" t="s">
        <v>74</v>
      </c>
      <c r="F79" t="s">
        <v>1777</v>
      </c>
      <c r="G79" t="s">
        <v>74</v>
      </c>
      <c r="H79" t="s">
        <v>74</v>
      </c>
      <c r="I79" t="s">
        <v>1778</v>
      </c>
      <c r="J79" t="s">
        <v>1779</v>
      </c>
      <c r="K79" t="s">
        <v>74</v>
      </c>
      <c r="L79" t="s">
        <v>74</v>
      </c>
      <c r="M79" t="s">
        <v>78</v>
      </c>
      <c r="N79" t="s">
        <v>52</v>
      </c>
      <c r="O79" t="s">
        <v>1780</v>
      </c>
      <c r="P79" t="s">
        <v>1781</v>
      </c>
      <c r="Q79" t="s">
        <v>1782</v>
      </c>
      <c r="R79" t="s">
        <v>74</v>
      </c>
      <c r="S79" t="s">
        <v>74</v>
      </c>
      <c r="T79" t="s">
        <v>74</v>
      </c>
      <c r="U79" t="s">
        <v>74</v>
      </c>
      <c r="V79" t="s">
        <v>74</v>
      </c>
      <c r="W79" t="s">
        <v>1783</v>
      </c>
      <c r="X79" t="s">
        <v>1784</v>
      </c>
      <c r="Y79" t="s">
        <v>74</v>
      </c>
      <c r="Z79" t="s">
        <v>1785</v>
      </c>
      <c r="AA79" t="s">
        <v>1786</v>
      </c>
      <c r="AB79" t="s">
        <v>74</v>
      </c>
      <c r="AC79" t="s">
        <v>74</v>
      </c>
      <c r="AD79" t="s">
        <v>74</v>
      </c>
      <c r="AE79" t="s">
        <v>74</v>
      </c>
      <c r="AF79" t="s">
        <v>74</v>
      </c>
      <c r="AG79">
        <v>0</v>
      </c>
      <c r="AH79">
        <v>1</v>
      </c>
      <c r="AI79">
        <v>1</v>
      </c>
      <c r="AJ79">
        <v>0</v>
      </c>
      <c r="AK79">
        <v>7</v>
      </c>
      <c r="AL79" t="s">
        <v>123</v>
      </c>
      <c r="AM79" t="s">
        <v>124</v>
      </c>
      <c r="AN79" t="s">
        <v>125</v>
      </c>
      <c r="AO79" t="s">
        <v>1787</v>
      </c>
      <c r="AP79" t="s">
        <v>1788</v>
      </c>
      <c r="AQ79" t="s">
        <v>74</v>
      </c>
      <c r="AR79" t="s">
        <v>1789</v>
      </c>
      <c r="AS79" t="s">
        <v>1790</v>
      </c>
      <c r="AT79" t="s">
        <v>1791</v>
      </c>
      <c r="AU79">
        <v>2014</v>
      </c>
      <c r="AV79">
        <v>185</v>
      </c>
      <c r="AW79" t="s">
        <v>74</v>
      </c>
      <c r="AX79" t="s">
        <v>74</v>
      </c>
      <c r="AY79" t="s">
        <v>1792</v>
      </c>
      <c r="AZ79" t="s">
        <v>74</v>
      </c>
      <c r="BA79" t="s">
        <v>74</v>
      </c>
      <c r="BB79" t="s">
        <v>1793</v>
      </c>
      <c r="BC79" t="s">
        <v>1793</v>
      </c>
      <c r="BD79" t="s">
        <v>74</v>
      </c>
      <c r="BE79" t="s">
        <v>1794</v>
      </c>
      <c r="BF79" t="str">
        <f>HYPERLINK("http://dx.doi.org/10.1016/j.jbiotec.2014.07.205","http://dx.doi.org/10.1016/j.jbiotec.2014.07.205")</f>
        <v>http://dx.doi.org/10.1016/j.jbiotec.2014.07.205</v>
      </c>
      <c r="BG79" t="s">
        <v>74</v>
      </c>
      <c r="BH79" t="s">
        <v>74</v>
      </c>
      <c r="BI79">
        <v>1</v>
      </c>
      <c r="BJ79" t="s">
        <v>908</v>
      </c>
      <c r="BK79" t="s">
        <v>1795</v>
      </c>
      <c r="BL79" t="s">
        <v>908</v>
      </c>
      <c r="BM79" t="s">
        <v>1796</v>
      </c>
      <c r="BN79" t="s">
        <v>74</v>
      </c>
      <c r="BO79" t="s">
        <v>74</v>
      </c>
      <c r="BP79" t="s">
        <v>74</v>
      </c>
      <c r="BQ79" t="s">
        <v>74</v>
      </c>
      <c r="BR79" t="s">
        <v>105</v>
      </c>
      <c r="BS79" t="s">
        <v>1797</v>
      </c>
      <c r="BT79" t="str">
        <f>HYPERLINK("https%3A%2F%2Fwww.webofscience.com%2Fwos%2Fwoscc%2Ffull-record%2FWOS:000350032000184","View Full Record in Web of Science")</f>
        <v>View Full Record in Web of Science</v>
      </c>
    </row>
    <row r="80" spans="1:72" x14ac:dyDescent="0.15">
      <c r="A80" t="s">
        <v>72</v>
      </c>
      <c r="B80" t="s">
        <v>1798</v>
      </c>
      <c r="C80" t="s">
        <v>74</v>
      </c>
      <c r="D80" t="s">
        <v>74</v>
      </c>
      <c r="E80" t="s">
        <v>74</v>
      </c>
      <c r="F80" t="s">
        <v>1799</v>
      </c>
      <c r="G80" t="s">
        <v>74</v>
      </c>
      <c r="H80" t="s">
        <v>74</v>
      </c>
      <c r="I80" t="s">
        <v>1800</v>
      </c>
      <c r="J80" t="s">
        <v>1801</v>
      </c>
      <c r="K80" t="s">
        <v>74</v>
      </c>
      <c r="L80" t="s">
        <v>74</v>
      </c>
      <c r="M80" t="s">
        <v>78</v>
      </c>
      <c r="N80" t="s">
        <v>1130</v>
      </c>
      <c r="O80" t="s">
        <v>74</v>
      </c>
      <c r="P80" t="s">
        <v>74</v>
      </c>
      <c r="Q80" t="s">
        <v>74</v>
      </c>
      <c r="R80" t="s">
        <v>74</v>
      </c>
      <c r="S80" t="s">
        <v>74</v>
      </c>
      <c r="T80" t="s">
        <v>74</v>
      </c>
      <c r="U80" t="s">
        <v>74</v>
      </c>
      <c r="V80" t="s">
        <v>74</v>
      </c>
      <c r="W80" t="s">
        <v>1802</v>
      </c>
      <c r="X80" t="s">
        <v>1022</v>
      </c>
      <c r="Y80" t="s">
        <v>1803</v>
      </c>
      <c r="Z80" t="s">
        <v>1804</v>
      </c>
      <c r="AA80" t="s">
        <v>74</v>
      </c>
      <c r="AB80" t="s">
        <v>74</v>
      </c>
      <c r="AC80" t="s">
        <v>74</v>
      </c>
      <c r="AD80" t="s">
        <v>74</v>
      </c>
      <c r="AE80" t="s">
        <v>74</v>
      </c>
      <c r="AF80" t="s">
        <v>74</v>
      </c>
      <c r="AG80">
        <v>0</v>
      </c>
      <c r="AH80">
        <v>0</v>
      </c>
      <c r="AI80">
        <v>0</v>
      </c>
      <c r="AJ80">
        <v>0</v>
      </c>
      <c r="AK80">
        <v>1</v>
      </c>
      <c r="AL80" t="s">
        <v>1805</v>
      </c>
      <c r="AM80" t="s">
        <v>1806</v>
      </c>
      <c r="AN80" t="s">
        <v>1807</v>
      </c>
      <c r="AO80" t="s">
        <v>1808</v>
      </c>
      <c r="AP80" t="s">
        <v>74</v>
      </c>
      <c r="AQ80" t="s">
        <v>74</v>
      </c>
      <c r="AR80" t="s">
        <v>1809</v>
      </c>
      <c r="AS80" t="s">
        <v>1810</v>
      </c>
      <c r="AT80" t="s">
        <v>1791</v>
      </c>
      <c r="AU80">
        <v>2014</v>
      </c>
      <c r="AV80">
        <v>27</v>
      </c>
      <c r="AW80">
        <v>9</v>
      </c>
      <c r="AX80" t="s">
        <v>74</v>
      </c>
      <c r="AY80" t="s">
        <v>74</v>
      </c>
      <c r="AZ80" t="s">
        <v>74</v>
      </c>
      <c r="BA80" t="s">
        <v>74</v>
      </c>
      <c r="BB80">
        <v>20</v>
      </c>
      <c r="BC80">
        <v>20</v>
      </c>
      <c r="BD80" t="s">
        <v>74</v>
      </c>
      <c r="BE80" t="s">
        <v>1811</v>
      </c>
      <c r="BF80" t="str">
        <f>HYPERLINK("http://dx.doi.org/10.1088/2058-7058/27/09/29","http://dx.doi.org/10.1088/2058-7058/27/09/29")</f>
        <v>http://dx.doi.org/10.1088/2058-7058/27/09/29</v>
      </c>
      <c r="BG80" t="s">
        <v>74</v>
      </c>
      <c r="BH80" t="s">
        <v>74</v>
      </c>
      <c r="BI80">
        <v>1</v>
      </c>
      <c r="BJ80" t="s">
        <v>1812</v>
      </c>
      <c r="BK80" t="s">
        <v>102</v>
      </c>
      <c r="BL80" t="s">
        <v>1813</v>
      </c>
      <c r="BM80" t="s">
        <v>1814</v>
      </c>
      <c r="BN80" t="s">
        <v>74</v>
      </c>
      <c r="BO80" t="s">
        <v>74</v>
      </c>
      <c r="BP80" t="s">
        <v>74</v>
      </c>
      <c r="BQ80" t="s">
        <v>74</v>
      </c>
      <c r="BR80" t="s">
        <v>105</v>
      </c>
      <c r="BS80" t="s">
        <v>1815</v>
      </c>
      <c r="BT80" t="str">
        <f>HYPERLINK("https%3A%2F%2Fwww.webofscience.com%2Fwos%2Fwoscc%2Ffull-record%2FWOS:000348517500025","View Full Record in Web of Science")</f>
        <v>View Full Record in Web of Science</v>
      </c>
    </row>
    <row r="81" spans="1:72" x14ac:dyDescent="0.15">
      <c r="A81" t="s">
        <v>72</v>
      </c>
      <c r="B81" t="s">
        <v>1816</v>
      </c>
      <c r="C81" t="s">
        <v>74</v>
      </c>
      <c r="D81" t="s">
        <v>74</v>
      </c>
      <c r="E81" t="s">
        <v>74</v>
      </c>
      <c r="F81" t="s">
        <v>1817</v>
      </c>
      <c r="G81" t="s">
        <v>74</v>
      </c>
      <c r="H81" t="s">
        <v>74</v>
      </c>
      <c r="I81" t="s">
        <v>1818</v>
      </c>
      <c r="J81" t="s">
        <v>1819</v>
      </c>
      <c r="K81" t="s">
        <v>74</v>
      </c>
      <c r="L81" t="s">
        <v>74</v>
      </c>
      <c r="M81" t="s">
        <v>78</v>
      </c>
      <c r="N81" t="s">
        <v>79</v>
      </c>
      <c r="O81" t="s">
        <v>74</v>
      </c>
      <c r="P81" t="s">
        <v>74</v>
      </c>
      <c r="Q81" t="s">
        <v>74</v>
      </c>
      <c r="R81" t="s">
        <v>74</v>
      </c>
      <c r="S81" t="s">
        <v>74</v>
      </c>
      <c r="T81" t="s">
        <v>1820</v>
      </c>
      <c r="U81" t="s">
        <v>1821</v>
      </c>
      <c r="V81" t="s">
        <v>1822</v>
      </c>
      <c r="W81" t="s">
        <v>1823</v>
      </c>
      <c r="X81" t="s">
        <v>1824</v>
      </c>
      <c r="Y81" t="s">
        <v>1825</v>
      </c>
      <c r="Z81" t="s">
        <v>1826</v>
      </c>
      <c r="AA81" t="s">
        <v>1827</v>
      </c>
      <c r="AB81" t="s">
        <v>1828</v>
      </c>
      <c r="AC81" t="s">
        <v>1829</v>
      </c>
      <c r="AD81" t="s">
        <v>1830</v>
      </c>
      <c r="AE81" t="s">
        <v>1831</v>
      </c>
      <c r="AF81" t="s">
        <v>74</v>
      </c>
      <c r="AG81">
        <v>46</v>
      </c>
      <c r="AH81">
        <v>2</v>
      </c>
      <c r="AI81">
        <v>2</v>
      </c>
      <c r="AJ81">
        <v>1</v>
      </c>
      <c r="AK81">
        <v>48</v>
      </c>
      <c r="AL81" t="s">
        <v>224</v>
      </c>
      <c r="AM81" t="s">
        <v>576</v>
      </c>
      <c r="AN81" t="s">
        <v>778</v>
      </c>
      <c r="AO81" t="s">
        <v>1832</v>
      </c>
      <c r="AP81" t="s">
        <v>1833</v>
      </c>
      <c r="AQ81" t="s">
        <v>74</v>
      </c>
      <c r="AR81" t="s">
        <v>1834</v>
      </c>
      <c r="AS81" t="s">
        <v>1835</v>
      </c>
      <c r="AT81" t="s">
        <v>1791</v>
      </c>
      <c r="AU81">
        <v>2014</v>
      </c>
      <c r="AV81">
        <v>33</v>
      </c>
      <c r="AW81">
        <v>9</v>
      </c>
      <c r="AX81" t="s">
        <v>74</v>
      </c>
      <c r="AY81" t="s">
        <v>74</v>
      </c>
      <c r="AZ81" t="s">
        <v>74</v>
      </c>
      <c r="BA81" t="s">
        <v>74</v>
      </c>
      <c r="BB81">
        <v>32</v>
      </c>
      <c r="BC81">
        <v>39</v>
      </c>
      <c r="BD81" t="s">
        <v>74</v>
      </c>
      <c r="BE81" t="s">
        <v>1836</v>
      </c>
      <c r="BF81" t="str">
        <f>HYPERLINK("http://dx.doi.org/10.1007/s13131-014-0514-6","http://dx.doi.org/10.1007/s13131-014-0514-6")</f>
        <v>http://dx.doi.org/10.1007/s13131-014-0514-6</v>
      </c>
      <c r="BG81" t="s">
        <v>74</v>
      </c>
      <c r="BH81" t="s">
        <v>74</v>
      </c>
      <c r="BI81">
        <v>8</v>
      </c>
      <c r="BJ81" t="s">
        <v>152</v>
      </c>
      <c r="BK81" t="s">
        <v>102</v>
      </c>
      <c r="BL81" t="s">
        <v>152</v>
      </c>
      <c r="BM81" t="s">
        <v>1837</v>
      </c>
      <c r="BN81" t="s">
        <v>74</v>
      </c>
      <c r="BO81" t="s">
        <v>74</v>
      </c>
      <c r="BP81" t="s">
        <v>74</v>
      </c>
      <c r="BQ81" t="s">
        <v>74</v>
      </c>
      <c r="BR81" t="s">
        <v>105</v>
      </c>
      <c r="BS81" t="s">
        <v>1838</v>
      </c>
      <c r="BT81" t="str">
        <f>HYPERLINK("https%3A%2F%2Fwww.webofscience.com%2Fwos%2Fwoscc%2Ffull-record%2FWOS:000341334500004","View Full Record in Web of Science")</f>
        <v>View Full Record in Web of Science</v>
      </c>
    </row>
    <row r="82" spans="1:72" x14ac:dyDescent="0.15">
      <c r="A82" t="s">
        <v>72</v>
      </c>
      <c r="B82" t="s">
        <v>1839</v>
      </c>
      <c r="C82" t="s">
        <v>74</v>
      </c>
      <c r="D82" t="s">
        <v>74</v>
      </c>
      <c r="E82" t="s">
        <v>74</v>
      </c>
      <c r="F82" t="s">
        <v>1840</v>
      </c>
      <c r="G82" t="s">
        <v>74</v>
      </c>
      <c r="H82" t="s">
        <v>74</v>
      </c>
      <c r="I82" t="s">
        <v>1841</v>
      </c>
      <c r="J82" t="s">
        <v>1842</v>
      </c>
      <c r="K82" t="s">
        <v>74</v>
      </c>
      <c r="L82" t="s">
        <v>74</v>
      </c>
      <c r="M82" t="s">
        <v>78</v>
      </c>
      <c r="N82" t="s">
        <v>79</v>
      </c>
      <c r="O82" t="s">
        <v>74</v>
      </c>
      <c r="P82" t="s">
        <v>74</v>
      </c>
      <c r="Q82" t="s">
        <v>74</v>
      </c>
      <c r="R82" t="s">
        <v>74</v>
      </c>
      <c r="S82" t="s">
        <v>74</v>
      </c>
      <c r="T82" t="s">
        <v>1843</v>
      </c>
      <c r="U82" t="s">
        <v>74</v>
      </c>
      <c r="V82" t="s">
        <v>1844</v>
      </c>
      <c r="W82" t="s">
        <v>1845</v>
      </c>
      <c r="X82" t="s">
        <v>74</v>
      </c>
      <c r="Y82" t="s">
        <v>1846</v>
      </c>
      <c r="Z82" t="s">
        <v>1847</v>
      </c>
      <c r="AA82" t="s">
        <v>1848</v>
      </c>
      <c r="AB82" t="s">
        <v>1849</v>
      </c>
      <c r="AC82" t="s">
        <v>1850</v>
      </c>
      <c r="AD82" t="s">
        <v>1851</v>
      </c>
      <c r="AE82" t="s">
        <v>1852</v>
      </c>
      <c r="AF82" t="s">
        <v>74</v>
      </c>
      <c r="AG82">
        <v>13</v>
      </c>
      <c r="AH82">
        <v>4</v>
      </c>
      <c r="AI82">
        <v>6</v>
      </c>
      <c r="AJ82">
        <v>0</v>
      </c>
      <c r="AK82">
        <v>13</v>
      </c>
      <c r="AL82" t="s">
        <v>1853</v>
      </c>
      <c r="AM82" t="s">
        <v>1854</v>
      </c>
      <c r="AN82" t="s">
        <v>1855</v>
      </c>
      <c r="AO82" t="s">
        <v>1856</v>
      </c>
      <c r="AP82" t="s">
        <v>1857</v>
      </c>
      <c r="AQ82" t="s">
        <v>74</v>
      </c>
      <c r="AR82" t="s">
        <v>1858</v>
      </c>
      <c r="AS82" t="s">
        <v>1859</v>
      </c>
      <c r="AT82" t="s">
        <v>1860</v>
      </c>
      <c r="AU82">
        <v>2014</v>
      </c>
      <c r="AV82">
        <v>48</v>
      </c>
      <c r="AW82">
        <v>5</v>
      </c>
      <c r="AX82" t="s">
        <v>74</v>
      </c>
      <c r="AY82" t="s">
        <v>74</v>
      </c>
      <c r="AZ82" t="s">
        <v>74</v>
      </c>
      <c r="BA82" t="s">
        <v>74</v>
      </c>
      <c r="BB82">
        <v>18</v>
      </c>
      <c r="BC82">
        <v>24</v>
      </c>
      <c r="BD82" t="s">
        <v>74</v>
      </c>
      <c r="BE82" t="s">
        <v>1861</v>
      </c>
      <c r="BF82" t="str">
        <f>HYPERLINK("http://dx.doi.org/10.4031/MTSJ.48.5.8","http://dx.doi.org/10.4031/MTSJ.48.5.8")</f>
        <v>http://dx.doi.org/10.4031/MTSJ.48.5.8</v>
      </c>
      <c r="BG82" t="s">
        <v>74</v>
      </c>
      <c r="BH82" t="s">
        <v>74</v>
      </c>
      <c r="BI82">
        <v>7</v>
      </c>
      <c r="BJ82" t="s">
        <v>1862</v>
      </c>
      <c r="BK82" t="s">
        <v>102</v>
      </c>
      <c r="BL82" t="s">
        <v>1863</v>
      </c>
      <c r="BM82" t="s">
        <v>1864</v>
      </c>
      <c r="BN82" t="s">
        <v>74</v>
      </c>
      <c r="BO82" t="s">
        <v>289</v>
      </c>
      <c r="BP82" t="s">
        <v>74</v>
      </c>
      <c r="BQ82" t="s">
        <v>74</v>
      </c>
      <c r="BR82" t="s">
        <v>105</v>
      </c>
      <c r="BS82" t="s">
        <v>1865</v>
      </c>
      <c r="BT82" t="str">
        <f>HYPERLINK("https%3A%2F%2Fwww.webofscience.com%2Fwos%2Fwoscc%2Ffull-record%2FWOS:000345057300003","View Full Record in Web of Science")</f>
        <v>View Full Record in Web of Science</v>
      </c>
    </row>
    <row r="83" spans="1:72" x14ac:dyDescent="0.15">
      <c r="A83" t="s">
        <v>72</v>
      </c>
      <c r="B83" t="s">
        <v>1866</v>
      </c>
      <c r="C83" t="s">
        <v>74</v>
      </c>
      <c r="D83" t="s">
        <v>74</v>
      </c>
      <c r="E83" t="s">
        <v>74</v>
      </c>
      <c r="F83" t="s">
        <v>1867</v>
      </c>
      <c r="G83" t="s">
        <v>74</v>
      </c>
      <c r="H83" t="s">
        <v>74</v>
      </c>
      <c r="I83" t="s">
        <v>1868</v>
      </c>
      <c r="J83" t="s">
        <v>1842</v>
      </c>
      <c r="K83" t="s">
        <v>74</v>
      </c>
      <c r="L83" t="s">
        <v>74</v>
      </c>
      <c r="M83" t="s">
        <v>78</v>
      </c>
      <c r="N83" t="s">
        <v>79</v>
      </c>
      <c r="O83" t="s">
        <v>74</v>
      </c>
      <c r="P83" t="s">
        <v>74</v>
      </c>
      <c r="Q83" t="s">
        <v>74</v>
      </c>
      <c r="R83" t="s">
        <v>74</v>
      </c>
      <c r="S83" t="s">
        <v>74</v>
      </c>
      <c r="T83" t="s">
        <v>1869</v>
      </c>
      <c r="U83" t="s">
        <v>1870</v>
      </c>
      <c r="V83" t="s">
        <v>1871</v>
      </c>
      <c r="W83" t="s">
        <v>1872</v>
      </c>
      <c r="X83" t="s">
        <v>1873</v>
      </c>
      <c r="Y83" t="s">
        <v>1874</v>
      </c>
      <c r="Z83" t="s">
        <v>1875</v>
      </c>
      <c r="AA83" t="s">
        <v>1876</v>
      </c>
      <c r="AB83" t="s">
        <v>1877</v>
      </c>
      <c r="AC83" t="s">
        <v>1878</v>
      </c>
      <c r="AD83" t="s">
        <v>1879</v>
      </c>
      <c r="AE83" t="s">
        <v>1880</v>
      </c>
      <c r="AF83" t="s">
        <v>74</v>
      </c>
      <c r="AG83">
        <v>38</v>
      </c>
      <c r="AH83">
        <v>14</v>
      </c>
      <c r="AI83">
        <v>17</v>
      </c>
      <c r="AJ83">
        <v>1</v>
      </c>
      <c r="AK83">
        <v>41</v>
      </c>
      <c r="AL83" t="s">
        <v>1853</v>
      </c>
      <c r="AM83" t="s">
        <v>1854</v>
      </c>
      <c r="AN83" t="s">
        <v>1855</v>
      </c>
      <c r="AO83" t="s">
        <v>1856</v>
      </c>
      <c r="AP83" t="s">
        <v>1857</v>
      </c>
      <c r="AQ83" t="s">
        <v>74</v>
      </c>
      <c r="AR83" t="s">
        <v>1858</v>
      </c>
      <c r="AS83" t="s">
        <v>1859</v>
      </c>
      <c r="AT83" t="s">
        <v>1860</v>
      </c>
      <c r="AU83">
        <v>2014</v>
      </c>
      <c r="AV83">
        <v>48</v>
      </c>
      <c r="AW83">
        <v>5</v>
      </c>
      <c r="AX83" t="s">
        <v>74</v>
      </c>
      <c r="AY83" t="s">
        <v>74</v>
      </c>
      <c r="AZ83" t="s">
        <v>74</v>
      </c>
      <c r="BA83" t="s">
        <v>74</v>
      </c>
      <c r="BB83">
        <v>25</v>
      </c>
      <c r="BC83">
        <v>34</v>
      </c>
      <c r="BD83" t="s">
        <v>74</v>
      </c>
      <c r="BE83" t="s">
        <v>1881</v>
      </c>
      <c r="BF83" t="str">
        <f>HYPERLINK("http://dx.doi.org/10.4031/MTSJ.48.5.10","http://dx.doi.org/10.4031/MTSJ.48.5.10")</f>
        <v>http://dx.doi.org/10.4031/MTSJ.48.5.10</v>
      </c>
      <c r="BG83" t="s">
        <v>74</v>
      </c>
      <c r="BH83" t="s">
        <v>74</v>
      </c>
      <c r="BI83">
        <v>10</v>
      </c>
      <c r="BJ83" t="s">
        <v>1862</v>
      </c>
      <c r="BK83" t="s">
        <v>102</v>
      </c>
      <c r="BL83" t="s">
        <v>1863</v>
      </c>
      <c r="BM83" t="s">
        <v>1864</v>
      </c>
      <c r="BN83" t="s">
        <v>74</v>
      </c>
      <c r="BO83" t="s">
        <v>289</v>
      </c>
      <c r="BP83" t="s">
        <v>74</v>
      </c>
      <c r="BQ83" t="s">
        <v>74</v>
      </c>
      <c r="BR83" t="s">
        <v>105</v>
      </c>
      <c r="BS83" t="s">
        <v>1882</v>
      </c>
      <c r="BT83" t="str">
        <f>HYPERLINK("https%3A%2F%2Fwww.webofscience.com%2Fwos%2Fwoscc%2Ffull-record%2FWOS:000345057300004","View Full Record in Web of Science")</f>
        <v>View Full Record in Web of Science</v>
      </c>
    </row>
    <row r="84" spans="1:72" x14ac:dyDescent="0.15">
      <c r="A84" t="s">
        <v>72</v>
      </c>
      <c r="B84" t="s">
        <v>1883</v>
      </c>
      <c r="C84" t="s">
        <v>74</v>
      </c>
      <c r="D84" t="s">
        <v>74</v>
      </c>
      <c r="E84" t="s">
        <v>74</v>
      </c>
      <c r="F84" t="s">
        <v>1884</v>
      </c>
      <c r="G84" t="s">
        <v>74</v>
      </c>
      <c r="H84" t="s">
        <v>74</v>
      </c>
      <c r="I84" t="s">
        <v>1885</v>
      </c>
      <c r="J84" t="s">
        <v>1886</v>
      </c>
      <c r="K84" t="s">
        <v>74</v>
      </c>
      <c r="L84" t="s">
        <v>74</v>
      </c>
      <c r="M84" t="s">
        <v>78</v>
      </c>
      <c r="N84" t="s">
        <v>79</v>
      </c>
      <c r="O84" t="s">
        <v>74</v>
      </c>
      <c r="P84" t="s">
        <v>74</v>
      </c>
      <c r="Q84" t="s">
        <v>74</v>
      </c>
      <c r="R84" t="s">
        <v>74</v>
      </c>
      <c r="S84" t="s">
        <v>74</v>
      </c>
      <c r="T84" t="s">
        <v>74</v>
      </c>
      <c r="U84" t="s">
        <v>1887</v>
      </c>
      <c r="V84" t="s">
        <v>1888</v>
      </c>
      <c r="W84" t="s">
        <v>1889</v>
      </c>
      <c r="X84" t="s">
        <v>1890</v>
      </c>
      <c r="Y84" t="s">
        <v>1891</v>
      </c>
      <c r="Z84" t="s">
        <v>1892</v>
      </c>
      <c r="AA84" t="s">
        <v>74</v>
      </c>
      <c r="AB84" t="s">
        <v>74</v>
      </c>
      <c r="AC84" t="s">
        <v>74</v>
      </c>
      <c r="AD84" t="s">
        <v>74</v>
      </c>
      <c r="AE84" t="s">
        <v>74</v>
      </c>
      <c r="AF84" t="s">
        <v>74</v>
      </c>
      <c r="AG84">
        <v>19</v>
      </c>
      <c r="AH84">
        <v>2</v>
      </c>
      <c r="AI84">
        <v>2</v>
      </c>
      <c r="AJ84">
        <v>0</v>
      </c>
      <c r="AK84">
        <v>17</v>
      </c>
      <c r="AL84" t="s">
        <v>331</v>
      </c>
      <c r="AM84" t="s">
        <v>332</v>
      </c>
      <c r="AN84" t="s">
        <v>333</v>
      </c>
      <c r="AO84" t="s">
        <v>1893</v>
      </c>
      <c r="AP84" t="s">
        <v>74</v>
      </c>
      <c r="AQ84" t="s">
        <v>74</v>
      </c>
      <c r="AR84" t="s">
        <v>1894</v>
      </c>
      <c r="AS84" t="s">
        <v>1895</v>
      </c>
      <c r="AT84" t="s">
        <v>1791</v>
      </c>
      <c r="AU84">
        <v>2014</v>
      </c>
      <c r="AV84">
        <v>6</v>
      </c>
      <c r="AW84">
        <v>3</v>
      </c>
      <c r="AX84" t="s">
        <v>74</v>
      </c>
      <c r="AY84" t="s">
        <v>74</v>
      </c>
      <c r="AZ84" t="s">
        <v>74</v>
      </c>
      <c r="BA84" t="s">
        <v>74</v>
      </c>
      <c r="BB84">
        <v>650</v>
      </c>
      <c r="BC84">
        <v>657</v>
      </c>
      <c r="BD84" t="s">
        <v>74</v>
      </c>
      <c r="BE84" t="s">
        <v>1896</v>
      </c>
      <c r="BF84" t="str">
        <f>HYPERLINK("http://dx.doi.org/10.1002/2014MS000312","http://dx.doi.org/10.1002/2014MS000312")</f>
        <v>http://dx.doi.org/10.1002/2014MS000312</v>
      </c>
      <c r="BG84" t="s">
        <v>74</v>
      </c>
      <c r="BH84" t="s">
        <v>74</v>
      </c>
      <c r="BI84">
        <v>8</v>
      </c>
      <c r="BJ84" t="s">
        <v>177</v>
      </c>
      <c r="BK84" t="s">
        <v>102</v>
      </c>
      <c r="BL84" t="s">
        <v>177</v>
      </c>
      <c r="BM84" t="s">
        <v>1897</v>
      </c>
      <c r="BN84" t="s">
        <v>74</v>
      </c>
      <c r="BO84" t="s">
        <v>1898</v>
      </c>
      <c r="BP84" t="s">
        <v>74</v>
      </c>
      <c r="BQ84" t="s">
        <v>74</v>
      </c>
      <c r="BR84" t="s">
        <v>105</v>
      </c>
      <c r="BS84" t="s">
        <v>1899</v>
      </c>
      <c r="BT84" t="str">
        <f>HYPERLINK("https%3A%2F%2Fwww.webofscience.com%2Fwos%2Fwoscc%2Ffull-record%2FWOS:000344387900010","View Full Record in Web of Science")</f>
        <v>View Full Record in Web of Science</v>
      </c>
    </row>
    <row r="85" spans="1:72" x14ac:dyDescent="0.15">
      <c r="A85" t="s">
        <v>72</v>
      </c>
      <c r="B85" t="s">
        <v>1900</v>
      </c>
      <c r="C85" t="s">
        <v>74</v>
      </c>
      <c r="D85" t="s">
        <v>74</v>
      </c>
      <c r="E85" t="s">
        <v>74</v>
      </c>
      <c r="F85" t="s">
        <v>1901</v>
      </c>
      <c r="G85" t="s">
        <v>74</v>
      </c>
      <c r="H85" t="s">
        <v>74</v>
      </c>
      <c r="I85" t="s">
        <v>1902</v>
      </c>
      <c r="J85" t="s">
        <v>1903</v>
      </c>
      <c r="K85" t="s">
        <v>74</v>
      </c>
      <c r="L85" t="s">
        <v>74</v>
      </c>
      <c r="M85" t="s">
        <v>78</v>
      </c>
      <c r="N85" t="s">
        <v>79</v>
      </c>
      <c r="O85" t="s">
        <v>74</v>
      </c>
      <c r="P85" t="s">
        <v>74</v>
      </c>
      <c r="Q85" t="s">
        <v>74</v>
      </c>
      <c r="R85" t="s">
        <v>74</v>
      </c>
      <c r="S85" t="s">
        <v>74</v>
      </c>
      <c r="T85" t="s">
        <v>1904</v>
      </c>
      <c r="U85" t="s">
        <v>1905</v>
      </c>
      <c r="V85" t="s">
        <v>1906</v>
      </c>
      <c r="W85" t="s">
        <v>1907</v>
      </c>
      <c r="X85" t="s">
        <v>1908</v>
      </c>
      <c r="Y85" t="s">
        <v>1909</v>
      </c>
      <c r="Z85" t="s">
        <v>1910</v>
      </c>
      <c r="AA85" t="s">
        <v>1911</v>
      </c>
      <c r="AB85" t="s">
        <v>1912</v>
      </c>
      <c r="AC85" t="s">
        <v>1913</v>
      </c>
      <c r="AD85" t="s">
        <v>1913</v>
      </c>
      <c r="AE85" t="s">
        <v>1914</v>
      </c>
      <c r="AF85" t="s">
        <v>74</v>
      </c>
      <c r="AG85">
        <v>89</v>
      </c>
      <c r="AH85">
        <v>14</v>
      </c>
      <c r="AI85">
        <v>17</v>
      </c>
      <c r="AJ85">
        <v>1</v>
      </c>
      <c r="AK85">
        <v>26</v>
      </c>
      <c r="AL85" t="s">
        <v>250</v>
      </c>
      <c r="AM85" t="s">
        <v>251</v>
      </c>
      <c r="AN85" t="s">
        <v>252</v>
      </c>
      <c r="AO85" t="s">
        <v>1915</v>
      </c>
      <c r="AP85" t="s">
        <v>1916</v>
      </c>
      <c r="AQ85" t="s">
        <v>74</v>
      </c>
      <c r="AR85" t="s">
        <v>1917</v>
      </c>
      <c r="AS85" t="s">
        <v>1918</v>
      </c>
      <c r="AT85" t="s">
        <v>1791</v>
      </c>
      <c r="AU85">
        <v>2014</v>
      </c>
      <c r="AV85">
        <v>107</v>
      </c>
      <c r="AW85" t="s">
        <v>74</v>
      </c>
      <c r="AX85" t="s">
        <v>74</v>
      </c>
      <c r="AY85" t="s">
        <v>74</v>
      </c>
      <c r="AZ85" t="s">
        <v>74</v>
      </c>
      <c r="BA85" t="s">
        <v>74</v>
      </c>
      <c r="BB85">
        <v>22</v>
      </c>
      <c r="BC85">
        <v>28</v>
      </c>
      <c r="BD85" t="s">
        <v>74</v>
      </c>
      <c r="BE85" t="s">
        <v>1919</v>
      </c>
      <c r="BF85" t="str">
        <f>HYPERLINK("http://dx.doi.org/10.1016/j.dsr2.2014.05.002","http://dx.doi.org/10.1016/j.dsr2.2014.05.002")</f>
        <v>http://dx.doi.org/10.1016/j.dsr2.2014.05.002</v>
      </c>
      <c r="BG85" t="s">
        <v>74</v>
      </c>
      <c r="BH85" t="s">
        <v>74</v>
      </c>
      <c r="BI85">
        <v>7</v>
      </c>
      <c r="BJ85" t="s">
        <v>152</v>
      </c>
      <c r="BK85" t="s">
        <v>102</v>
      </c>
      <c r="BL85" t="s">
        <v>152</v>
      </c>
      <c r="BM85" t="s">
        <v>1920</v>
      </c>
      <c r="BN85" t="s">
        <v>74</v>
      </c>
      <c r="BO85" t="s">
        <v>74</v>
      </c>
      <c r="BP85" t="s">
        <v>74</v>
      </c>
      <c r="BQ85" t="s">
        <v>74</v>
      </c>
      <c r="BR85" t="s">
        <v>105</v>
      </c>
      <c r="BS85" t="s">
        <v>1921</v>
      </c>
      <c r="BT85" t="str">
        <f>HYPERLINK("https%3A%2F%2Fwww.webofscience.com%2Fwos%2Fwoscc%2Ffull-record%2FWOS:000343844600004","View Full Record in Web of Science")</f>
        <v>View Full Record in Web of Science</v>
      </c>
    </row>
    <row r="86" spans="1:72" x14ac:dyDescent="0.15">
      <c r="A86" t="s">
        <v>72</v>
      </c>
      <c r="B86" t="s">
        <v>1922</v>
      </c>
      <c r="C86" t="s">
        <v>74</v>
      </c>
      <c r="D86" t="s">
        <v>74</v>
      </c>
      <c r="E86" t="s">
        <v>74</v>
      </c>
      <c r="F86" t="s">
        <v>1923</v>
      </c>
      <c r="G86" t="s">
        <v>74</v>
      </c>
      <c r="H86" t="s">
        <v>74</v>
      </c>
      <c r="I86" t="s">
        <v>1924</v>
      </c>
      <c r="J86" t="s">
        <v>1925</v>
      </c>
      <c r="K86" t="s">
        <v>74</v>
      </c>
      <c r="L86" t="s">
        <v>74</v>
      </c>
      <c r="M86" t="s">
        <v>78</v>
      </c>
      <c r="N86" t="s">
        <v>79</v>
      </c>
      <c r="O86" t="s">
        <v>74</v>
      </c>
      <c r="P86" t="s">
        <v>74</v>
      </c>
      <c r="Q86" t="s">
        <v>74</v>
      </c>
      <c r="R86" t="s">
        <v>74</v>
      </c>
      <c r="S86" t="s">
        <v>74</v>
      </c>
      <c r="T86" t="s">
        <v>74</v>
      </c>
      <c r="U86" t="s">
        <v>1926</v>
      </c>
      <c r="V86" t="s">
        <v>1927</v>
      </c>
      <c r="W86" t="s">
        <v>1928</v>
      </c>
      <c r="X86" t="s">
        <v>1929</v>
      </c>
      <c r="Y86" t="s">
        <v>1930</v>
      </c>
      <c r="Z86" t="s">
        <v>1931</v>
      </c>
      <c r="AA86" t="s">
        <v>1932</v>
      </c>
      <c r="AB86" t="s">
        <v>1933</v>
      </c>
      <c r="AC86" t="s">
        <v>1934</v>
      </c>
      <c r="AD86" t="s">
        <v>1935</v>
      </c>
      <c r="AE86" t="s">
        <v>1936</v>
      </c>
      <c r="AF86" t="s">
        <v>74</v>
      </c>
      <c r="AG86">
        <v>165</v>
      </c>
      <c r="AH86">
        <v>24</v>
      </c>
      <c r="AI86">
        <v>25</v>
      </c>
      <c r="AJ86">
        <v>1</v>
      </c>
      <c r="AK86">
        <v>25</v>
      </c>
      <c r="AL86" t="s">
        <v>1937</v>
      </c>
      <c r="AM86" t="s">
        <v>1938</v>
      </c>
      <c r="AN86" t="s">
        <v>1939</v>
      </c>
      <c r="AO86" t="s">
        <v>1940</v>
      </c>
      <c r="AP86" t="s">
        <v>1941</v>
      </c>
      <c r="AQ86" t="s">
        <v>74</v>
      </c>
      <c r="AR86" t="s">
        <v>1942</v>
      </c>
      <c r="AS86" t="s">
        <v>1943</v>
      </c>
      <c r="AT86" t="s">
        <v>1860</v>
      </c>
      <c r="AU86">
        <v>2014</v>
      </c>
      <c r="AV86">
        <v>126</v>
      </c>
      <c r="AW86" t="s">
        <v>1944</v>
      </c>
      <c r="AX86" t="s">
        <v>74</v>
      </c>
      <c r="AY86" t="s">
        <v>74</v>
      </c>
      <c r="AZ86" t="s">
        <v>74</v>
      </c>
      <c r="BA86" t="s">
        <v>74</v>
      </c>
      <c r="BB86">
        <v>1317</v>
      </c>
      <c r="BC86">
        <v>1339</v>
      </c>
      <c r="BD86" t="s">
        <v>74</v>
      </c>
      <c r="BE86" t="s">
        <v>1945</v>
      </c>
      <c r="BF86" t="str">
        <f>HYPERLINK("http://dx.doi.org/10.1130/B30964.1","http://dx.doi.org/10.1130/B30964.1")</f>
        <v>http://dx.doi.org/10.1130/B30964.1</v>
      </c>
      <c r="BG86" t="s">
        <v>74</v>
      </c>
      <c r="BH86" t="s">
        <v>74</v>
      </c>
      <c r="BI86">
        <v>23</v>
      </c>
      <c r="BJ86" t="s">
        <v>685</v>
      </c>
      <c r="BK86" t="s">
        <v>102</v>
      </c>
      <c r="BL86" t="s">
        <v>686</v>
      </c>
      <c r="BM86" t="s">
        <v>1946</v>
      </c>
      <c r="BN86" t="s">
        <v>74</v>
      </c>
      <c r="BO86" t="s">
        <v>74</v>
      </c>
      <c r="BP86" t="s">
        <v>74</v>
      </c>
      <c r="BQ86" t="s">
        <v>74</v>
      </c>
      <c r="BR86" t="s">
        <v>105</v>
      </c>
      <c r="BS86" t="s">
        <v>1947</v>
      </c>
      <c r="BT86" t="str">
        <f>HYPERLINK("https%3A%2F%2Fwww.webofscience.com%2Fwos%2Fwoscc%2Ffull-record%2FWOS:000343758700011","View Full Record in Web of Science")</f>
        <v>View Full Record in Web of Science</v>
      </c>
    </row>
    <row r="87" spans="1:72" x14ac:dyDescent="0.15">
      <c r="A87" t="s">
        <v>72</v>
      </c>
      <c r="B87" t="s">
        <v>1948</v>
      </c>
      <c r="C87" t="s">
        <v>74</v>
      </c>
      <c r="D87" t="s">
        <v>74</v>
      </c>
      <c r="E87" t="s">
        <v>74</v>
      </c>
      <c r="F87" t="s">
        <v>1949</v>
      </c>
      <c r="G87" t="s">
        <v>74</v>
      </c>
      <c r="H87" t="s">
        <v>74</v>
      </c>
      <c r="I87" t="s">
        <v>1950</v>
      </c>
      <c r="J87" t="s">
        <v>1951</v>
      </c>
      <c r="K87" t="s">
        <v>74</v>
      </c>
      <c r="L87" t="s">
        <v>74</v>
      </c>
      <c r="M87" t="s">
        <v>78</v>
      </c>
      <c r="N87" t="s">
        <v>79</v>
      </c>
      <c r="O87" t="s">
        <v>74</v>
      </c>
      <c r="P87" t="s">
        <v>74</v>
      </c>
      <c r="Q87" t="s">
        <v>74</v>
      </c>
      <c r="R87" t="s">
        <v>74</v>
      </c>
      <c r="S87" t="s">
        <v>74</v>
      </c>
      <c r="T87" t="s">
        <v>1952</v>
      </c>
      <c r="U87" t="s">
        <v>1953</v>
      </c>
      <c r="V87" t="s">
        <v>1954</v>
      </c>
      <c r="W87" t="s">
        <v>1955</v>
      </c>
      <c r="X87" t="s">
        <v>1956</v>
      </c>
      <c r="Y87" t="s">
        <v>1957</v>
      </c>
      <c r="Z87" t="s">
        <v>1958</v>
      </c>
      <c r="AA87" t="s">
        <v>74</v>
      </c>
      <c r="AB87" t="s">
        <v>1959</v>
      </c>
      <c r="AC87" t="s">
        <v>1960</v>
      </c>
      <c r="AD87" t="s">
        <v>1961</v>
      </c>
      <c r="AE87" t="s">
        <v>1962</v>
      </c>
      <c r="AF87" t="s">
        <v>74</v>
      </c>
      <c r="AG87">
        <v>73</v>
      </c>
      <c r="AH87">
        <v>37</v>
      </c>
      <c r="AI87">
        <v>38</v>
      </c>
      <c r="AJ87">
        <v>1</v>
      </c>
      <c r="AK87">
        <v>27</v>
      </c>
      <c r="AL87" t="s">
        <v>331</v>
      </c>
      <c r="AM87" t="s">
        <v>332</v>
      </c>
      <c r="AN87" t="s">
        <v>333</v>
      </c>
      <c r="AO87" t="s">
        <v>1963</v>
      </c>
      <c r="AP87" t="s">
        <v>1964</v>
      </c>
      <c r="AQ87" t="s">
        <v>74</v>
      </c>
      <c r="AR87" t="s">
        <v>1965</v>
      </c>
      <c r="AS87" t="s">
        <v>1966</v>
      </c>
      <c r="AT87" t="s">
        <v>1791</v>
      </c>
      <c r="AU87">
        <v>2014</v>
      </c>
      <c r="AV87">
        <v>119</v>
      </c>
      <c r="AW87">
        <v>9</v>
      </c>
      <c r="AX87" t="s">
        <v>74</v>
      </c>
      <c r="AY87" t="s">
        <v>74</v>
      </c>
      <c r="AZ87" t="s">
        <v>74</v>
      </c>
      <c r="BA87" t="s">
        <v>74</v>
      </c>
      <c r="BB87">
        <v>5690</v>
      </c>
      <c r="BC87">
        <v>5704</v>
      </c>
      <c r="BD87" t="s">
        <v>74</v>
      </c>
      <c r="BE87" t="s">
        <v>1967</v>
      </c>
      <c r="BF87" t="str">
        <f>HYPERLINK("http://dx.doi.org/10.1002/2014JC009915","http://dx.doi.org/10.1002/2014JC009915")</f>
        <v>http://dx.doi.org/10.1002/2014JC009915</v>
      </c>
      <c r="BG87" t="s">
        <v>74</v>
      </c>
      <c r="BH87" t="s">
        <v>74</v>
      </c>
      <c r="BI87">
        <v>15</v>
      </c>
      <c r="BJ87" t="s">
        <v>152</v>
      </c>
      <c r="BK87" t="s">
        <v>102</v>
      </c>
      <c r="BL87" t="s">
        <v>152</v>
      </c>
      <c r="BM87" t="s">
        <v>1968</v>
      </c>
      <c r="BN87" t="s">
        <v>74</v>
      </c>
      <c r="BO87" t="s">
        <v>1969</v>
      </c>
      <c r="BP87" t="s">
        <v>74</v>
      </c>
      <c r="BQ87" t="s">
        <v>74</v>
      </c>
      <c r="BR87" t="s">
        <v>105</v>
      </c>
      <c r="BS87" t="s">
        <v>1970</v>
      </c>
      <c r="BT87" t="str">
        <f>HYPERLINK("https%3A%2F%2Fwww.webofscience.com%2Fwos%2Fwoscc%2Ffull-record%2FWOS:000343879200007","View Full Record in Web of Science")</f>
        <v>View Full Record in Web of Science</v>
      </c>
    </row>
    <row r="88" spans="1:72" x14ac:dyDescent="0.15">
      <c r="A88" t="s">
        <v>72</v>
      </c>
      <c r="B88" t="s">
        <v>1971</v>
      </c>
      <c r="C88" t="s">
        <v>74</v>
      </c>
      <c r="D88" t="s">
        <v>74</v>
      </c>
      <c r="E88" t="s">
        <v>74</v>
      </c>
      <c r="F88" t="s">
        <v>1972</v>
      </c>
      <c r="G88" t="s">
        <v>74</v>
      </c>
      <c r="H88" t="s">
        <v>74</v>
      </c>
      <c r="I88" t="s">
        <v>1973</v>
      </c>
      <c r="J88" t="s">
        <v>1951</v>
      </c>
      <c r="K88" t="s">
        <v>74</v>
      </c>
      <c r="L88" t="s">
        <v>74</v>
      </c>
      <c r="M88" t="s">
        <v>78</v>
      </c>
      <c r="N88" t="s">
        <v>79</v>
      </c>
      <c r="O88" t="s">
        <v>74</v>
      </c>
      <c r="P88" t="s">
        <v>74</v>
      </c>
      <c r="Q88" t="s">
        <v>74</v>
      </c>
      <c r="R88" t="s">
        <v>74</v>
      </c>
      <c r="S88" t="s">
        <v>74</v>
      </c>
      <c r="T88" t="s">
        <v>1974</v>
      </c>
      <c r="U88" t="s">
        <v>1975</v>
      </c>
      <c r="V88" t="s">
        <v>1976</v>
      </c>
      <c r="W88" t="s">
        <v>1977</v>
      </c>
      <c r="X88" t="s">
        <v>1978</v>
      </c>
      <c r="Y88" t="s">
        <v>1979</v>
      </c>
      <c r="Z88" t="s">
        <v>1980</v>
      </c>
      <c r="AA88" t="s">
        <v>74</v>
      </c>
      <c r="AB88" t="s">
        <v>74</v>
      </c>
      <c r="AC88" t="s">
        <v>1981</v>
      </c>
      <c r="AD88" t="s">
        <v>1982</v>
      </c>
      <c r="AE88" t="s">
        <v>1983</v>
      </c>
      <c r="AF88" t="s">
        <v>74</v>
      </c>
      <c r="AG88">
        <v>58</v>
      </c>
      <c r="AH88">
        <v>7</v>
      </c>
      <c r="AI88">
        <v>7</v>
      </c>
      <c r="AJ88">
        <v>0</v>
      </c>
      <c r="AK88">
        <v>15</v>
      </c>
      <c r="AL88" t="s">
        <v>331</v>
      </c>
      <c r="AM88" t="s">
        <v>332</v>
      </c>
      <c r="AN88" t="s">
        <v>333</v>
      </c>
      <c r="AO88" t="s">
        <v>1963</v>
      </c>
      <c r="AP88" t="s">
        <v>1964</v>
      </c>
      <c r="AQ88" t="s">
        <v>74</v>
      </c>
      <c r="AR88" t="s">
        <v>1965</v>
      </c>
      <c r="AS88" t="s">
        <v>1966</v>
      </c>
      <c r="AT88" t="s">
        <v>1791</v>
      </c>
      <c r="AU88">
        <v>2014</v>
      </c>
      <c r="AV88">
        <v>119</v>
      </c>
      <c r="AW88">
        <v>9</v>
      </c>
      <c r="AX88" t="s">
        <v>74</v>
      </c>
      <c r="AY88" t="s">
        <v>74</v>
      </c>
      <c r="AZ88" t="s">
        <v>74</v>
      </c>
      <c r="BA88" t="s">
        <v>74</v>
      </c>
      <c r="BB88">
        <v>5891</v>
      </c>
      <c r="BC88">
        <v>5920</v>
      </c>
      <c r="BD88" t="s">
        <v>74</v>
      </c>
      <c r="BE88" t="s">
        <v>1984</v>
      </c>
      <c r="BF88" t="str">
        <f>HYPERLINK("http://dx.doi.org/10.1002/2013JC009634","http://dx.doi.org/10.1002/2013JC009634")</f>
        <v>http://dx.doi.org/10.1002/2013JC009634</v>
      </c>
      <c r="BG88" t="s">
        <v>74</v>
      </c>
      <c r="BH88" t="s">
        <v>74</v>
      </c>
      <c r="BI88">
        <v>30</v>
      </c>
      <c r="BJ88" t="s">
        <v>152</v>
      </c>
      <c r="BK88" t="s">
        <v>102</v>
      </c>
      <c r="BL88" t="s">
        <v>152</v>
      </c>
      <c r="BM88" t="s">
        <v>1968</v>
      </c>
      <c r="BN88" t="s">
        <v>74</v>
      </c>
      <c r="BO88" t="s">
        <v>74</v>
      </c>
      <c r="BP88" t="s">
        <v>74</v>
      </c>
      <c r="BQ88" t="s">
        <v>74</v>
      </c>
      <c r="BR88" t="s">
        <v>105</v>
      </c>
      <c r="BS88" t="s">
        <v>1985</v>
      </c>
      <c r="BT88" t="str">
        <f>HYPERLINK("https%3A%2F%2Fwww.webofscience.com%2Fwos%2Fwoscc%2Ffull-record%2FWOS:000343879200018","View Full Record in Web of Science")</f>
        <v>View Full Record in Web of Science</v>
      </c>
    </row>
    <row r="89" spans="1:72" x14ac:dyDescent="0.15">
      <c r="A89" t="s">
        <v>72</v>
      </c>
      <c r="B89" t="s">
        <v>1986</v>
      </c>
      <c r="C89" t="s">
        <v>74</v>
      </c>
      <c r="D89" t="s">
        <v>74</v>
      </c>
      <c r="E89" t="s">
        <v>74</v>
      </c>
      <c r="F89" t="s">
        <v>1987</v>
      </c>
      <c r="G89" t="s">
        <v>74</v>
      </c>
      <c r="H89" t="s">
        <v>74</v>
      </c>
      <c r="I89" t="s">
        <v>1988</v>
      </c>
      <c r="J89" t="s">
        <v>1951</v>
      </c>
      <c r="K89" t="s">
        <v>74</v>
      </c>
      <c r="L89" t="s">
        <v>74</v>
      </c>
      <c r="M89" t="s">
        <v>78</v>
      </c>
      <c r="N89" t="s">
        <v>79</v>
      </c>
      <c r="O89" t="s">
        <v>74</v>
      </c>
      <c r="P89" t="s">
        <v>74</v>
      </c>
      <c r="Q89" t="s">
        <v>74</v>
      </c>
      <c r="R89" t="s">
        <v>74</v>
      </c>
      <c r="S89" t="s">
        <v>74</v>
      </c>
      <c r="T89" t="s">
        <v>1989</v>
      </c>
      <c r="U89" t="s">
        <v>1990</v>
      </c>
      <c r="V89" t="s">
        <v>1991</v>
      </c>
      <c r="W89" t="s">
        <v>1992</v>
      </c>
      <c r="X89" t="s">
        <v>1993</v>
      </c>
      <c r="Y89" t="s">
        <v>1994</v>
      </c>
      <c r="Z89" t="s">
        <v>1995</v>
      </c>
      <c r="AA89" t="s">
        <v>1996</v>
      </c>
      <c r="AB89" t="s">
        <v>1997</v>
      </c>
      <c r="AC89" t="s">
        <v>1998</v>
      </c>
      <c r="AD89" t="s">
        <v>1999</v>
      </c>
      <c r="AE89" t="s">
        <v>2000</v>
      </c>
      <c r="AF89" t="s">
        <v>74</v>
      </c>
      <c r="AG89">
        <v>83</v>
      </c>
      <c r="AH89">
        <v>20</v>
      </c>
      <c r="AI89">
        <v>20</v>
      </c>
      <c r="AJ89">
        <v>0</v>
      </c>
      <c r="AK89">
        <v>12</v>
      </c>
      <c r="AL89" t="s">
        <v>331</v>
      </c>
      <c r="AM89" t="s">
        <v>332</v>
      </c>
      <c r="AN89" t="s">
        <v>333</v>
      </c>
      <c r="AO89" t="s">
        <v>1963</v>
      </c>
      <c r="AP89" t="s">
        <v>1964</v>
      </c>
      <c r="AQ89" t="s">
        <v>74</v>
      </c>
      <c r="AR89" t="s">
        <v>1965</v>
      </c>
      <c r="AS89" t="s">
        <v>1966</v>
      </c>
      <c r="AT89" t="s">
        <v>1791</v>
      </c>
      <c r="AU89">
        <v>2014</v>
      </c>
      <c r="AV89">
        <v>119</v>
      </c>
      <c r="AW89">
        <v>9</v>
      </c>
      <c r="AX89" t="s">
        <v>74</v>
      </c>
      <c r="AY89" t="s">
        <v>74</v>
      </c>
      <c r="AZ89" t="s">
        <v>74</v>
      </c>
      <c r="BA89" t="s">
        <v>74</v>
      </c>
      <c r="BB89">
        <v>6078</v>
      </c>
      <c r="BC89">
        <v>6100</v>
      </c>
      <c r="BD89" t="s">
        <v>74</v>
      </c>
      <c r="BE89" t="s">
        <v>2001</v>
      </c>
      <c r="BF89" t="str">
        <f>HYPERLINK("http://dx.doi.org/10.1002/2014JC009990","http://dx.doi.org/10.1002/2014JC009990")</f>
        <v>http://dx.doi.org/10.1002/2014JC009990</v>
      </c>
      <c r="BG89" t="s">
        <v>74</v>
      </c>
      <c r="BH89" t="s">
        <v>74</v>
      </c>
      <c r="BI89">
        <v>23</v>
      </c>
      <c r="BJ89" t="s">
        <v>152</v>
      </c>
      <c r="BK89" t="s">
        <v>102</v>
      </c>
      <c r="BL89" t="s">
        <v>152</v>
      </c>
      <c r="BM89" t="s">
        <v>1968</v>
      </c>
      <c r="BN89" t="s">
        <v>74</v>
      </c>
      <c r="BO89" t="s">
        <v>827</v>
      </c>
      <c r="BP89" t="s">
        <v>74</v>
      </c>
      <c r="BQ89" t="s">
        <v>74</v>
      </c>
      <c r="BR89" t="s">
        <v>105</v>
      </c>
      <c r="BS89" t="s">
        <v>2002</v>
      </c>
      <c r="BT89" t="str">
        <f>HYPERLINK("https%3A%2F%2Fwww.webofscience.com%2Fwos%2Fwoscc%2Ffull-record%2FWOS:000343879200028","View Full Record in Web of Science")</f>
        <v>View Full Record in Web of Science</v>
      </c>
    </row>
    <row r="90" spans="1:72" x14ac:dyDescent="0.15">
      <c r="A90" t="s">
        <v>72</v>
      </c>
      <c r="B90" t="s">
        <v>2003</v>
      </c>
      <c r="C90" t="s">
        <v>74</v>
      </c>
      <c r="D90" t="s">
        <v>74</v>
      </c>
      <c r="E90" t="s">
        <v>74</v>
      </c>
      <c r="F90" t="s">
        <v>2004</v>
      </c>
      <c r="G90" t="s">
        <v>74</v>
      </c>
      <c r="H90" t="s">
        <v>74</v>
      </c>
      <c r="I90" t="s">
        <v>2005</v>
      </c>
      <c r="J90" t="s">
        <v>1951</v>
      </c>
      <c r="K90" t="s">
        <v>74</v>
      </c>
      <c r="L90" t="s">
        <v>74</v>
      </c>
      <c r="M90" t="s">
        <v>78</v>
      </c>
      <c r="N90" t="s">
        <v>79</v>
      </c>
      <c r="O90" t="s">
        <v>74</v>
      </c>
      <c r="P90" t="s">
        <v>74</v>
      </c>
      <c r="Q90" t="s">
        <v>74</v>
      </c>
      <c r="R90" t="s">
        <v>74</v>
      </c>
      <c r="S90" t="s">
        <v>74</v>
      </c>
      <c r="T90" t="s">
        <v>2006</v>
      </c>
      <c r="U90" t="s">
        <v>2007</v>
      </c>
      <c r="V90" t="s">
        <v>2008</v>
      </c>
      <c r="W90" t="s">
        <v>2009</v>
      </c>
      <c r="X90" t="s">
        <v>2010</v>
      </c>
      <c r="Y90" t="s">
        <v>2011</v>
      </c>
      <c r="Z90" t="s">
        <v>2012</v>
      </c>
      <c r="AA90" t="s">
        <v>2013</v>
      </c>
      <c r="AB90" t="s">
        <v>2014</v>
      </c>
      <c r="AC90" t="s">
        <v>2015</v>
      </c>
      <c r="AD90" t="s">
        <v>2016</v>
      </c>
      <c r="AE90" t="s">
        <v>2017</v>
      </c>
      <c r="AF90" t="s">
        <v>74</v>
      </c>
      <c r="AG90">
        <v>82</v>
      </c>
      <c r="AH90">
        <v>69</v>
      </c>
      <c r="AI90">
        <v>73</v>
      </c>
      <c r="AJ90">
        <v>2</v>
      </c>
      <c r="AK90">
        <v>42</v>
      </c>
      <c r="AL90" t="s">
        <v>331</v>
      </c>
      <c r="AM90" t="s">
        <v>332</v>
      </c>
      <c r="AN90" t="s">
        <v>333</v>
      </c>
      <c r="AO90" t="s">
        <v>1963</v>
      </c>
      <c r="AP90" t="s">
        <v>1964</v>
      </c>
      <c r="AQ90" t="s">
        <v>74</v>
      </c>
      <c r="AR90" t="s">
        <v>1965</v>
      </c>
      <c r="AS90" t="s">
        <v>1966</v>
      </c>
      <c r="AT90" t="s">
        <v>1791</v>
      </c>
      <c r="AU90">
        <v>2014</v>
      </c>
      <c r="AV90">
        <v>119</v>
      </c>
      <c r="AW90">
        <v>9</v>
      </c>
      <c r="AX90" t="s">
        <v>74</v>
      </c>
      <c r="AY90" t="s">
        <v>74</v>
      </c>
      <c r="AZ90" t="s">
        <v>74</v>
      </c>
      <c r="BA90" t="s">
        <v>74</v>
      </c>
      <c r="BB90">
        <v>6340</v>
      </c>
      <c r="BC90">
        <v>6355</v>
      </c>
      <c r="BD90" t="s">
        <v>74</v>
      </c>
      <c r="BE90" t="s">
        <v>2018</v>
      </c>
      <c r="BF90" t="str">
        <f>HYPERLINK("http://dx.doi.org/10.1002/2014JC009941","http://dx.doi.org/10.1002/2014JC009941")</f>
        <v>http://dx.doi.org/10.1002/2014JC009941</v>
      </c>
      <c r="BG90" t="s">
        <v>74</v>
      </c>
      <c r="BH90" t="s">
        <v>74</v>
      </c>
      <c r="BI90">
        <v>16</v>
      </c>
      <c r="BJ90" t="s">
        <v>152</v>
      </c>
      <c r="BK90" t="s">
        <v>102</v>
      </c>
      <c r="BL90" t="s">
        <v>152</v>
      </c>
      <c r="BM90" t="s">
        <v>1968</v>
      </c>
      <c r="BN90" t="s">
        <v>74</v>
      </c>
      <c r="BO90" t="s">
        <v>2019</v>
      </c>
      <c r="BP90" t="s">
        <v>74</v>
      </c>
      <c r="BQ90" t="s">
        <v>74</v>
      </c>
      <c r="BR90" t="s">
        <v>105</v>
      </c>
      <c r="BS90" t="s">
        <v>2020</v>
      </c>
      <c r="BT90" t="str">
        <f>HYPERLINK("https%3A%2F%2Fwww.webofscience.com%2Fwos%2Fwoscc%2Ffull-record%2FWOS:000343879200043","View Full Record in Web of Science")</f>
        <v>View Full Record in Web of Science</v>
      </c>
    </row>
    <row r="91" spans="1:72" x14ac:dyDescent="0.15">
      <c r="A91" t="s">
        <v>72</v>
      </c>
      <c r="B91" t="s">
        <v>2021</v>
      </c>
      <c r="C91" t="s">
        <v>74</v>
      </c>
      <c r="D91" t="s">
        <v>74</v>
      </c>
      <c r="E91" t="s">
        <v>74</v>
      </c>
      <c r="F91" t="s">
        <v>2022</v>
      </c>
      <c r="G91" t="s">
        <v>74</v>
      </c>
      <c r="H91" t="s">
        <v>74</v>
      </c>
      <c r="I91" t="s">
        <v>2023</v>
      </c>
      <c r="J91" t="s">
        <v>1951</v>
      </c>
      <c r="K91" t="s">
        <v>74</v>
      </c>
      <c r="L91" t="s">
        <v>74</v>
      </c>
      <c r="M91" t="s">
        <v>78</v>
      </c>
      <c r="N91" t="s">
        <v>79</v>
      </c>
      <c r="O91" t="s">
        <v>74</v>
      </c>
      <c r="P91" t="s">
        <v>74</v>
      </c>
      <c r="Q91" t="s">
        <v>74</v>
      </c>
      <c r="R91" t="s">
        <v>74</v>
      </c>
      <c r="S91" t="s">
        <v>74</v>
      </c>
      <c r="T91" t="s">
        <v>2024</v>
      </c>
      <c r="U91" t="s">
        <v>2025</v>
      </c>
      <c r="V91" t="s">
        <v>2026</v>
      </c>
      <c r="W91" t="s">
        <v>2027</v>
      </c>
      <c r="X91" t="s">
        <v>2028</v>
      </c>
      <c r="Y91" t="s">
        <v>2029</v>
      </c>
      <c r="Z91" t="s">
        <v>2030</v>
      </c>
      <c r="AA91" t="s">
        <v>2031</v>
      </c>
      <c r="AB91" t="s">
        <v>2032</v>
      </c>
      <c r="AC91" t="s">
        <v>2033</v>
      </c>
      <c r="AD91" t="s">
        <v>2034</v>
      </c>
      <c r="AE91" t="s">
        <v>2035</v>
      </c>
      <c r="AF91" t="s">
        <v>74</v>
      </c>
      <c r="AG91">
        <v>34</v>
      </c>
      <c r="AH91">
        <v>10</v>
      </c>
      <c r="AI91">
        <v>13</v>
      </c>
      <c r="AJ91">
        <v>1</v>
      </c>
      <c r="AK91">
        <v>15</v>
      </c>
      <c r="AL91" t="s">
        <v>331</v>
      </c>
      <c r="AM91" t="s">
        <v>332</v>
      </c>
      <c r="AN91" t="s">
        <v>333</v>
      </c>
      <c r="AO91" t="s">
        <v>1963</v>
      </c>
      <c r="AP91" t="s">
        <v>1964</v>
      </c>
      <c r="AQ91" t="s">
        <v>74</v>
      </c>
      <c r="AR91" t="s">
        <v>1965</v>
      </c>
      <c r="AS91" t="s">
        <v>1966</v>
      </c>
      <c r="AT91" t="s">
        <v>1791</v>
      </c>
      <c r="AU91">
        <v>2014</v>
      </c>
      <c r="AV91">
        <v>119</v>
      </c>
      <c r="AW91">
        <v>9</v>
      </c>
      <c r="AX91" t="s">
        <v>74</v>
      </c>
      <c r="AY91" t="s">
        <v>74</v>
      </c>
      <c r="AZ91" t="s">
        <v>74</v>
      </c>
      <c r="BA91" t="s">
        <v>74</v>
      </c>
      <c r="BB91">
        <v>6381</v>
      </c>
      <c r="BC91">
        <v>6402</v>
      </c>
      <c r="BD91" t="s">
        <v>74</v>
      </c>
      <c r="BE91" t="s">
        <v>2036</v>
      </c>
      <c r="BF91" t="str">
        <f>HYPERLINK("http://dx.doi.org/10.1002/2014JC010201","http://dx.doi.org/10.1002/2014JC010201")</f>
        <v>http://dx.doi.org/10.1002/2014JC010201</v>
      </c>
      <c r="BG91" t="s">
        <v>74</v>
      </c>
      <c r="BH91" t="s">
        <v>74</v>
      </c>
      <c r="BI91">
        <v>22</v>
      </c>
      <c r="BJ91" t="s">
        <v>152</v>
      </c>
      <c r="BK91" t="s">
        <v>102</v>
      </c>
      <c r="BL91" t="s">
        <v>152</v>
      </c>
      <c r="BM91" t="s">
        <v>1968</v>
      </c>
      <c r="BN91" t="s">
        <v>74</v>
      </c>
      <c r="BO91" t="s">
        <v>2037</v>
      </c>
      <c r="BP91" t="s">
        <v>74</v>
      </c>
      <c r="BQ91" t="s">
        <v>74</v>
      </c>
      <c r="BR91" t="s">
        <v>105</v>
      </c>
      <c r="BS91" t="s">
        <v>2038</v>
      </c>
      <c r="BT91" t="str">
        <f>HYPERLINK("https%3A%2F%2Fwww.webofscience.com%2Fwos%2Fwoscc%2Ffull-record%2FWOS:000343879200045","View Full Record in Web of Science")</f>
        <v>View Full Record in Web of Science</v>
      </c>
    </row>
    <row r="92" spans="1:72" x14ac:dyDescent="0.15">
      <c r="A92" t="s">
        <v>72</v>
      </c>
      <c r="B92" t="s">
        <v>2039</v>
      </c>
      <c r="C92" t="s">
        <v>74</v>
      </c>
      <c r="D92" t="s">
        <v>74</v>
      </c>
      <c r="E92" t="s">
        <v>74</v>
      </c>
      <c r="F92" t="s">
        <v>2040</v>
      </c>
      <c r="G92" t="s">
        <v>74</v>
      </c>
      <c r="H92" t="s">
        <v>74</v>
      </c>
      <c r="I92" t="s">
        <v>2041</v>
      </c>
      <c r="J92" t="s">
        <v>1951</v>
      </c>
      <c r="K92" t="s">
        <v>74</v>
      </c>
      <c r="L92" t="s">
        <v>74</v>
      </c>
      <c r="M92" t="s">
        <v>78</v>
      </c>
      <c r="N92" t="s">
        <v>79</v>
      </c>
      <c r="O92" t="s">
        <v>74</v>
      </c>
      <c r="P92" t="s">
        <v>74</v>
      </c>
      <c r="Q92" t="s">
        <v>74</v>
      </c>
      <c r="R92" t="s">
        <v>74</v>
      </c>
      <c r="S92" t="s">
        <v>74</v>
      </c>
      <c r="T92" t="s">
        <v>2042</v>
      </c>
      <c r="U92" t="s">
        <v>2043</v>
      </c>
      <c r="V92" t="s">
        <v>2044</v>
      </c>
      <c r="W92" t="s">
        <v>2045</v>
      </c>
      <c r="X92" t="s">
        <v>2046</v>
      </c>
      <c r="Y92" t="s">
        <v>2047</v>
      </c>
      <c r="Z92" t="s">
        <v>2048</v>
      </c>
      <c r="AA92" t="s">
        <v>2049</v>
      </c>
      <c r="AB92" t="s">
        <v>2050</v>
      </c>
      <c r="AC92" t="s">
        <v>2051</v>
      </c>
      <c r="AD92" t="s">
        <v>2052</v>
      </c>
      <c r="AE92" t="s">
        <v>2053</v>
      </c>
      <c r="AF92" t="s">
        <v>74</v>
      </c>
      <c r="AG92">
        <v>34</v>
      </c>
      <c r="AH92">
        <v>40</v>
      </c>
      <c r="AI92">
        <v>41</v>
      </c>
      <c r="AJ92">
        <v>2</v>
      </c>
      <c r="AK92">
        <v>27</v>
      </c>
      <c r="AL92" t="s">
        <v>331</v>
      </c>
      <c r="AM92" t="s">
        <v>332</v>
      </c>
      <c r="AN92" t="s">
        <v>333</v>
      </c>
      <c r="AO92" t="s">
        <v>1963</v>
      </c>
      <c r="AP92" t="s">
        <v>1964</v>
      </c>
      <c r="AQ92" t="s">
        <v>74</v>
      </c>
      <c r="AR92" t="s">
        <v>1965</v>
      </c>
      <c r="AS92" t="s">
        <v>1966</v>
      </c>
      <c r="AT92" t="s">
        <v>1791</v>
      </c>
      <c r="AU92">
        <v>2014</v>
      </c>
      <c r="AV92">
        <v>119</v>
      </c>
      <c r="AW92">
        <v>9</v>
      </c>
      <c r="AX92" t="s">
        <v>74</v>
      </c>
      <c r="AY92" t="s">
        <v>74</v>
      </c>
      <c r="AZ92" t="s">
        <v>74</v>
      </c>
      <c r="BA92" t="s">
        <v>74</v>
      </c>
      <c r="BB92">
        <v>6461</v>
      </c>
      <c r="BC92">
        <v>6478</v>
      </c>
      <c r="BD92" t="s">
        <v>74</v>
      </c>
      <c r="BE92" t="s">
        <v>2054</v>
      </c>
      <c r="BF92" t="str">
        <f>HYPERLINK("http://dx.doi.org/10.1002/2014JC010077","http://dx.doi.org/10.1002/2014JC010077")</f>
        <v>http://dx.doi.org/10.1002/2014JC010077</v>
      </c>
      <c r="BG92" t="s">
        <v>74</v>
      </c>
      <c r="BH92" t="s">
        <v>74</v>
      </c>
      <c r="BI92">
        <v>18</v>
      </c>
      <c r="BJ92" t="s">
        <v>152</v>
      </c>
      <c r="BK92" t="s">
        <v>102</v>
      </c>
      <c r="BL92" t="s">
        <v>152</v>
      </c>
      <c r="BM92" t="s">
        <v>1968</v>
      </c>
      <c r="BN92" t="s">
        <v>74</v>
      </c>
      <c r="BO92" t="s">
        <v>179</v>
      </c>
      <c r="BP92" t="s">
        <v>74</v>
      </c>
      <c r="BQ92" t="s">
        <v>74</v>
      </c>
      <c r="BR92" t="s">
        <v>105</v>
      </c>
      <c r="BS92" t="s">
        <v>2055</v>
      </c>
      <c r="BT92" t="str">
        <f>HYPERLINK("https%3A%2F%2Fwww.webofscience.com%2Fwos%2Fwoscc%2Ffull-record%2FWOS:000343879200049","View Full Record in Web of Science")</f>
        <v>View Full Record in Web of Science</v>
      </c>
    </row>
    <row r="93" spans="1:72" x14ac:dyDescent="0.15">
      <c r="A93" t="s">
        <v>72</v>
      </c>
      <c r="B93" t="s">
        <v>2056</v>
      </c>
      <c r="C93" t="s">
        <v>74</v>
      </c>
      <c r="D93" t="s">
        <v>74</v>
      </c>
      <c r="E93" t="s">
        <v>74</v>
      </c>
      <c r="F93" t="s">
        <v>2057</v>
      </c>
      <c r="G93" t="s">
        <v>74</v>
      </c>
      <c r="H93" t="s">
        <v>74</v>
      </c>
      <c r="I93" t="s">
        <v>2058</v>
      </c>
      <c r="J93" t="s">
        <v>2059</v>
      </c>
      <c r="K93" t="s">
        <v>74</v>
      </c>
      <c r="L93" t="s">
        <v>74</v>
      </c>
      <c r="M93" t="s">
        <v>78</v>
      </c>
      <c r="N93" t="s">
        <v>79</v>
      </c>
      <c r="O93" t="s">
        <v>74</v>
      </c>
      <c r="P93" t="s">
        <v>74</v>
      </c>
      <c r="Q93" t="s">
        <v>74</v>
      </c>
      <c r="R93" t="s">
        <v>74</v>
      </c>
      <c r="S93" t="s">
        <v>74</v>
      </c>
      <c r="T93" t="s">
        <v>2060</v>
      </c>
      <c r="U93" t="s">
        <v>2061</v>
      </c>
      <c r="V93" t="s">
        <v>2062</v>
      </c>
      <c r="W93" t="s">
        <v>2063</v>
      </c>
      <c r="X93" t="s">
        <v>2064</v>
      </c>
      <c r="Y93" t="s">
        <v>2065</v>
      </c>
      <c r="Z93" t="s">
        <v>2066</v>
      </c>
      <c r="AA93" t="s">
        <v>74</v>
      </c>
      <c r="AB93" t="s">
        <v>2067</v>
      </c>
      <c r="AC93" t="s">
        <v>2068</v>
      </c>
      <c r="AD93" t="s">
        <v>2069</v>
      </c>
      <c r="AE93" t="s">
        <v>2070</v>
      </c>
      <c r="AF93" t="s">
        <v>74</v>
      </c>
      <c r="AG93">
        <v>87</v>
      </c>
      <c r="AH93">
        <v>51</v>
      </c>
      <c r="AI93">
        <v>55</v>
      </c>
      <c r="AJ93">
        <v>0</v>
      </c>
      <c r="AK93">
        <v>104</v>
      </c>
      <c r="AL93" t="s">
        <v>418</v>
      </c>
      <c r="AM93" t="s">
        <v>251</v>
      </c>
      <c r="AN93" t="s">
        <v>419</v>
      </c>
      <c r="AO93" t="s">
        <v>2071</v>
      </c>
      <c r="AP93" t="s">
        <v>2072</v>
      </c>
      <c r="AQ93" t="s">
        <v>74</v>
      </c>
      <c r="AR93" t="s">
        <v>2073</v>
      </c>
      <c r="AS93" t="s">
        <v>2074</v>
      </c>
      <c r="AT93" t="s">
        <v>1860</v>
      </c>
      <c r="AU93">
        <v>2014</v>
      </c>
      <c r="AV93">
        <v>71</v>
      </c>
      <c r="AW93">
        <v>7</v>
      </c>
      <c r="AX93" t="s">
        <v>74</v>
      </c>
      <c r="AY93" t="s">
        <v>74</v>
      </c>
      <c r="AZ93" t="s">
        <v>74</v>
      </c>
      <c r="BA93" t="s">
        <v>74</v>
      </c>
      <c r="BB93">
        <v>1542</v>
      </c>
      <c r="BC93">
        <v>1553</v>
      </c>
      <c r="BD93" t="s">
        <v>74</v>
      </c>
      <c r="BE93" t="s">
        <v>2075</v>
      </c>
      <c r="BF93" t="str">
        <f>HYPERLINK("http://dx.doi.org/10.1093/icesjms/fst230","http://dx.doi.org/10.1093/icesjms/fst230")</f>
        <v>http://dx.doi.org/10.1093/icesjms/fst230</v>
      </c>
      <c r="BG93" t="s">
        <v>74</v>
      </c>
      <c r="BH93" t="s">
        <v>74</v>
      </c>
      <c r="BI93">
        <v>12</v>
      </c>
      <c r="BJ93" t="s">
        <v>2076</v>
      </c>
      <c r="BK93" t="s">
        <v>102</v>
      </c>
      <c r="BL93" t="s">
        <v>2076</v>
      </c>
      <c r="BM93" t="s">
        <v>2077</v>
      </c>
      <c r="BN93" t="s">
        <v>74</v>
      </c>
      <c r="BO93" t="s">
        <v>179</v>
      </c>
      <c r="BP93" t="s">
        <v>74</v>
      </c>
      <c r="BQ93" t="s">
        <v>74</v>
      </c>
      <c r="BR93" t="s">
        <v>105</v>
      </c>
      <c r="BS93" t="s">
        <v>2078</v>
      </c>
      <c r="BT93" t="str">
        <f>HYPERLINK("https%3A%2F%2Fwww.webofscience.com%2Fwos%2Fwoscc%2Ffull-record%2FWOS:000343315900003","View Full Record in Web of Science")</f>
        <v>View Full Record in Web of Science</v>
      </c>
    </row>
    <row r="94" spans="1:72" x14ac:dyDescent="0.15">
      <c r="A94" t="s">
        <v>72</v>
      </c>
      <c r="B94" t="s">
        <v>2079</v>
      </c>
      <c r="C94" t="s">
        <v>74</v>
      </c>
      <c r="D94" t="s">
        <v>74</v>
      </c>
      <c r="E94" t="s">
        <v>74</v>
      </c>
      <c r="F94" t="s">
        <v>2080</v>
      </c>
      <c r="G94" t="s">
        <v>74</v>
      </c>
      <c r="H94" t="s">
        <v>74</v>
      </c>
      <c r="I94" t="s">
        <v>2081</v>
      </c>
      <c r="J94" t="s">
        <v>2059</v>
      </c>
      <c r="K94" t="s">
        <v>74</v>
      </c>
      <c r="L94" t="s">
        <v>74</v>
      </c>
      <c r="M94" t="s">
        <v>78</v>
      </c>
      <c r="N94" t="s">
        <v>79</v>
      </c>
      <c r="O94" t="s">
        <v>74</v>
      </c>
      <c r="P94" t="s">
        <v>74</v>
      </c>
      <c r="Q94" t="s">
        <v>74</v>
      </c>
      <c r="R94" t="s">
        <v>74</v>
      </c>
      <c r="S94" t="s">
        <v>74</v>
      </c>
      <c r="T94" t="s">
        <v>2082</v>
      </c>
      <c r="U94" t="s">
        <v>2083</v>
      </c>
      <c r="V94" t="s">
        <v>2084</v>
      </c>
      <c r="W94" t="s">
        <v>2085</v>
      </c>
      <c r="X94" t="s">
        <v>2086</v>
      </c>
      <c r="Y94" t="s">
        <v>2087</v>
      </c>
      <c r="Z94" t="s">
        <v>2088</v>
      </c>
      <c r="AA94" t="s">
        <v>2089</v>
      </c>
      <c r="AB94" t="s">
        <v>2090</v>
      </c>
      <c r="AC94" t="s">
        <v>2091</v>
      </c>
      <c r="AD94" t="s">
        <v>2092</v>
      </c>
      <c r="AE94" t="s">
        <v>2093</v>
      </c>
      <c r="AF94" t="s">
        <v>74</v>
      </c>
      <c r="AG94">
        <v>52</v>
      </c>
      <c r="AH94">
        <v>29</v>
      </c>
      <c r="AI94">
        <v>31</v>
      </c>
      <c r="AJ94">
        <v>0</v>
      </c>
      <c r="AK94">
        <v>22</v>
      </c>
      <c r="AL94" t="s">
        <v>418</v>
      </c>
      <c r="AM94" t="s">
        <v>251</v>
      </c>
      <c r="AN94" t="s">
        <v>419</v>
      </c>
      <c r="AO94" t="s">
        <v>2071</v>
      </c>
      <c r="AP94" t="s">
        <v>2072</v>
      </c>
      <c r="AQ94" t="s">
        <v>74</v>
      </c>
      <c r="AR94" t="s">
        <v>2073</v>
      </c>
      <c r="AS94" t="s">
        <v>2074</v>
      </c>
      <c r="AT94" t="s">
        <v>1860</v>
      </c>
      <c r="AU94">
        <v>2014</v>
      </c>
      <c r="AV94">
        <v>71</v>
      </c>
      <c r="AW94">
        <v>7</v>
      </c>
      <c r="AX94" t="s">
        <v>74</v>
      </c>
      <c r="AY94" t="s">
        <v>74</v>
      </c>
      <c r="AZ94" t="s">
        <v>74</v>
      </c>
      <c r="BA94" t="s">
        <v>74</v>
      </c>
      <c r="BB94">
        <v>1854</v>
      </c>
      <c r="BC94">
        <v>1865</v>
      </c>
      <c r="BD94" t="s">
        <v>74</v>
      </c>
      <c r="BE94" t="s">
        <v>2094</v>
      </c>
      <c r="BF94" t="str">
        <f>HYPERLINK("http://dx.doi.org/10.1093/icesjms/fsu019","http://dx.doi.org/10.1093/icesjms/fsu019")</f>
        <v>http://dx.doi.org/10.1093/icesjms/fsu019</v>
      </c>
      <c r="BG94" t="s">
        <v>74</v>
      </c>
      <c r="BH94" t="s">
        <v>74</v>
      </c>
      <c r="BI94">
        <v>12</v>
      </c>
      <c r="BJ94" t="s">
        <v>2076</v>
      </c>
      <c r="BK94" t="s">
        <v>1690</v>
      </c>
      <c r="BL94" t="s">
        <v>2076</v>
      </c>
      <c r="BM94" t="s">
        <v>2077</v>
      </c>
      <c r="BN94" t="s">
        <v>74</v>
      </c>
      <c r="BO94" t="s">
        <v>179</v>
      </c>
      <c r="BP94" t="s">
        <v>74</v>
      </c>
      <c r="BQ94" t="s">
        <v>74</v>
      </c>
      <c r="BR94" t="s">
        <v>105</v>
      </c>
      <c r="BS94" t="s">
        <v>2095</v>
      </c>
      <c r="BT94" t="str">
        <f>HYPERLINK("https%3A%2F%2Fwww.webofscience.com%2Fwos%2Fwoscc%2Ffull-record%2FWOS:000343315900029","View Full Record in Web of Science")</f>
        <v>View Full Record in Web of Science</v>
      </c>
    </row>
    <row r="95" spans="1:72" x14ac:dyDescent="0.15">
      <c r="A95" t="s">
        <v>72</v>
      </c>
      <c r="B95" t="s">
        <v>2096</v>
      </c>
      <c r="C95" t="s">
        <v>74</v>
      </c>
      <c r="D95" t="s">
        <v>74</v>
      </c>
      <c r="E95" t="s">
        <v>74</v>
      </c>
      <c r="F95" t="s">
        <v>2097</v>
      </c>
      <c r="G95" t="s">
        <v>74</v>
      </c>
      <c r="H95" t="s">
        <v>74</v>
      </c>
      <c r="I95" t="s">
        <v>2098</v>
      </c>
      <c r="J95" t="s">
        <v>2059</v>
      </c>
      <c r="K95" t="s">
        <v>74</v>
      </c>
      <c r="L95" t="s">
        <v>74</v>
      </c>
      <c r="M95" t="s">
        <v>78</v>
      </c>
      <c r="N95" t="s">
        <v>79</v>
      </c>
      <c r="O95" t="s">
        <v>74</v>
      </c>
      <c r="P95" t="s">
        <v>74</v>
      </c>
      <c r="Q95" t="s">
        <v>74</v>
      </c>
      <c r="R95" t="s">
        <v>74</v>
      </c>
      <c r="S95" t="s">
        <v>74</v>
      </c>
      <c r="T95" t="s">
        <v>2099</v>
      </c>
      <c r="U95" t="s">
        <v>2100</v>
      </c>
      <c r="V95" t="s">
        <v>2101</v>
      </c>
      <c r="W95" t="s">
        <v>2102</v>
      </c>
      <c r="X95" t="s">
        <v>2103</v>
      </c>
      <c r="Y95" t="s">
        <v>2104</v>
      </c>
      <c r="Z95" t="s">
        <v>2105</v>
      </c>
      <c r="AA95" t="s">
        <v>2106</v>
      </c>
      <c r="AB95" t="s">
        <v>2107</v>
      </c>
      <c r="AC95" t="s">
        <v>2108</v>
      </c>
      <c r="AD95" t="s">
        <v>2108</v>
      </c>
      <c r="AE95" t="s">
        <v>2109</v>
      </c>
      <c r="AF95" t="s">
        <v>74</v>
      </c>
      <c r="AG95">
        <v>209</v>
      </c>
      <c r="AH95">
        <v>80</v>
      </c>
      <c r="AI95">
        <v>84</v>
      </c>
      <c r="AJ95">
        <v>2</v>
      </c>
      <c r="AK95">
        <v>207</v>
      </c>
      <c r="AL95" t="s">
        <v>418</v>
      </c>
      <c r="AM95" t="s">
        <v>251</v>
      </c>
      <c r="AN95" t="s">
        <v>419</v>
      </c>
      <c r="AO95" t="s">
        <v>2071</v>
      </c>
      <c r="AP95" t="s">
        <v>2072</v>
      </c>
      <c r="AQ95" t="s">
        <v>74</v>
      </c>
      <c r="AR95" t="s">
        <v>2073</v>
      </c>
      <c r="AS95" t="s">
        <v>2074</v>
      </c>
      <c r="AT95" t="s">
        <v>1860</v>
      </c>
      <c r="AU95">
        <v>2014</v>
      </c>
      <c r="AV95">
        <v>71</v>
      </c>
      <c r="AW95">
        <v>7</v>
      </c>
      <c r="AX95" t="s">
        <v>74</v>
      </c>
      <c r="AY95" t="s">
        <v>74</v>
      </c>
      <c r="AZ95" t="s">
        <v>74</v>
      </c>
      <c r="BA95" t="s">
        <v>74</v>
      </c>
      <c r="BB95">
        <v>1934</v>
      </c>
      <c r="BC95">
        <v>1955</v>
      </c>
      <c r="BD95" t="s">
        <v>74</v>
      </c>
      <c r="BE95" t="s">
        <v>2110</v>
      </c>
      <c r="BF95" t="str">
        <f>HYPERLINK("http://dx.doi.org/10.1093/icesjms/fsu002","http://dx.doi.org/10.1093/icesjms/fsu002")</f>
        <v>http://dx.doi.org/10.1093/icesjms/fsu002</v>
      </c>
      <c r="BG95" t="s">
        <v>74</v>
      </c>
      <c r="BH95" t="s">
        <v>74</v>
      </c>
      <c r="BI95">
        <v>22</v>
      </c>
      <c r="BJ95" t="s">
        <v>2076</v>
      </c>
      <c r="BK95" t="s">
        <v>102</v>
      </c>
      <c r="BL95" t="s">
        <v>2076</v>
      </c>
      <c r="BM95" t="s">
        <v>2077</v>
      </c>
      <c r="BN95" t="s">
        <v>74</v>
      </c>
      <c r="BO95" t="s">
        <v>2037</v>
      </c>
      <c r="BP95" t="s">
        <v>74</v>
      </c>
      <c r="BQ95" t="s">
        <v>74</v>
      </c>
      <c r="BR95" t="s">
        <v>105</v>
      </c>
      <c r="BS95" t="s">
        <v>2111</v>
      </c>
      <c r="BT95" t="str">
        <f>HYPERLINK("https%3A%2F%2Fwww.webofscience.com%2Fwos%2Fwoscc%2Ffull-record%2FWOS:000343315900039","View Full Record in Web of Science")</f>
        <v>View Full Record in Web of Science</v>
      </c>
    </row>
    <row r="96" spans="1:72" x14ac:dyDescent="0.15">
      <c r="A96" t="s">
        <v>72</v>
      </c>
      <c r="B96" t="s">
        <v>2112</v>
      </c>
      <c r="C96" t="s">
        <v>74</v>
      </c>
      <c r="D96" t="s">
        <v>74</v>
      </c>
      <c r="E96" t="s">
        <v>74</v>
      </c>
      <c r="F96" t="s">
        <v>2113</v>
      </c>
      <c r="G96" t="s">
        <v>74</v>
      </c>
      <c r="H96" t="s">
        <v>74</v>
      </c>
      <c r="I96" t="s">
        <v>2114</v>
      </c>
      <c r="J96" t="s">
        <v>2115</v>
      </c>
      <c r="K96" t="s">
        <v>74</v>
      </c>
      <c r="L96" t="s">
        <v>74</v>
      </c>
      <c r="M96" t="s">
        <v>78</v>
      </c>
      <c r="N96" t="s">
        <v>79</v>
      </c>
      <c r="O96" t="s">
        <v>74</v>
      </c>
      <c r="P96" t="s">
        <v>74</v>
      </c>
      <c r="Q96" t="s">
        <v>74</v>
      </c>
      <c r="R96" t="s">
        <v>74</v>
      </c>
      <c r="S96" t="s">
        <v>74</v>
      </c>
      <c r="T96" t="s">
        <v>74</v>
      </c>
      <c r="U96" t="s">
        <v>2116</v>
      </c>
      <c r="V96" t="s">
        <v>2117</v>
      </c>
      <c r="W96" t="s">
        <v>2118</v>
      </c>
      <c r="X96" t="s">
        <v>2119</v>
      </c>
      <c r="Y96" t="s">
        <v>2120</v>
      </c>
      <c r="Z96" t="s">
        <v>2121</v>
      </c>
      <c r="AA96" t="s">
        <v>74</v>
      </c>
      <c r="AB96" t="s">
        <v>2122</v>
      </c>
      <c r="AC96" t="s">
        <v>2123</v>
      </c>
      <c r="AD96" t="s">
        <v>2124</v>
      </c>
      <c r="AE96" t="s">
        <v>2125</v>
      </c>
      <c r="AF96" t="s">
        <v>74</v>
      </c>
      <c r="AG96">
        <v>29</v>
      </c>
      <c r="AH96">
        <v>14</v>
      </c>
      <c r="AI96">
        <v>17</v>
      </c>
      <c r="AJ96">
        <v>2</v>
      </c>
      <c r="AK96">
        <v>25</v>
      </c>
      <c r="AL96" t="s">
        <v>331</v>
      </c>
      <c r="AM96" t="s">
        <v>332</v>
      </c>
      <c r="AN96" t="s">
        <v>333</v>
      </c>
      <c r="AO96" t="s">
        <v>2126</v>
      </c>
      <c r="AP96" t="s">
        <v>2127</v>
      </c>
      <c r="AQ96" t="s">
        <v>74</v>
      </c>
      <c r="AR96" t="s">
        <v>2128</v>
      </c>
      <c r="AS96" t="s">
        <v>2129</v>
      </c>
      <c r="AT96" t="s">
        <v>1791</v>
      </c>
      <c r="AU96">
        <v>2014</v>
      </c>
      <c r="AV96">
        <v>119</v>
      </c>
      <c r="AW96">
        <v>9</v>
      </c>
      <c r="AX96" t="s">
        <v>74</v>
      </c>
      <c r="AY96" t="s">
        <v>74</v>
      </c>
      <c r="AZ96" t="s">
        <v>74</v>
      </c>
      <c r="BA96" t="s">
        <v>74</v>
      </c>
      <c r="BB96">
        <v>1879</v>
      </c>
      <c r="BC96">
        <v>1891</v>
      </c>
      <c r="BD96" t="s">
        <v>74</v>
      </c>
      <c r="BE96" t="s">
        <v>2130</v>
      </c>
      <c r="BF96" t="str">
        <f>HYPERLINK("http://dx.doi.org/10.1002/2014JG002672","http://dx.doi.org/10.1002/2014JG002672")</f>
        <v>http://dx.doi.org/10.1002/2014JG002672</v>
      </c>
      <c r="BG96" t="s">
        <v>74</v>
      </c>
      <c r="BH96" t="s">
        <v>74</v>
      </c>
      <c r="BI96">
        <v>13</v>
      </c>
      <c r="BJ96" t="s">
        <v>2131</v>
      </c>
      <c r="BK96" t="s">
        <v>102</v>
      </c>
      <c r="BL96" t="s">
        <v>2132</v>
      </c>
      <c r="BM96" t="s">
        <v>2133</v>
      </c>
      <c r="BN96" t="s">
        <v>74</v>
      </c>
      <c r="BO96" t="s">
        <v>179</v>
      </c>
      <c r="BP96" t="s">
        <v>74</v>
      </c>
      <c r="BQ96" t="s">
        <v>74</v>
      </c>
      <c r="BR96" t="s">
        <v>105</v>
      </c>
      <c r="BS96" t="s">
        <v>2134</v>
      </c>
      <c r="BT96" t="str">
        <f>HYPERLINK("https%3A%2F%2Fwww.webofscience.com%2Fwos%2Fwoscc%2Ffull-record%2FWOS:000343369800009","View Full Record in Web of Science")</f>
        <v>View Full Record in Web of Science</v>
      </c>
    </row>
    <row r="97" spans="1:72" x14ac:dyDescent="0.15">
      <c r="A97" t="s">
        <v>72</v>
      </c>
      <c r="B97" t="s">
        <v>2135</v>
      </c>
      <c r="C97" t="s">
        <v>74</v>
      </c>
      <c r="D97" t="s">
        <v>74</v>
      </c>
      <c r="E97" t="s">
        <v>74</v>
      </c>
      <c r="F97" t="s">
        <v>2136</v>
      </c>
      <c r="G97" t="s">
        <v>74</v>
      </c>
      <c r="H97" t="s">
        <v>74</v>
      </c>
      <c r="I97" t="s">
        <v>2137</v>
      </c>
      <c r="J97" t="s">
        <v>2138</v>
      </c>
      <c r="K97" t="s">
        <v>74</v>
      </c>
      <c r="L97" t="s">
        <v>74</v>
      </c>
      <c r="M97" t="s">
        <v>78</v>
      </c>
      <c r="N97" t="s">
        <v>1130</v>
      </c>
      <c r="O97" t="s">
        <v>74</v>
      </c>
      <c r="P97" t="s">
        <v>74</v>
      </c>
      <c r="Q97" t="s">
        <v>74</v>
      </c>
      <c r="R97" t="s">
        <v>74</v>
      </c>
      <c r="S97" t="s">
        <v>74</v>
      </c>
      <c r="T97" t="s">
        <v>2139</v>
      </c>
      <c r="U97" t="s">
        <v>74</v>
      </c>
      <c r="V97" t="s">
        <v>74</v>
      </c>
      <c r="W97" t="s">
        <v>2140</v>
      </c>
      <c r="X97" t="s">
        <v>1109</v>
      </c>
      <c r="Y97" t="s">
        <v>2141</v>
      </c>
      <c r="Z97" t="s">
        <v>2142</v>
      </c>
      <c r="AA97" t="s">
        <v>74</v>
      </c>
      <c r="AB97" t="s">
        <v>74</v>
      </c>
      <c r="AC97" t="s">
        <v>74</v>
      </c>
      <c r="AD97" t="s">
        <v>74</v>
      </c>
      <c r="AE97" t="s">
        <v>74</v>
      </c>
      <c r="AF97" t="s">
        <v>74</v>
      </c>
      <c r="AG97">
        <v>4</v>
      </c>
      <c r="AH97">
        <v>0</v>
      </c>
      <c r="AI97">
        <v>0</v>
      </c>
      <c r="AJ97">
        <v>0</v>
      </c>
      <c r="AK97">
        <v>1</v>
      </c>
      <c r="AL97" t="s">
        <v>601</v>
      </c>
      <c r="AM97" t="s">
        <v>251</v>
      </c>
      <c r="AN97" t="s">
        <v>602</v>
      </c>
      <c r="AO97" t="s">
        <v>2143</v>
      </c>
      <c r="AP97" t="s">
        <v>2144</v>
      </c>
      <c r="AQ97" t="s">
        <v>74</v>
      </c>
      <c r="AR97" t="s">
        <v>2145</v>
      </c>
      <c r="AS97" t="s">
        <v>2146</v>
      </c>
      <c r="AT97" t="s">
        <v>1860</v>
      </c>
      <c r="AU97">
        <v>2014</v>
      </c>
      <c r="AV97">
        <v>12</v>
      </c>
      <c r="AW97">
        <v>5</v>
      </c>
      <c r="AX97" t="s">
        <v>74</v>
      </c>
      <c r="AY97" t="s">
        <v>74</v>
      </c>
      <c r="AZ97" t="s">
        <v>74</v>
      </c>
      <c r="BA97" t="s">
        <v>74</v>
      </c>
      <c r="BB97">
        <v>547</v>
      </c>
      <c r="BC97">
        <v>548</v>
      </c>
      <c r="BD97" t="s">
        <v>74</v>
      </c>
      <c r="BE97" t="s">
        <v>2147</v>
      </c>
      <c r="BF97" t="str">
        <f>HYPERLINK("http://dx.doi.org/10.1016/j.tmaid.2014.08.003","http://dx.doi.org/10.1016/j.tmaid.2014.08.003")</f>
        <v>http://dx.doi.org/10.1016/j.tmaid.2014.08.003</v>
      </c>
      <c r="BG97" t="s">
        <v>74</v>
      </c>
      <c r="BH97" t="s">
        <v>74</v>
      </c>
      <c r="BI97">
        <v>2</v>
      </c>
      <c r="BJ97" t="s">
        <v>2148</v>
      </c>
      <c r="BK97" t="s">
        <v>102</v>
      </c>
      <c r="BL97" t="s">
        <v>2148</v>
      </c>
      <c r="BM97" t="s">
        <v>2149</v>
      </c>
      <c r="BN97">
        <v>25224955</v>
      </c>
      <c r="BO97" t="s">
        <v>74</v>
      </c>
      <c r="BP97" t="s">
        <v>74</v>
      </c>
      <c r="BQ97" t="s">
        <v>74</v>
      </c>
      <c r="BR97" t="s">
        <v>105</v>
      </c>
      <c r="BS97" t="s">
        <v>2150</v>
      </c>
      <c r="BT97" t="str">
        <f>HYPERLINK("https%3A%2F%2Fwww.webofscience.com%2Fwos%2Fwoscc%2Ffull-record%2FWOS:000343626700019","View Full Record in Web of Science")</f>
        <v>View Full Record in Web of Science</v>
      </c>
    </row>
    <row r="98" spans="1:72" x14ac:dyDescent="0.15">
      <c r="A98" t="s">
        <v>72</v>
      </c>
      <c r="B98" t="s">
        <v>2151</v>
      </c>
      <c r="C98" t="s">
        <v>74</v>
      </c>
      <c r="D98" t="s">
        <v>74</v>
      </c>
      <c r="E98" t="s">
        <v>74</v>
      </c>
      <c r="F98" t="s">
        <v>2152</v>
      </c>
      <c r="G98" t="s">
        <v>74</v>
      </c>
      <c r="H98" t="s">
        <v>74</v>
      </c>
      <c r="I98" t="s">
        <v>2153</v>
      </c>
      <c r="J98" t="s">
        <v>2154</v>
      </c>
      <c r="K98" t="s">
        <v>74</v>
      </c>
      <c r="L98" t="s">
        <v>74</v>
      </c>
      <c r="M98" t="s">
        <v>78</v>
      </c>
      <c r="N98" t="s">
        <v>79</v>
      </c>
      <c r="O98" t="s">
        <v>74</v>
      </c>
      <c r="P98" t="s">
        <v>74</v>
      </c>
      <c r="Q98" t="s">
        <v>74</v>
      </c>
      <c r="R98" t="s">
        <v>74</v>
      </c>
      <c r="S98" t="s">
        <v>74</v>
      </c>
      <c r="T98" t="s">
        <v>2155</v>
      </c>
      <c r="U98" t="s">
        <v>2156</v>
      </c>
      <c r="V98" t="s">
        <v>2157</v>
      </c>
      <c r="W98" t="s">
        <v>2158</v>
      </c>
      <c r="X98" t="s">
        <v>2159</v>
      </c>
      <c r="Y98" t="s">
        <v>2160</v>
      </c>
      <c r="Z98" t="s">
        <v>2161</v>
      </c>
      <c r="AA98" t="s">
        <v>74</v>
      </c>
      <c r="AB98" t="s">
        <v>74</v>
      </c>
      <c r="AC98" t="s">
        <v>2162</v>
      </c>
      <c r="AD98" t="s">
        <v>2163</v>
      </c>
      <c r="AE98" t="s">
        <v>2164</v>
      </c>
      <c r="AF98" t="s">
        <v>74</v>
      </c>
      <c r="AG98">
        <v>62</v>
      </c>
      <c r="AH98">
        <v>3</v>
      </c>
      <c r="AI98">
        <v>5</v>
      </c>
      <c r="AJ98">
        <v>0</v>
      </c>
      <c r="AK98">
        <v>16</v>
      </c>
      <c r="AL98" t="s">
        <v>2154</v>
      </c>
      <c r="AM98" t="s">
        <v>2165</v>
      </c>
      <c r="AN98" t="s">
        <v>2166</v>
      </c>
      <c r="AO98" t="s">
        <v>2167</v>
      </c>
      <c r="AP98" t="s">
        <v>2168</v>
      </c>
      <c r="AQ98" t="s">
        <v>74</v>
      </c>
      <c r="AR98" t="s">
        <v>2169</v>
      </c>
      <c r="AS98" t="s">
        <v>2170</v>
      </c>
      <c r="AT98" t="s">
        <v>1791</v>
      </c>
      <c r="AU98">
        <v>2014</v>
      </c>
      <c r="AV98">
        <v>62</v>
      </c>
      <c r="AW98">
        <v>3</v>
      </c>
      <c r="AX98" t="s">
        <v>74</v>
      </c>
      <c r="AY98" t="s">
        <v>74</v>
      </c>
      <c r="AZ98" t="s">
        <v>74</v>
      </c>
      <c r="BA98" t="s">
        <v>74</v>
      </c>
      <c r="BB98">
        <v>957</v>
      </c>
      <c r="BC98">
        <v>968</v>
      </c>
      <c r="BD98" t="s">
        <v>74</v>
      </c>
      <c r="BE98" t="s">
        <v>2171</v>
      </c>
      <c r="BF98" t="str">
        <f>HYPERLINK("http://dx.doi.org/10.15517/rbt.v62i3.12583","http://dx.doi.org/10.15517/rbt.v62i3.12583")</f>
        <v>http://dx.doi.org/10.15517/rbt.v62i3.12583</v>
      </c>
      <c r="BG98" t="s">
        <v>74</v>
      </c>
      <c r="BH98" t="s">
        <v>74</v>
      </c>
      <c r="BI98">
        <v>12</v>
      </c>
      <c r="BJ98" t="s">
        <v>1300</v>
      </c>
      <c r="BK98" t="s">
        <v>102</v>
      </c>
      <c r="BL98" t="s">
        <v>1301</v>
      </c>
      <c r="BM98" t="s">
        <v>2172</v>
      </c>
      <c r="BN98">
        <v>25412528</v>
      </c>
      <c r="BO98" t="s">
        <v>1898</v>
      </c>
      <c r="BP98" t="s">
        <v>74</v>
      </c>
      <c r="BQ98" t="s">
        <v>74</v>
      </c>
      <c r="BR98" t="s">
        <v>105</v>
      </c>
      <c r="BS98" t="s">
        <v>2173</v>
      </c>
      <c r="BT98" t="str">
        <f>HYPERLINK("https%3A%2F%2Fwww.webofscience.com%2Fwos%2Fwoscc%2Ffull-record%2FWOS:000343187200012","View Full Record in Web of Science")</f>
        <v>View Full Record in Web of Science</v>
      </c>
    </row>
    <row r="99" spans="1:72" x14ac:dyDescent="0.15">
      <c r="A99" t="s">
        <v>72</v>
      </c>
      <c r="B99" t="s">
        <v>2174</v>
      </c>
      <c r="C99" t="s">
        <v>74</v>
      </c>
      <c r="D99" t="s">
        <v>74</v>
      </c>
      <c r="E99" t="s">
        <v>74</v>
      </c>
      <c r="F99" t="s">
        <v>2175</v>
      </c>
      <c r="G99" t="s">
        <v>74</v>
      </c>
      <c r="H99" t="s">
        <v>74</v>
      </c>
      <c r="I99" t="s">
        <v>2176</v>
      </c>
      <c r="J99" t="s">
        <v>2177</v>
      </c>
      <c r="K99" t="s">
        <v>74</v>
      </c>
      <c r="L99" t="s">
        <v>74</v>
      </c>
      <c r="M99" t="s">
        <v>78</v>
      </c>
      <c r="N99" t="s">
        <v>79</v>
      </c>
      <c r="O99" t="s">
        <v>74</v>
      </c>
      <c r="P99" t="s">
        <v>74</v>
      </c>
      <c r="Q99" t="s">
        <v>74</v>
      </c>
      <c r="R99" t="s">
        <v>74</v>
      </c>
      <c r="S99" t="s">
        <v>74</v>
      </c>
      <c r="T99" t="s">
        <v>2178</v>
      </c>
      <c r="U99" t="s">
        <v>2179</v>
      </c>
      <c r="V99" t="s">
        <v>2180</v>
      </c>
      <c r="W99" t="s">
        <v>2181</v>
      </c>
      <c r="X99" t="s">
        <v>2182</v>
      </c>
      <c r="Y99" t="s">
        <v>2183</v>
      </c>
      <c r="Z99" t="s">
        <v>2184</v>
      </c>
      <c r="AA99" t="s">
        <v>2185</v>
      </c>
      <c r="AB99" t="s">
        <v>2186</v>
      </c>
      <c r="AC99" t="s">
        <v>2187</v>
      </c>
      <c r="AD99" t="s">
        <v>2188</v>
      </c>
      <c r="AE99" t="s">
        <v>2189</v>
      </c>
      <c r="AF99" t="s">
        <v>74</v>
      </c>
      <c r="AG99">
        <v>45</v>
      </c>
      <c r="AH99">
        <v>4</v>
      </c>
      <c r="AI99">
        <v>5</v>
      </c>
      <c r="AJ99">
        <v>0</v>
      </c>
      <c r="AK99">
        <v>5</v>
      </c>
      <c r="AL99" t="s">
        <v>2190</v>
      </c>
      <c r="AM99" t="s">
        <v>576</v>
      </c>
      <c r="AN99" t="s">
        <v>2191</v>
      </c>
      <c r="AO99" t="s">
        <v>2192</v>
      </c>
      <c r="AP99" t="s">
        <v>2193</v>
      </c>
      <c r="AQ99" t="s">
        <v>74</v>
      </c>
      <c r="AR99" t="s">
        <v>2194</v>
      </c>
      <c r="AS99" t="s">
        <v>2195</v>
      </c>
      <c r="AT99" t="s">
        <v>1791</v>
      </c>
      <c r="AU99">
        <v>2014</v>
      </c>
      <c r="AV99">
        <v>11</v>
      </c>
      <c r="AW99" t="s">
        <v>74</v>
      </c>
      <c r="AX99" t="s">
        <v>74</v>
      </c>
      <c r="AY99" t="s">
        <v>74</v>
      </c>
      <c r="AZ99" t="s">
        <v>74</v>
      </c>
      <c r="BA99" t="s">
        <v>74</v>
      </c>
      <c r="BB99">
        <v>49</v>
      </c>
      <c r="BC99">
        <v>58</v>
      </c>
      <c r="BD99" t="s">
        <v>74</v>
      </c>
      <c r="BE99" t="s">
        <v>2196</v>
      </c>
      <c r="BF99" t="str">
        <f>HYPERLINK("http://dx.doi.org/10.1016/j.cbd.2014.07.004","http://dx.doi.org/10.1016/j.cbd.2014.07.004")</f>
        <v>http://dx.doi.org/10.1016/j.cbd.2014.07.004</v>
      </c>
      <c r="BG99" t="s">
        <v>74</v>
      </c>
      <c r="BH99" t="s">
        <v>74</v>
      </c>
      <c r="BI99">
        <v>10</v>
      </c>
      <c r="BJ99" t="s">
        <v>2197</v>
      </c>
      <c r="BK99" t="s">
        <v>102</v>
      </c>
      <c r="BL99" t="s">
        <v>2197</v>
      </c>
      <c r="BM99" t="s">
        <v>2198</v>
      </c>
      <c r="BN99">
        <v>25178533</v>
      </c>
      <c r="BO99" t="s">
        <v>74</v>
      </c>
      <c r="BP99" t="s">
        <v>74</v>
      </c>
      <c r="BQ99" t="s">
        <v>74</v>
      </c>
      <c r="BR99" t="s">
        <v>105</v>
      </c>
      <c r="BS99" t="s">
        <v>2199</v>
      </c>
      <c r="BT99" t="str">
        <f>HYPERLINK("https%3A%2F%2Fwww.webofscience.com%2Fwos%2Fwoscc%2Ffull-record%2FWOS:000343019500007","View Full Record in Web of Science")</f>
        <v>View Full Record in Web of Science</v>
      </c>
    </row>
    <row r="100" spans="1:72" x14ac:dyDescent="0.15">
      <c r="A100" t="s">
        <v>72</v>
      </c>
      <c r="B100" t="s">
        <v>2200</v>
      </c>
      <c r="C100" t="s">
        <v>74</v>
      </c>
      <c r="D100" t="s">
        <v>74</v>
      </c>
      <c r="E100" t="s">
        <v>74</v>
      </c>
      <c r="F100" t="s">
        <v>2201</v>
      </c>
      <c r="G100" t="s">
        <v>74</v>
      </c>
      <c r="H100" t="s">
        <v>74</v>
      </c>
      <c r="I100" t="s">
        <v>2202</v>
      </c>
      <c r="J100" t="s">
        <v>2203</v>
      </c>
      <c r="K100" t="s">
        <v>74</v>
      </c>
      <c r="L100" t="s">
        <v>74</v>
      </c>
      <c r="M100" t="s">
        <v>78</v>
      </c>
      <c r="N100" t="s">
        <v>79</v>
      </c>
      <c r="O100" t="s">
        <v>74</v>
      </c>
      <c r="P100" t="s">
        <v>74</v>
      </c>
      <c r="Q100" t="s">
        <v>74</v>
      </c>
      <c r="R100" t="s">
        <v>74</v>
      </c>
      <c r="S100" t="s">
        <v>74</v>
      </c>
      <c r="T100" t="s">
        <v>2204</v>
      </c>
      <c r="U100" t="s">
        <v>2205</v>
      </c>
      <c r="V100" t="s">
        <v>2206</v>
      </c>
      <c r="W100" t="s">
        <v>2207</v>
      </c>
      <c r="X100" t="s">
        <v>2208</v>
      </c>
      <c r="Y100" t="s">
        <v>2209</v>
      </c>
      <c r="Z100" t="s">
        <v>2210</v>
      </c>
      <c r="AA100" t="s">
        <v>2211</v>
      </c>
      <c r="AB100" t="s">
        <v>2212</v>
      </c>
      <c r="AC100" t="s">
        <v>2213</v>
      </c>
      <c r="AD100" t="s">
        <v>2214</v>
      </c>
      <c r="AE100" t="s">
        <v>2215</v>
      </c>
      <c r="AF100" t="s">
        <v>74</v>
      </c>
      <c r="AG100">
        <v>40</v>
      </c>
      <c r="AH100">
        <v>22</v>
      </c>
      <c r="AI100">
        <v>23</v>
      </c>
      <c r="AJ100">
        <v>3</v>
      </c>
      <c r="AK100">
        <v>83</v>
      </c>
      <c r="AL100" t="s">
        <v>196</v>
      </c>
      <c r="AM100" t="s">
        <v>197</v>
      </c>
      <c r="AN100" t="s">
        <v>198</v>
      </c>
      <c r="AO100" t="s">
        <v>74</v>
      </c>
      <c r="AP100" t="s">
        <v>2216</v>
      </c>
      <c r="AQ100" t="s">
        <v>74</v>
      </c>
      <c r="AR100" t="s">
        <v>2203</v>
      </c>
      <c r="AS100" t="s">
        <v>2217</v>
      </c>
      <c r="AT100" t="s">
        <v>1791</v>
      </c>
      <c r="AU100">
        <v>2014</v>
      </c>
      <c r="AV100">
        <v>6</v>
      </c>
      <c r="AW100">
        <v>9</v>
      </c>
      <c r="AX100" t="s">
        <v>74</v>
      </c>
      <c r="AY100" t="s">
        <v>74</v>
      </c>
      <c r="AZ100" t="s">
        <v>74</v>
      </c>
      <c r="BA100" t="s">
        <v>74</v>
      </c>
      <c r="BB100">
        <v>3382</v>
      </c>
      <c r="BC100">
        <v>3402</v>
      </c>
      <c r="BD100" t="s">
        <v>74</v>
      </c>
      <c r="BE100" t="s">
        <v>2218</v>
      </c>
      <c r="BF100" t="str">
        <f>HYPERLINK("http://dx.doi.org/10.3390/nu6093382","http://dx.doi.org/10.3390/nu6093382")</f>
        <v>http://dx.doi.org/10.3390/nu6093382</v>
      </c>
      <c r="BG100" t="s">
        <v>74</v>
      </c>
      <c r="BH100" t="s">
        <v>74</v>
      </c>
      <c r="BI100">
        <v>21</v>
      </c>
      <c r="BJ100" t="s">
        <v>2219</v>
      </c>
      <c r="BK100" t="s">
        <v>102</v>
      </c>
      <c r="BL100" t="s">
        <v>2219</v>
      </c>
      <c r="BM100" t="s">
        <v>2220</v>
      </c>
      <c r="BN100">
        <v>25170991</v>
      </c>
      <c r="BO100" t="s">
        <v>2221</v>
      </c>
      <c r="BP100" t="s">
        <v>74</v>
      </c>
      <c r="BQ100" t="s">
        <v>74</v>
      </c>
      <c r="BR100" t="s">
        <v>105</v>
      </c>
      <c r="BS100" t="s">
        <v>2222</v>
      </c>
      <c r="BT100" t="str">
        <f>HYPERLINK("https%3A%2F%2Fwww.webofscience.com%2Fwos%2Fwoscc%2Ffull-record%2FWOS:000342903700003","View Full Record in Web of Science")</f>
        <v>View Full Record in Web of Science</v>
      </c>
    </row>
    <row r="101" spans="1:72" x14ac:dyDescent="0.15">
      <c r="A101" t="s">
        <v>72</v>
      </c>
      <c r="B101" t="s">
        <v>2223</v>
      </c>
      <c r="C101" t="s">
        <v>74</v>
      </c>
      <c r="D101" t="s">
        <v>74</v>
      </c>
      <c r="E101" t="s">
        <v>74</v>
      </c>
      <c r="F101" t="s">
        <v>2224</v>
      </c>
      <c r="G101" t="s">
        <v>74</v>
      </c>
      <c r="H101" t="s">
        <v>74</v>
      </c>
      <c r="I101" t="s">
        <v>2225</v>
      </c>
      <c r="J101" t="s">
        <v>2226</v>
      </c>
      <c r="K101" t="s">
        <v>74</v>
      </c>
      <c r="L101" t="s">
        <v>74</v>
      </c>
      <c r="M101" t="s">
        <v>78</v>
      </c>
      <c r="N101" t="s">
        <v>79</v>
      </c>
      <c r="O101" t="s">
        <v>74</v>
      </c>
      <c r="P101" t="s">
        <v>74</v>
      </c>
      <c r="Q101" t="s">
        <v>74</v>
      </c>
      <c r="R101" t="s">
        <v>74</v>
      </c>
      <c r="S101" t="s">
        <v>74</v>
      </c>
      <c r="T101" t="s">
        <v>74</v>
      </c>
      <c r="U101" t="s">
        <v>74</v>
      </c>
      <c r="V101" t="s">
        <v>74</v>
      </c>
      <c r="W101" t="s">
        <v>2227</v>
      </c>
      <c r="X101" t="s">
        <v>84</v>
      </c>
      <c r="Y101" t="s">
        <v>2228</v>
      </c>
      <c r="Z101" t="s">
        <v>74</v>
      </c>
      <c r="AA101" t="s">
        <v>74</v>
      </c>
      <c r="AB101" t="s">
        <v>74</v>
      </c>
      <c r="AC101" t="s">
        <v>74</v>
      </c>
      <c r="AD101" t="s">
        <v>74</v>
      </c>
      <c r="AE101" t="s">
        <v>74</v>
      </c>
      <c r="AF101" t="s">
        <v>74</v>
      </c>
      <c r="AG101">
        <v>17</v>
      </c>
      <c r="AH101">
        <v>1</v>
      </c>
      <c r="AI101">
        <v>1</v>
      </c>
      <c r="AJ101">
        <v>0</v>
      </c>
      <c r="AK101">
        <v>6</v>
      </c>
      <c r="AL101" t="s">
        <v>2229</v>
      </c>
      <c r="AM101" t="s">
        <v>2230</v>
      </c>
      <c r="AN101" t="s">
        <v>2231</v>
      </c>
      <c r="AO101" t="s">
        <v>2232</v>
      </c>
      <c r="AP101" t="s">
        <v>2233</v>
      </c>
      <c r="AQ101" t="s">
        <v>74</v>
      </c>
      <c r="AR101" t="s">
        <v>2234</v>
      </c>
      <c r="AS101" t="s">
        <v>2235</v>
      </c>
      <c r="AT101" t="s">
        <v>1791</v>
      </c>
      <c r="AU101">
        <v>2014</v>
      </c>
      <c r="AV101">
        <v>29</v>
      </c>
      <c r="AW101">
        <v>3</v>
      </c>
      <c r="AX101" t="s">
        <v>74</v>
      </c>
      <c r="AY101" t="s">
        <v>74</v>
      </c>
      <c r="AZ101" t="s">
        <v>74</v>
      </c>
      <c r="BA101" t="s">
        <v>74</v>
      </c>
      <c r="BB101">
        <v>547</v>
      </c>
      <c r="BC101">
        <v>557</v>
      </c>
      <c r="BD101" t="s">
        <v>74</v>
      </c>
      <c r="BE101" t="s">
        <v>2236</v>
      </c>
      <c r="BF101" t="str">
        <f>HYPERLINK("http://dx.doi.org/10.1163/15718085-12341323","http://dx.doi.org/10.1163/15718085-12341323")</f>
        <v>http://dx.doi.org/10.1163/15718085-12341323</v>
      </c>
      <c r="BG101" t="s">
        <v>74</v>
      </c>
      <c r="BH101" t="s">
        <v>74</v>
      </c>
      <c r="BI101">
        <v>11</v>
      </c>
      <c r="BJ101" t="s">
        <v>2237</v>
      </c>
      <c r="BK101" t="s">
        <v>2238</v>
      </c>
      <c r="BL101" t="s">
        <v>2239</v>
      </c>
      <c r="BM101" t="s">
        <v>2240</v>
      </c>
      <c r="BN101" t="s">
        <v>74</v>
      </c>
      <c r="BO101" t="s">
        <v>74</v>
      </c>
      <c r="BP101" t="s">
        <v>74</v>
      </c>
      <c r="BQ101" t="s">
        <v>74</v>
      </c>
      <c r="BR101" t="s">
        <v>105</v>
      </c>
      <c r="BS101" t="s">
        <v>2241</v>
      </c>
      <c r="BT101" t="str">
        <f>HYPERLINK("https%3A%2F%2Fwww.webofscience.com%2Fwos%2Fwoscc%2Ffull-record%2FWOS:000342538900007","View Full Record in Web of Science")</f>
        <v>View Full Record in Web of Science</v>
      </c>
    </row>
    <row r="102" spans="1:72" x14ac:dyDescent="0.15">
      <c r="A102" t="s">
        <v>72</v>
      </c>
      <c r="B102" t="s">
        <v>2242</v>
      </c>
      <c r="C102" t="s">
        <v>74</v>
      </c>
      <c r="D102" t="s">
        <v>74</v>
      </c>
      <c r="E102" t="s">
        <v>74</v>
      </c>
      <c r="F102" t="s">
        <v>2243</v>
      </c>
      <c r="G102" t="s">
        <v>74</v>
      </c>
      <c r="H102" t="s">
        <v>74</v>
      </c>
      <c r="I102" t="s">
        <v>2244</v>
      </c>
      <c r="J102" t="s">
        <v>2245</v>
      </c>
      <c r="K102" t="s">
        <v>74</v>
      </c>
      <c r="L102" t="s">
        <v>74</v>
      </c>
      <c r="M102" t="s">
        <v>78</v>
      </c>
      <c r="N102" t="s">
        <v>79</v>
      </c>
      <c r="O102" t="s">
        <v>74</v>
      </c>
      <c r="P102" t="s">
        <v>74</v>
      </c>
      <c r="Q102" t="s">
        <v>74</v>
      </c>
      <c r="R102" t="s">
        <v>74</v>
      </c>
      <c r="S102" t="s">
        <v>74</v>
      </c>
      <c r="T102" t="s">
        <v>2246</v>
      </c>
      <c r="U102" t="s">
        <v>2247</v>
      </c>
      <c r="V102" t="s">
        <v>2248</v>
      </c>
      <c r="W102" t="s">
        <v>2249</v>
      </c>
      <c r="X102" t="s">
        <v>2250</v>
      </c>
      <c r="Y102" t="s">
        <v>2251</v>
      </c>
      <c r="Z102" t="s">
        <v>2252</v>
      </c>
      <c r="AA102" t="s">
        <v>2253</v>
      </c>
      <c r="AB102" t="s">
        <v>2254</v>
      </c>
      <c r="AC102" t="s">
        <v>2255</v>
      </c>
      <c r="AD102" t="s">
        <v>2256</v>
      </c>
      <c r="AE102" t="s">
        <v>2257</v>
      </c>
      <c r="AF102" t="s">
        <v>74</v>
      </c>
      <c r="AG102">
        <v>15</v>
      </c>
      <c r="AH102">
        <v>10</v>
      </c>
      <c r="AI102">
        <v>10</v>
      </c>
      <c r="AJ102">
        <v>0</v>
      </c>
      <c r="AK102">
        <v>7</v>
      </c>
      <c r="AL102" t="s">
        <v>2258</v>
      </c>
      <c r="AM102" t="s">
        <v>2259</v>
      </c>
      <c r="AN102" t="s">
        <v>2260</v>
      </c>
      <c r="AO102" t="s">
        <v>2261</v>
      </c>
      <c r="AP102" t="s">
        <v>2262</v>
      </c>
      <c r="AQ102" t="s">
        <v>74</v>
      </c>
      <c r="AR102" t="s">
        <v>2263</v>
      </c>
      <c r="AS102" t="s">
        <v>2264</v>
      </c>
      <c r="AT102" t="s">
        <v>1791</v>
      </c>
      <c r="AU102">
        <v>2014</v>
      </c>
      <c r="AV102">
        <v>9</v>
      </c>
      <c r="AW102">
        <v>9</v>
      </c>
      <c r="AX102" t="s">
        <v>74</v>
      </c>
      <c r="AY102" t="s">
        <v>74</v>
      </c>
      <c r="AZ102" t="s">
        <v>74</v>
      </c>
      <c r="BA102" t="s">
        <v>74</v>
      </c>
      <c r="BB102">
        <v>1259</v>
      </c>
      <c r="BC102">
        <v>1264</v>
      </c>
      <c r="BD102" t="s">
        <v>74</v>
      </c>
      <c r="BE102" t="s">
        <v>74</v>
      </c>
      <c r="BF102" t="s">
        <v>74</v>
      </c>
      <c r="BG102" t="s">
        <v>74</v>
      </c>
      <c r="BH102" t="s">
        <v>74</v>
      </c>
      <c r="BI102">
        <v>6</v>
      </c>
      <c r="BJ102" t="s">
        <v>2265</v>
      </c>
      <c r="BK102" t="s">
        <v>102</v>
      </c>
      <c r="BL102" t="s">
        <v>2266</v>
      </c>
      <c r="BM102" t="s">
        <v>2267</v>
      </c>
      <c r="BN102">
        <v>25918787</v>
      </c>
      <c r="BO102" t="s">
        <v>74</v>
      </c>
      <c r="BP102" t="s">
        <v>74</v>
      </c>
      <c r="BQ102" t="s">
        <v>74</v>
      </c>
      <c r="BR102" t="s">
        <v>105</v>
      </c>
      <c r="BS102" t="s">
        <v>2268</v>
      </c>
      <c r="BT102" t="str">
        <f>HYPERLINK("https%3A%2F%2Fwww.webofscience.com%2Fwos%2Fwoscc%2Ffull-record%2FWOS:000342546200010","View Full Record in Web of Science")</f>
        <v>View Full Record in Web of Science</v>
      </c>
    </row>
    <row r="103" spans="1:72" x14ac:dyDescent="0.15">
      <c r="A103" t="s">
        <v>72</v>
      </c>
      <c r="B103" t="s">
        <v>2269</v>
      </c>
      <c r="C103" t="s">
        <v>74</v>
      </c>
      <c r="D103" t="s">
        <v>74</v>
      </c>
      <c r="E103" t="s">
        <v>74</v>
      </c>
      <c r="F103" t="s">
        <v>2270</v>
      </c>
      <c r="G103" t="s">
        <v>74</v>
      </c>
      <c r="H103" t="s">
        <v>74</v>
      </c>
      <c r="I103" t="s">
        <v>2271</v>
      </c>
      <c r="J103" t="s">
        <v>2272</v>
      </c>
      <c r="K103" t="s">
        <v>74</v>
      </c>
      <c r="L103" t="s">
        <v>74</v>
      </c>
      <c r="M103" t="s">
        <v>78</v>
      </c>
      <c r="N103" t="s">
        <v>79</v>
      </c>
      <c r="O103" t="s">
        <v>74</v>
      </c>
      <c r="P103" t="s">
        <v>74</v>
      </c>
      <c r="Q103" t="s">
        <v>74</v>
      </c>
      <c r="R103" t="s">
        <v>74</v>
      </c>
      <c r="S103" t="s">
        <v>74</v>
      </c>
      <c r="T103" t="s">
        <v>74</v>
      </c>
      <c r="U103" t="s">
        <v>2273</v>
      </c>
      <c r="V103" t="s">
        <v>2274</v>
      </c>
      <c r="W103" t="s">
        <v>2275</v>
      </c>
      <c r="X103" t="s">
        <v>2276</v>
      </c>
      <c r="Y103" t="s">
        <v>2277</v>
      </c>
      <c r="Z103" t="s">
        <v>2278</v>
      </c>
      <c r="AA103" t="s">
        <v>2279</v>
      </c>
      <c r="AB103" t="s">
        <v>2280</v>
      </c>
      <c r="AC103" t="s">
        <v>2281</v>
      </c>
      <c r="AD103" t="s">
        <v>2282</v>
      </c>
      <c r="AE103" t="s">
        <v>2283</v>
      </c>
      <c r="AF103" t="s">
        <v>74</v>
      </c>
      <c r="AG103">
        <v>65</v>
      </c>
      <c r="AH103">
        <v>13</v>
      </c>
      <c r="AI103">
        <v>15</v>
      </c>
      <c r="AJ103">
        <v>1</v>
      </c>
      <c r="AK103">
        <v>25</v>
      </c>
      <c r="AL103" t="s">
        <v>2284</v>
      </c>
      <c r="AM103" t="s">
        <v>2285</v>
      </c>
      <c r="AN103" t="s">
        <v>2286</v>
      </c>
      <c r="AO103" t="s">
        <v>2287</v>
      </c>
      <c r="AP103" t="s">
        <v>2288</v>
      </c>
      <c r="AQ103" t="s">
        <v>74</v>
      </c>
      <c r="AR103" t="s">
        <v>2289</v>
      </c>
      <c r="AS103" t="s">
        <v>2290</v>
      </c>
      <c r="AT103" t="s">
        <v>1860</v>
      </c>
      <c r="AU103">
        <v>2014</v>
      </c>
      <c r="AV103">
        <v>87</v>
      </c>
      <c r="AW103">
        <v>5</v>
      </c>
      <c r="AX103" t="s">
        <v>74</v>
      </c>
      <c r="AY103" t="s">
        <v>74</v>
      </c>
      <c r="AZ103" t="s">
        <v>74</v>
      </c>
      <c r="BA103" t="s">
        <v>74</v>
      </c>
      <c r="BB103">
        <v>652</v>
      </c>
      <c r="BC103">
        <v>662</v>
      </c>
      <c r="BD103" t="s">
        <v>74</v>
      </c>
      <c r="BE103" t="s">
        <v>2291</v>
      </c>
      <c r="BF103" t="str">
        <f>HYPERLINK("http://dx.doi.org/10.1086/676831","http://dx.doi.org/10.1086/676831")</f>
        <v>http://dx.doi.org/10.1086/676831</v>
      </c>
      <c r="BG103" t="s">
        <v>74</v>
      </c>
      <c r="BH103" t="s">
        <v>74</v>
      </c>
      <c r="BI103">
        <v>11</v>
      </c>
      <c r="BJ103" t="s">
        <v>312</v>
      </c>
      <c r="BK103" t="s">
        <v>102</v>
      </c>
      <c r="BL103" t="s">
        <v>312</v>
      </c>
      <c r="BM103" t="s">
        <v>2292</v>
      </c>
      <c r="BN103">
        <v>25244377</v>
      </c>
      <c r="BO103" t="s">
        <v>74</v>
      </c>
      <c r="BP103" t="s">
        <v>74</v>
      </c>
      <c r="BQ103" t="s">
        <v>74</v>
      </c>
      <c r="BR103" t="s">
        <v>105</v>
      </c>
      <c r="BS103" t="s">
        <v>2293</v>
      </c>
      <c r="BT103" t="str">
        <f>HYPERLINK("https%3A%2F%2Fwww.webofscience.com%2Fwos%2Fwoscc%2Ffull-record%2FWOS:000342670000007","View Full Record in Web of Science")</f>
        <v>View Full Record in Web of Science</v>
      </c>
    </row>
    <row r="104" spans="1:72" x14ac:dyDescent="0.15">
      <c r="A104" t="s">
        <v>72</v>
      </c>
      <c r="B104" t="s">
        <v>2294</v>
      </c>
      <c r="C104" t="s">
        <v>74</v>
      </c>
      <c r="D104" t="s">
        <v>74</v>
      </c>
      <c r="E104" t="s">
        <v>74</v>
      </c>
      <c r="F104" t="s">
        <v>2295</v>
      </c>
      <c r="G104" t="s">
        <v>74</v>
      </c>
      <c r="H104" t="s">
        <v>74</v>
      </c>
      <c r="I104" t="s">
        <v>2296</v>
      </c>
      <c r="J104" t="s">
        <v>2297</v>
      </c>
      <c r="K104" t="s">
        <v>74</v>
      </c>
      <c r="L104" t="s">
        <v>74</v>
      </c>
      <c r="M104" t="s">
        <v>78</v>
      </c>
      <c r="N104" t="s">
        <v>79</v>
      </c>
      <c r="O104" t="s">
        <v>74</v>
      </c>
      <c r="P104" t="s">
        <v>74</v>
      </c>
      <c r="Q104" t="s">
        <v>74</v>
      </c>
      <c r="R104" t="s">
        <v>74</v>
      </c>
      <c r="S104" t="s">
        <v>74</v>
      </c>
      <c r="T104" t="s">
        <v>74</v>
      </c>
      <c r="U104" t="s">
        <v>2298</v>
      </c>
      <c r="V104" t="s">
        <v>2299</v>
      </c>
      <c r="W104" t="s">
        <v>2300</v>
      </c>
      <c r="X104" t="s">
        <v>2301</v>
      </c>
      <c r="Y104" t="s">
        <v>2302</v>
      </c>
      <c r="Z104" t="s">
        <v>2303</v>
      </c>
      <c r="AA104" t="s">
        <v>2304</v>
      </c>
      <c r="AB104" t="s">
        <v>2305</v>
      </c>
      <c r="AC104" t="s">
        <v>74</v>
      </c>
      <c r="AD104" t="s">
        <v>74</v>
      </c>
      <c r="AE104" t="s">
        <v>74</v>
      </c>
      <c r="AF104" t="s">
        <v>74</v>
      </c>
      <c r="AG104">
        <v>17</v>
      </c>
      <c r="AH104">
        <v>1</v>
      </c>
      <c r="AI104">
        <v>1</v>
      </c>
      <c r="AJ104">
        <v>0</v>
      </c>
      <c r="AK104">
        <v>3</v>
      </c>
      <c r="AL104" t="s">
        <v>2306</v>
      </c>
      <c r="AM104" t="s">
        <v>576</v>
      </c>
      <c r="AN104" t="s">
        <v>2307</v>
      </c>
      <c r="AO104" t="s">
        <v>2308</v>
      </c>
      <c r="AP104" t="s">
        <v>2309</v>
      </c>
      <c r="AQ104" t="s">
        <v>74</v>
      </c>
      <c r="AR104" t="s">
        <v>2310</v>
      </c>
      <c r="AS104" t="s">
        <v>2311</v>
      </c>
      <c r="AT104" t="s">
        <v>1791</v>
      </c>
      <c r="AU104">
        <v>2014</v>
      </c>
      <c r="AV104">
        <v>54</v>
      </c>
      <c r="AW104">
        <v>5</v>
      </c>
      <c r="AX104" t="s">
        <v>74</v>
      </c>
      <c r="AY104" t="s">
        <v>74</v>
      </c>
      <c r="AZ104" t="s">
        <v>74</v>
      </c>
      <c r="BA104" t="s">
        <v>74</v>
      </c>
      <c r="BB104">
        <v>549</v>
      </c>
      <c r="BC104">
        <v>557</v>
      </c>
      <c r="BD104" t="s">
        <v>74</v>
      </c>
      <c r="BE104" t="s">
        <v>2312</v>
      </c>
      <c r="BF104" t="str">
        <f>HYPERLINK("http://dx.doi.org/10.1134/S0016793214050120","http://dx.doi.org/10.1134/S0016793214050120")</f>
        <v>http://dx.doi.org/10.1134/S0016793214050120</v>
      </c>
      <c r="BG104" t="s">
        <v>74</v>
      </c>
      <c r="BH104" t="s">
        <v>74</v>
      </c>
      <c r="BI104">
        <v>9</v>
      </c>
      <c r="BJ104" t="s">
        <v>425</v>
      </c>
      <c r="BK104" t="s">
        <v>102</v>
      </c>
      <c r="BL104" t="s">
        <v>425</v>
      </c>
      <c r="BM104" t="s">
        <v>2313</v>
      </c>
      <c r="BN104" t="s">
        <v>74</v>
      </c>
      <c r="BO104" t="s">
        <v>74</v>
      </c>
      <c r="BP104" t="s">
        <v>74</v>
      </c>
      <c r="BQ104" t="s">
        <v>74</v>
      </c>
      <c r="BR104" t="s">
        <v>105</v>
      </c>
      <c r="BS104" t="s">
        <v>2314</v>
      </c>
      <c r="BT104" t="str">
        <f>HYPERLINK("https%3A%2F%2Fwww.webofscience.com%2Fwos%2Fwoscc%2Ffull-record%2FWOS:000342442200002","View Full Record in Web of Science")</f>
        <v>View Full Record in Web of Science</v>
      </c>
    </row>
    <row r="105" spans="1:72" x14ac:dyDescent="0.15">
      <c r="A105" t="s">
        <v>72</v>
      </c>
      <c r="B105" t="s">
        <v>2315</v>
      </c>
      <c r="C105" t="s">
        <v>74</v>
      </c>
      <c r="D105" t="s">
        <v>74</v>
      </c>
      <c r="E105" t="s">
        <v>74</v>
      </c>
      <c r="F105" t="s">
        <v>2316</v>
      </c>
      <c r="G105" t="s">
        <v>74</v>
      </c>
      <c r="H105" t="s">
        <v>74</v>
      </c>
      <c r="I105" t="s">
        <v>2317</v>
      </c>
      <c r="J105" t="s">
        <v>2318</v>
      </c>
      <c r="K105" t="s">
        <v>74</v>
      </c>
      <c r="L105" t="s">
        <v>74</v>
      </c>
      <c r="M105" t="s">
        <v>78</v>
      </c>
      <c r="N105" t="s">
        <v>79</v>
      </c>
      <c r="O105" t="s">
        <v>74</v>
      </c>
      <c r="P105" t="s">
        <v>74</v>
      </c>
      <c r="Q105" t="s">
        <v>74</v>
      </c>
      <c r="R105" t="s">
        <v>74</v>
      </c>
      <c r="S105" t="s">
        <v>74</v>
      </c>
      <c r="T105" t="s">
        <v>2319</v>
      </c>
      <c r="U105" t="s">
        <v>2320</v>
      </c>
      <c r="V105" t="s">
        <v>2321</v>
      </c>
      <c r="W105" t="s">
        <v>2322</v>
      </c>
      <c r="X105" t="s">
        <v>2323</v>
      </c>
      <c r="Y105" t="s">
        <v>2324</v>
      </c>
      <c r="Z105" t="s">
        <v>2325</v>
      </c>
      <c r="AA105" t="s">
        <v>2326</v>
      </c>
      <c r="AB105" t="s">
        <v>74</v>
      </c>
      <c r="AC105" t="s">
        <v>2327</v>
      </c>
      <c r="AD105" t="s">
        <v>2328</v>
      </c>
      <c r="AE105" t="s">
        <v>2329</v>
      </c>
      <c r="AF105" t="s">
        <v>74</v>
      </c>
      <c r="AG105">
        <v>38</v>
      </c>
      <c r="AH105">
        <v>18</v>
      </c>
      <c r="AI105">
        <v>21</v>
      </c>
      <c r="AJ105">
        <v>0</v>
      </c>
      <c r="AK105">
        <v>21</v>
      </c>
      <c r="AL105" t="s">
        <v>123</v>
      </c>
      <c r="AM105" t="s">
        <v>124</v>
      </c>
      <c r="AN105" t="s">
        <v>125</v>
      </c>
      <c r="AO105" t="s">
        <v>2330</v>
      </c>
      <c r="AP105" t="s">
        <v>2331</v>
      </c>
      <c r="AQ105" t="s">
        <v>74</v>
      </c>
      <c r="AR105" t="s">
        <v>2332</v>
      </c>
      <c r="AS105" t="s">
        <v>2333</v>
      </c>
      <c r="AT105" t="s">
        <v>1791</v>
      </c>
      <c r="AU105">
        <v>2014</v>
      </c>
      <c r="AV105">
        <v>70</v>
      </c>
      <c r="AW105" t="s">
        <v>74</v>
      </c>
      <c r="AX105" t="s">
        <v>74</v>
      </c>
      <c r="AY105" t="s">
        <v>74</v>
      </c>
      <c r="AZ105" t="s">
        <v>74</v>
      </c>
      <c r="BA105" t="s">
        <v>74</v>
      </c>
      <c r="BB105">
        <v>266</v>
      </c>
      <c r="BC105">
        <v>274</v>
      </c>
      <c r="BD105" t="s">
        <v>74</v>
      </c>
      <c r="BE105" t="s">
        <v>2334</v>
      </c>
      <c r="BF105" t="str">
        <f>HYPERLINK("http://dx.doi.org/10.1016/j.ijbiomac.2014.07.001","http://dx.doi.org/10.1016/j.ijbiomac.2014.07.001")</f>
        <v>http://dx.doi.org/10.1016/j.ijbiomac.2014.07.001</v>
      </c>
      <c r="BG105" t="s">
        <v>74</v>
      </c>
      <c r="BH105" t="s">
        <v>74</v>
      </c>
      <c r="BI105">
        <v>9</v>
      </c>
      <c r="BJ105" t="s">
        <v>2335</v>
      </c>
      <c r="BK105" t="s">
        <v>102</v>
      </c>
      <c r="BL105" t="s">
        <v>2336</v>
      </c>
      <c r="BM105" t="s">
        <v>2337</v>
      </c>
      <c r="BN105">
        <v>25016161</v>
      </c>
      <c r="BO105" t="s">
        <v>74</v>
      </c>
      <c r="BP105" t="s">
        <v>74</v>
      </c>
      <c r="BQ105" t="s">
        <v>74</v>
      </c>
      <c r="BR105" t="s">
        <v>105</v>
      </c>
      <c r="BS105" t="s">
        <v>2338</v>
      </c>
      <c r="BT105" t="str">
        <f>HYPERLINK("https%3A%2F%2Fwww.webofscience.com%2Fwos%2Fwoscc%2Ffull-record%2FWOS:000342478800038","View Full Record in Web of Science")</f>
        <v>View Full Record in Web of Science</v>
      </c>
    </row>
    <row r="106" spans="1:72" x14ac:dyDescent="0.15">
      <c r="A106" t="s">
        <v>72</v>
      </c>
      <c r="B106" t="s">
        <v>2339</v>
      </c>
      <c r="C106" t="s">
        <v>74</v>
      </c>
      <c r="D106" t="s">
        <v>74</v>
      </c>
      <c r="E106" t="s">
        <v>74</v>
      </c>
      <c r="F106" t="s">
        <v>2340</v>
      </c>
      <c r="G106" t="s">
        <v>74</v>
      </c>
      <c r="H106" t="s">
        <v>74</v>
      </c>
      <c r="I106" t="s">
        <v>2341</v>
      </c>
      <c r="J106" t="s">
        <v>2342</v>
      </c>
      <c r="K106" t="s">
        <v>74</v>
      </c>
      <c r="L106" t="s">
        <v>74</v>
      </c>
      <c r="M106" t="s">
        <v>78</v>
      </c>
      <c r="N106" t="s">
        <v>79</v>
      </c>
      <c r="O106" t="s">
        <v>74</v>
      </c>
      <c r="P106" t="s">
        <v>74</v>
      </c>
      <c r="Q106" t="s">
        <v>74</v>
      </c>
      <c r="R106" t="s">
        <v>74</v>
      </c>
      <c r="S106" t="s">
        <v>74</v>
      </c>
      <c r="T106" t="s">
        <v>2343</v>
      </c>
      <c r="U106" t="s">
        <v>2344</v>
      </c>
      <c r="V106" t="s">
        <v>2345</v>
      </c>
      <c r="W106" t="s">
        <v>2346</v>
      </c>
      <c r="X106" t="s">
        <v>2347</v>
      </c>
      <c r="Y106" t="s">
        <v>2348</v>
      </c>
      <c r="Z106" t="s">
        <v>2349</v>
      </c>
      <c r="AA106" t="s">
        <v>2350</v>
      </c>
      <c r="AB106" t="s">
        <v>74</v>
      </c>
      <c r="AC106" t="s">
        <v>2351</v>
      </c>
      <c r="AD106" t="s">
        <v>2351</v>
      </c>
      <c r="AE106" t="s">
        <v>2352</v>
      </c>
      <c r="AF106" t="s">
        <v>74</v>
      </c>
      <c r="AG106">
        <v>25</v>
      </c>
      <c r="AH106">
        <v>11</v>
      </c>
      <c r="AI106">
        <v>11</v>
      </c>
      <c r="AJ106">
        <v>0</v>
      </c>
      <c r="AK106">
        <v>14</v>
      </c>
      <c r="AL106" t="s">
        <v>2353</v>
      </c>
      <c r="AM106" t="s">
        <v>576</v>
      </c>
      <c r="AN106" t="s">
        <v>2354</v>
      </c>
      <c r="AO106" t="s">
        <v>2355</v>
      </c>
      <c r="AP106" t="s">
        <v>2356</v>
      </c>
      <c r="AQ106" t="s">
        <v>74</v>
      </c>
      <c r="AR106" t="s">
        <v>2357</v>
      </c>
      <c r="AS106" t="s">
        <v>2358</v>
      </c>
      <c r="AT106" t="s">
        <v>1791</v>
      </c>
      <c r="AU106">
        <v>2014</v>
      </c>
      <c r="AV106">
        <v>94</v>
      </c>
      <c r="AW106">
        <v>6</v>
      </c>
      <c r="AX106" t="s">
        <v>74</v>
      </c>
      <c r="AY106" t="s">
        <v>74</v>
      </c>
      <c r="AZ106" t="s">
        <v>74</v>
      </c>
      <c r="BA106" t="s">
        <v>74</v>
      </c>
      <c r="BB106">
        <v>1079</v>
      </c>
      <c r="BC106">
        <v>1086</v>
      </c>
      <c r="BD106" t="s">
        <v>74</v>
      </c>
      <c r="BE106" t="s">
        <v>2359</v>
      </c>
      <c r="BF106" t="str">
        <f>HYPERLINK("http://dx.doi.org/10.1017/S0025315413000106","http://dx.doi.org/10.1017/S0025315413000106")</f>
        <v>http://dx.doi.org/10.1017/S0025315413000106</v>
      </c>
      <c r="BG106" t="s">
        <v>74</v>
      </c>
      <c r="BH106" t="s">
        <v>74</v>
      </c>
      <c r="BI106">
        <v>8</v>
      </c>
      <c r="BJ106" t="s">
        <v>130</v>
      </c>
      <c r="BK106" t="s">
        <v>102</v>
      </c>
      <c r="BL106" t="s">
        <v>130</v>
      </c>
      <c r="BM106" t="s">
        <v>2360</v>
      </c>
      <c r="BN106" t="s">
        <v>74</v>
      </c>
      <c r="BO106" t="s">
        <v>359</v>
      </c>
      <c r="BP106" t="s">
        <v>74</v>
      </c>
      <c r="BQ106" t="s">
        <v>74</v>
      </c>
      <c r="BR106" t="s">
        <v>105</v>
      </c>
      <c r="BS106" t="s">
        <v>2361</v>
      </c>
      <c r="BT106" t="str">
        <f>HYPERLINK("https%3A%2F%2Fwww.webofscience.com%2Fwos%2Fwoscc%2Ffull-record%2FWOS:000342216600002","View Full Record in Web of Science")</f>
        <v>View Full Record in Web of Science</v>
      </c>
    </row>
    <row r="107" spans="1:72" x14ac:dyDescent="0.15">
      <c r="A107" t="s">
        <v>72</v>
      </c>
      <c r="B107" t="s">
        <v>2362</v>
      </c>
      <c r="C107" t="s">
        <v>74</v>
      </c>
      <c r="D107" t="s">
        <v>74</v>
      </c>
      <c r="E107" t="s">
        <v>74</v>
      </c>
      <c r="F107" t="s">
        <v>2363</v>
      </c>
      <c r="G107" t="s">
        <v>74</v>
      </c>
      <c r="H107" t="s">
        <v>74</v>
      </c>
      <c r="I107" t="s">
        <v>2364</v>
      </c>
      <c r="J107" t="s">
        <v>2342</v>
      </c>
      <c r="K107" t="s">
        <v>74</v>
      </c>
      <c r="L107" t="s">
        <v>74</v>
      </c>
      <c r="M107" t="s">
        <v>78</v>
      </c>
      <c r="N107" t="s">
        <v>79</v>
      </c>
      <c r="O107" t="s">
        <v>74</v>
      </c>
      <c r="P107" t="s">
        <v>74</v>
      </c>
      <c r="Q107" t="s">
        <v>74</v>
      </c>
      <c r="R107" t="s">
        <v>74</v>
      </c>
      <c r="S107" t="s">
        <v>74</v>
      </c>
      <c r="T107" t="s">
        <v>2365</v>
      </c>
      <c r="U107" t="s">
        <v>2366</v>
      </c>
      <c r="V107" t="s">
        <v>2367</v>
      </c>
      <c r="W107" t="s">
        <v>2368</v>
      </c>
      <c r="X107" t="s">
        <v>2369</v>
      </c>
      <c r="Y107" t="s">
        <v>2370</v>
      </c>
      <c r="Z107" t="s">
        <v>2371</v>
      </c>
      <c r="AA107" t="s">
        <v>2372</v>
      </c>
      <c r="AB107" t="s">
        <v>2373</v>
      </c>
      <c r="AC107" t="s">
        <v>2374</v>
      </c>
      <c r="AD107" t="s">
        <v>2375</v>
      </c>
      <c r="AE107" t="s">
        <v>2376</v>
      </c>
      <c r="AF107" t="s">
        <v>74</v>
      </c>
      <c r="AG107">
        <v>49</v>
      </c>
      <c r="AH107">
        <v>20</v>
      </c>
      <c r="AI107">
        <v>23</v>
      </c>
      <c r="AJ107">
        <v>1</v>
      </c>
      <c r="AK107">
        <v>40</v>
      </c>
      <c r="AL107" t="s">
        <v>2353</v>
      </c>
      <c r="AM107" t="s">
        <v>576</v>
      </c>
      <c r="AN107" t="s">
        <v>2354</v>
      </c>
      <c r="AO107" t="s">
        <v>2355</v>
      </c>
      <c r="AP107" t="s">
        <v>2356</v>
      </c>
      <c r="AQ107" t="s">
        <v>74</v>
      </c>
      <c r="AR107" t="s">
        <v>2357</v>
      </c>
      <c r="AS107" t="s">
        <v>2358</v>
      </c>
      <c r="AT107" t="s">
        <v>1791</v>
      </c>
      <c r="AU107">
        <v>2014</v>
      </c>
      <c r="AV107">
        <v>94</v>
      </c>
      <c r="AW107">
        <v>6</v>
      </c>
      <c r="AX107" t="s">
        <v>74</v>
      </c>
      <c r="AY107" t="s">
        <v>74</v>
      </c>
      <c r="AZ107" t="s">
        <v>74</v>
      </c>
      <c r="BA107" t="s">
        <v>74</v>
      </c>
      <c r="BB107">
        <v>1227</v>
      </c>
      <c r="BC107">
        <v>1235</v>
      </c>
      <c r="BD107" t="s">
        <v>74</v>
      </c>
      <c r="BE107" t="s">
        <v>2377</v>
      </c>
      <c r="BF107" t="str">
        <f>HYPERLINK("http://dx.doi.org/10.1017/S0025315413000866","http://dx.doi.org/10.1017/S0025315413000866")</f>
        <v>http://dx.doi.org/10.1017/S0025315413000866</v>
      </c>
      <c r="BG107" t="s">
        <v>74</v>
      </c>
      <c r="BH107" t="s">
        <v>74</v>
      </c>
      <c r="BI107">
        <v>9</v>
      </c>
      <c r="BJ107" t="s">
        <v>130</v>
      </c>
      <c r="BK107" t="s">
        <v>102</v>
      </c>
      <c r="BL107" t="s">
        <v>130</v>
      </c>
      <c r="BM107" t="s">
        <v>2360</v>
      </c>
      <c r="BN107" t="s">
        <v>74</v>
      </c>
      <c r="BO107" t="s">
        <v>359</v>
      </c>
      <c r="BP107" t="s">
        <v>74</v>
      </c>
      <c r="BQ107" t="s">
        <v>74</v>
      </c>
      <c r="BR107" t="s">
        <v>105</v>
      </c>
      <c r="BS107" t="s">
        <v>2378</v>
      </c>
      <c r="BT107" t="str">
        <f>HYPERLINK("https%3A%2F%2Fwww.webofscience.com%2Fwos%2Fwoscc%2Ffull-record%2FWOS:000342216600019","View Full Record in Web of Science")</f>
        <v>View Full Record in Web of Science</v>
      </c>
    </row>
    <row r="108" spans="1:72" x14ac:dyDescent="0.15">
      <c r="A108" t="s">
        <v>72</v>
      </c>
      <c r="B108" t="s">
        <v>2379</v>
      </c>
      <c r="C108" t="s">
        <v>74</v>
      </c>
      <c r="D108" t="s">
        <v>74</v>
      </c>
      <c r="E108" t="s">
        <v>74</v>
      </c>
      <c r="F108" t="s">
        <v>2380</v>
      </c>
      <c r="G108" t="s">
        <v>74</v>
      </c>
      <c r="H108" t="s">
        <v>74</v>
      </c>
      <c r="I108" t="s">
        <v>2381</v>
      </c>
      <c r="J108" t="s">
        <v>2382</v>
      </c>
      <c r="K108" t="s">
        <v>74</v>
      </c>
      <c r="L108" t="s">
        <v>74</v>
      </c>
      <c r="M108" t="s">
        <v>78</v>
      </c>
      <c r="N108" t="s">
        <v>52</v>
      </c>
      <c r="O108" t="s">
        <v>2383</v>
      </c>
      <c r="P108" t="s">
        <v>2384</v>
      </c>
      <c r="Q108" t="s">
        <v>2385</v>
      </c>
      <c r="R108" t="s">
        <v>74</v>
      </c>
      <c r="S108" t="s">
        <v>74</v>
      </c>
      <c r="T108" t="s">
        <v>74</v>
      </c>
      <c r="U108" t="s">
        <v>74</v>
      </c>
      <c r="V108" t="s">
        <v>74</v>
      </c>
      <c r="W108" t="s">
        <v>2386</v>
      </c>
      <c r="X108" t="s">
        <v>2387</v>
      </c>
      <c r="Y108" t="s">
        <v>74</v>
      </c>
      <c r="Z108" t="s">
        <v>2388</v>
      </c>
      <c r="AA108" t="s">
        <v>2389</v>
      </c>
      <c r="AB108" t="s">
        <v>2390</v>
      </c>
      <c r="AC108" t="s">
        <v>74</v>
      </c>
      <c r="AD108" t="s">
        <v>74</v>
      </c>
      <c r="AE108" t="s">
        <v>74</v>
      </c>
      <c r="AF108" t="s">
        <v>74</v>
      </c>
      <c r="AG108">
        <v>5</v>
      </c>
      <c r="AH108">
        <v>2</v>
      </c>
      <c r="AI108">
        <v>2</v>
      </c>
      <c r="AJ108">
        <v>0</v>
      </c>
      <c r="AK108">
        <v>5</v>
      </c>
      <c r="AL108" t="s">
        <v>171</v>
      </c>
      <c r="AM108" t="s">
        <v>93</v>
      </c>
      <c r="AN108" t="s">
        <v>94</v>
      </c>
      <c r="AO108" t="s">
        <v>2391</v>
      </c>
      <c r="AP108" t="s">
        <v>2392</v>
      </c>
      <c r="AQ108" t="s">
        <v>74</v>
      </c>
      <c r="AR108" t="s">
        <v>2393</v>
      </c>
      <c r="AS108" t="s">
        <v>2394</v>
      </c>
      <c r="AT108" t="s">
        <v>1791</v>
      </c>
      <c r="AU108">
        <v>2014</v>
      </c>
      <c r="AV108">
        <v>49</v>
      </c>
      <c r="AW108" t="s">
        <v>74</v>
      </c>
      <c r="AX108" t="s">
        <v>74</v>
      </c>
      <c r="AY108">
        <v>1</v>
      </c>
      <c r="AZ108" t="s">
        <v>258</v>
      </c>
      <c r="BA108" t="s">
        <v>74</v>
      </c>
      <c r="BB108" t="s">
        <v>2395</v>
      </c>
      <c r="BC108" t="s">
        <v>2395</v>
      </c>
      <c r="BD108" t="s">
        <v>74</v>
      </c>
      <c r="BE108" t="s">
        <v>74</v>
      </c>
      <c r="BF108" t="s">
        <v>74</v>
      </c>
      <c r="BG108" t="s">
        <v>74</v>
      </c>
      <c r="BH108" t="s">
        <v>74</v>
      </c>
      <c r="BI108">
        <v>1</v>
      </c>
      <c r="BJ108" t="s">
        <v>425</v>
      </c>
      <c r="BK108" t="s">
        <v>1795</v>
      </c>
      <c r="BL108" t="s">
        <v>425</v>
      </c>
      <c r="BM108" t="s">
        <v>2396</v>
      </c>
      <c r="BN108" t="s">
        <v>74</v>
      </c>
      <c r="BO108" t="s">
        <v>74</v>
      </c>
      <c r="BP108" t="s">
        <v>74</v>
      </c>
      <c r="BQ108" t="s">
        <v>74</v>
      </c>
      <c r="BR108" t="s">
        <v>105</v>
      </c>
      <c r="BS108" t="s">
        <v>2397</v>
      </c>
      <c r="BT108" t="str">
        <f>HYPERLINK("https%3A%2F%2Fwww.webofscience.com%2Fwos%2Fwoscc%2Ffull-record%2FWOS:000341914200100","View Full Record in Web of Science")</f>
        <v>View Full Record in Web of Science</v>
      </c>
    </row>
    <row r="109" spans="1:72" x14ac:dyDescent="0.15">
      <c r="A109" t="s">
        <v>72</v>
      </c>
      <c r="B109" t="s">
        <v>2398</v>
      </c>
      <c r="C109" t="s">
        <v>74</v>
      </c>
      <c r="D109" t="s">
        <v>74</v>
      </c>
      <c r="E109" t="s">
        <v>74</v>
      </c>
      <c r="F109" t="s">
        <v>2399</v>
      </c>
      <c r="G109" t="s">
        <v>74</v>
      </c>
      <c r="H109" t="s">
        <v>74</v>
      </c>
      <c r="I109" t="s">
        <v>2400</v>
      </c>
      <c r="J109" t="s">
        <v>2382</v>
      </c>
      <c r="K109" t="s">
        <v>74</v>
      </c>
      <c r="L109" t="s">
        <v>74</v>
      </c>
      <c r="M109" t="s">
        <v>78</v>
      </c>
      <c r="N109" t="s">
        <v>52</v>
      </c>
      <c r="O109" t="s">
        <v>2383</v>
      </c>
      <c r="P109" t="s">
        <v>2384</v>
      </c>
      <c r="Q109" t="s">
        <v>2385</v>
      </c>
      <c r="R109" t="s">
        <v>74</v>
      </c>
      <c r="S109" t="s">
        <v>74</v>
      </c>
      <c r="T109" t="s">
        <v>74</v>
      </c>
      <c r="U109" t="s">
        <v>74</v>
      </c>
      <c r="V109" t="s">
        <v>74</v>
      </c>
      <c r="W109" t="s">
        <v>2401</v>
      </c>
      <c r="X109" t="s">
        <v>2402</v>
      </c>
      <c r="Y109" t="s">
        <v>74</v>
      </c>
      <c r="Z109" t="s">
        <v>2403</v>
      </c>
      <c r="AA109" t="s">
        <v>2404</v>
      </c>
      <c r="AB109" t="s">
        <v>74</v>
      </c>
      <c r="AC109" t="s">
        <v>74</v>
      </c>
      <c r="AD109" t="s">
        <v>74</v>
      </c>
      <c r="AE109" t="s">
        <v>74</v>
      </c>
      <c r="AF109" t="s">
        <v>74</v>
      </c>
      <c r="AG109">
        <v>6</v>
      </c>
      <c r="AH109">
        <v>0</v>
      </c>
      <c r="AI109">
        <v>0</v>
      </c>
      <c r="AJ109">
        <v>0</v>
      </c>
      <c r="AK109">
        <v>1</v>
      </c>
      <c r="AL109" t="s">
        <v>92</v>
      </c>
      <c r="AM109" t="s">
        <v>93</v>
      </c>
      <c r="AN109" t="s">
        <v>94</v>
      </c>
      <c r="AO109" t="s">
        <v>2391</v>
      </c>
      <c r="AP109" t="s">
        <v>2392</v>
      </c>
      <c r="AQ109" t="s">
        <v>74</v>
      </c>
      <c r="AR109" t="s">
        <v>2393</v>
      </c>
      <c r="AS109" t="s">
        <v>2394</v>
      </c>
      <c r="AT109" t="s">
        <v>1791</v>
      </c>
      <c r="AU109">
        <v>2014</v>
      </c>
      <c r="AV109">
        <v>49</v>
      </c>
      <c r="AW109" t="s">
        <v>74</v>
      </c>
      <c r="AX109" t="s">
        <v>74</v>
      </c>
      <c r="AY109">
        <v>1</v>
      </c>
      <c r="AZ109" t="s">
        <v>258</v>
      </c>
      <c r="BA109" t="s">
        <v>74</v>
      </c>
      <c r="BB109" t="s">
        <v>2405</v>
      </c>
      <c r="BC109" t="s">
        <v>2405</v>
      </c>
      <c r="BD109" t="s">
        <v>74</v>
      </c>
      <c r="BE109" t="s">
        <v>74</v>
      </c>
      <c r="BF109" t="s">
        <v>74</v>
      </c>
      <c r="BG109" t="s">
        <v>74</v>
      </c>
      <c r="BH109" t="s">
        <v>74</v>
      </c>
      <c r="BI109">
        <v>1</v>
      </c>
      <c r="BJ109" t="s">
        <v>425</v>
      </c>
      <c r="BK109" t="s">
        <v>1795</v>
      </c>
      <c r="BL109" t="s">
        <v>425</v>
      </c>
      <c r="BM109" t="s">
        <v>2396</v>
      </c>
      <c r="BN109" t="s">
        <v>74</v>
      </c>
      <c r="BO109" t="s">
        <v>74</v>
      </c>
      <c r="BP109" t="s">
        <v>74</v>
      </c>
      <c r="BQ109" t="s">
        <v>74</v>
      </c>
      <c r="BR109" t="s">
        <v>105</v>
      </c>
      <c r="BS109" t="s">
        <v>2406</v>
      </c>
      <c r="BT109" t="str">
        <f>HYPERLINK("https%3A%2F%2Fwww.webofscience.com%2Fwos%2Fwoscc%2Ffull-record%2FWOS:000341914200145","View Full Record in Web of Science")</f>
        <v>View Full Record in Web of Science</v>
      </c>
    </row>
    <row r="110" spans="1:72" x14ac:dyDescent="0.15">
      <c r="A110" t="s">
        <v>72</v>
      </c>
      <c r="B110" t="s">
        <v>2407</v>
      </c>
      <c r="C110" t="s">
        <v>74</v>
      </c>
      <c r="D110" t="s">
        <v>74</v>
      </c>
      <c r="E110" t="s">
        <v>74</v>
      </c>
      <c r="F110" t="s">
        <v>2408</v>
      </c>
      <c r="G110" t="s">
        <v>74</v>
      </c>
      <c r="H110" t="s">
        <v>74</v>
      </c>
      <c r="I110" t="s">
        <v>2409</v>
      </c>
      <c r="J110" t="s">
        <v>2382</v>
      </c>
      <c r="K110" t="s">
        <v>74</v>
      </c>
      <c r="L110" t="s">
        <v>74</v>
      </c>
      <c r="M110" t="s">
        <v>78</v>
      </c>
      <c r="N110" t="s">
        <v>52</v>
      </c>
      <c r="O110" t="s">
        <v>2383</v>
      </c>
      <c r="P110" t="s">
        <v>2384</v>
      </c>
      <c r="Q110" t="s">
        <v>2385</v>
      </c>
      <c r="R110" t="s">
        <v>74</v>
      </c>
      <c r="S110" t="s">
        <v>74</v>
      </c>
      <c r="T110" t="s">
        <v>74</v>
      </c>
      <c r="U110" t="s">
        <v>74</v>
      </c>
      <c r="V110" t="s">
        <v>74</v>
      </c>
      <c r="W110" t="s">
        <v>2410</v>
      </c>
      <c r="X110" t="s">
        <v>2411</v>
      </c>
      <c r="Y110" t="s">
        <v>74</v>
      </c>
      <c r="Z110" t="s">
        <v>2412</v>
      </c>
      <c r="AA110" t="s">
        <v>74</v>
      </c>
      <c r="AB110" t="s">
        <v>74</v>
      </c>
      <c r="AC110" t="s">
        <v>74</v>
      </c>
      <c r="AD110" t="s">
        <v>74</v>
      </c>
      <c r="AE110" t="s">
        <v>74</v>
      </c>
      <c r="AF110" t="s">
        <v>74</v>
      </c>
      <c r="AG110">
        <v>9</v>
      </c>
      <c r="AH110">
        <v>1</v>
      </c>
      <c r="AI110">
        <v>1</v>
      </c>
      <c r="AJ110">
        <v>0</v>
      </c>
      <c r="AK110">
        <v>5</v>
      </c>
      <c r="AL110" t="s">
        <v>171</v>
      </c>
      <c r="AM110" t="s">
        <v>93</v>
      </c>
      <c r="AN110" t="s">
        <v>94</v>
      </c>
      <c r="AO110" t="s">
        <v>2391</v>
      </c>
      <c r="AP110" t="s">
        <v>2392</v>
      </c>
      <c r="AQ110" t="s">
        <v>74</v>
      </c>
      <c r="AR110" t="s">
        <v>2393</v>
      </c>
      <c r="AS110" t="s">
        <v>2394</v>
      </c>
      <c r="AT110" t="s">
        <v>1791</v>
      </c>
      <c r="AU110">
        <v>2014</v>
      </c>
      <c r="AV110">
        <v>49</v>
      </c>
      <c r="AW110" t="s">
        <v>74</v>
      </c>
      <c r="AX110" t="s">
        <v>74</v>
      </c>
      <c r="AY110">
        <v>1</v>
      </c>
      <c r="AZ110" t="s">
        <v>258</v>
      </c>
      <c r="BA110" t="s">
        <v>74</v>
      </c>
      <c r="BB110" t="s">
        <v>2413</v>
      </c>
      <c r="BC110" t="s">
        <v>2413</v>
      </c>
      <c r="BD110" t="s">
        <v>74</v>
      </c>
      <c r="BE110" t="s">
        <v>74</v>
      </c>
      <c r="BF110" t="s">
        <v>74</v>
      </c>
      <c r="BG110" t="s">
        <v>74</v>
      </c>
      <c r="BH110" t="s">
        <v>74</v>
      </c>
      <c r="BI110">
        <v>1</v>
      </c>
      <c r="BJ110" t="s">
        <v>425</v>
      </c>
      <c r="BK110" t="s">
        <v>1795</v>
      </c>
      <c r="BL110" t="s">
        <v>425</v>
      </c>
      <c r="BM110" t="s">
        <v>2396</v>
      </c>
      <c r="BN110" t="s">
        <v>74</v>
      </c>
      <c r="BO110" t="s">
        <v>74</v>
      </c>
      <c r="BP110" t="s">
        <v>74</v>
      </c>
      <c r="BQ110" t="s">
        <v>74</v>
      </c>
      <c r="BR110" t="s">
        <v>105</v>
      </c>
      <c r="BS110" t="s">
        <v>2414</v>
      </c>
      <c r="BT110" t="str">
        <f>HYPERLINK("https%3A%2F%2Fwww.webofscience.com%2Fwos%2Fwoscc%2Ffull-record%2FWOS:000341914200147","View Full Record in Web of Science")</f>
        <v>View Full Record in Web of Science</v>
      </c>
    </row>
    <row r="111" spans="1:72" x14ac:dyDescent="0.15">
      <c r="A111" t="s">
        <v>72</v>
      </c>
      <c r="B111" t="s">
        <v>2415</v>
      </c>
      <c r="C111" t="s">
        <v>74</v>
      </c>
      <c r="D111" t="s">
        <v>74</v>
      </c>
      <c r="E111" t="s">
        <v>74</v>
      </c>
      <c r="F111" t="s">
        <v>2416</v>
      </c>
      <c r="G111" t="s">
        <v>74</v>
      </c>
      <c r="H111" t="s">
        <v>74</v>
      </c>
      <c r="I111" t="s">
        <v>2417</v>
      </c>
      <c r="J111" t="s">
        <v>2382</v>
      </c>
      <c r="K111" t="s">
        <v>74</v>
      </c>
      <c r="L111" t="s">
        <v>74</v>
      </c>
      <c r="M111" t="s">
        <v>78</v>
      </c>
      <c r="N111" t="s">
        <v>52</v>
      </c>
      <c r="O111" t="s">
        <v>2383</v>
      </c>
      <c r="P111" t="s">
        <v>2384</v>
      </c>
      <c r="Q111" t="s">
        <v>2385</v>
      </c>
      <c r="R111" t="s">
        <v>74</v>
      </c>
      <c r="S111" t="s">
        <v>74</v>
      </c>
      <c r="T111" t="s">
        <v>74</v>
      </c>
      <c r="U111" t="s">
        <v>2418</v>
      </c>
      <c r="V111" t="s">
        <v>74</v>
      </c>
      <c r="W111" t="s">
        <v>2419</v>
      </c>
      <c r="X111" t="s">
        <v>2420</v>
      </c>
      <c r="Y111" t="s">
        <v>74</v>
      </c>
      <c r="Z111" t="s">
        <v>2421</v>
      </c>
      <c r="AA111" t="s">
        <v>2422</v>
      </c>
      <c r="AB111" t="s">
        <v>74</v>
      </c>
      <c r="AC111" t="s">
        <v>74</v>
      </c>
      <c r="AD111" t="s">
        <v>74</v>
      </c>
      <c r="AE111" t="s">
        <v>74</v>
      </c>
      <c r="AF111" t="s">
        <v>74</v>
      </c>
      <c r="AG111">
        <v>8</v>
      </c>
      <c r="AH111">
        <v>1</v>
      </c>
      <c r="AI111">
        <v>1</v>
      </c>
      <c r="AJ111">
        <v>0</v>
      </c>
      <c r="AK111">
        <v>4</v>
      </c>
      <c r="AL111" t="s">
        <v>92</v>
      </c>
      <c r="AM111" t="s">
        <v>93</v>
      </c>
      <c r="AN111" t="s">
        <v>94</v>
      </c>
      <c r="AO111" t="s">
        <v>2391</v>
      </c>
      <c r="AP111" t="s">
        <v>2392</v>
      </c>
      <c r="AQ111" t="s">
        <v>74</v>
      </c>
      <c r="AR111" t="s">
        <v>2393</v>
      </c>
      <c r="AS111" t="s">
        <v>2394</v>
      </c>
      <c r="AT111" t="s">
        <v>1791</v>
      </c>
      <c r="AU111">
        <v>2014</v>
      </c>
      <c r="AV111">
        <v>49</v>
      </c>
      <c r="AW111" t="s">
        <v>74</v>
      </c>
      <c r="AX111" t="s">
        <v>74</v>
      </c>
      <c r="AY111">
        <v>1</v>
      </c>
      <c r="AZ111" t="s">
        <v>258</v>
      </c>
      <c r="BA111" t="s">
        <v>74</v>
      </c>
      <c r="BB111" t="s">
        <v>2423</v>
      </c>
      <c r="BC111" t="s">
        <v>2423</v>
      </c>
      <c r="BD111" t="s">
        <v>74</v>
      </c>
      <c r="BE111" t="s">
        <v>74</v>
      </c>
      <c r="BF111" t="s">
        <v>74</v>
      </c>
      <c r="BG111" t="s">
        <v>74</v>
      </c>
      <c r="BH111" t="s">
        <v>74</v>
      </c>
      <c r="BI111">
        <v>1</v>
      </c>
      <c r="BJ111" t="s">
        <v>425</v>
      </c>
      <c r="BK111" t="s">
        <v>1795</v>
      </c>
      <c r="BL111" t="s">
        <v>425</v>
      </c>
      <c r="BM111" t="s">
        <v>2396</v>
      </c>
      <c r="BN111" t="s">
        <v>74</v>
      </c>
      <c r="BO111" t="s">
        <v>74</v>
      </c>
      <c r="BP111" t="s">
        <v>74</v>
      </c>
      <c r="BQ111" t="s">
        <v>74</v>
      </c>
      <c r="BR111" t="s">
        <v>105</v>
      </c>
      <c r="BS111" t="s">
        <v>2424</v>
      </c>
      <c r="BT111" t="str">
        <f>HYPERLINK("https%3A%2F%2Fwww.webofscience.com%2Fwos%2Fwoscc%2Ffull-record%2FWOS:000341914200165","View Full Record in Web of Science")</f>
        <v>View Full Record in Web of Science</v>
      </c>
    </row>
    <row r="112" spans="1:72" x14ac:dyDescent="0.15">
      <c r="A112" t="s">
        <v>72</v>
      </c>
      <c r="B112" t="s">
        <v>2425</v>
      </c>
      <c r="C112" t="s">
        <v>74</v>
      </c>
      <c r="D112" t="s">
        <v>74</v>
      </c>
      <c r="E112" t="s">
        <v>74</v>
      </c>
      <c r="F112" t="s">
        <v>2426</v>
      </c>
      <c r="G112" t="s">
        <v>74</v>
      </c>
      <c r="H112" t="s">
        <v>74</v>
      </c>
      <c r="I112" t="s">
        <v>2427</v>
      </c>
      <c r="J112" t="s">
        <v>2382</v>
      </c>
      <c r="K112" t="s">
        <v>74</v>
      </c>
      <c r="L112" t="s">
        <v>74</v>
      </c>
      <c r="M112" t="s">
        <v>78</v>
      </c>
      <c r="N112" t="s">
        <v>52</v>
      </c>
      <c r="O112" t="s">
        <v>2383</v>
      </c>
      <c r="P112" t="s">
        <v>2384</v>
      </c>
      <c r="Q112" t="s">
        <v>2385</v>
      </c>
      <c r="R112" t="s">
        <v>74</v>
      </c>
      <c r="S112" t="s">
        <v>74</v>
      </c>
      <c r="T112" t="s">
        <v>74</v>
      </c>
      <c r="U112" t="s">
        <v>2428</v>
      </c>
      <c r="V112" t="s">
        <v>74</v>
      </c>
      <c r="W112" t="s">
        <v>2429</v>
      </c>
      <c r="X112" t="s">
        <v>2430</v>
      </c>
      <c r="Y112" t="s">
        <v>74</v>
      </c>
      <c r="Z112" t="s">
        <v>2431</v>
      </c>
      <c r="AA112" t="s">
        <v>74</v>
      </c>
      <c r="AB112" t="s">
        <v>2432</v>
      </c>
      <c r="AC112" t="s">
        <v>74</v>
      </c>
      <c r="AD112" t="s">
        <v>74</v>
      </c>
      <c r="AE112" t="s">
        <v>74</v>
      </c>
      <c r="AF112" t="s">
        <v>74</v>
      </c>
      <c r="AG112">
        <v>8</v>
      </c>
      <c r="AH112">
        <v>3</v>
      </c>
      <c r="AI112">
        <v>3</v>
      </c>
      <c r="AJ112">
        <v>0</v>
      </c>
      <c r="AK112">
        <v>2</v>
      </c>
      <c r="AL112" t="s">
        <v>92</v>
      </c>
      <c r="AM112" t="s">
        <v>93</v>
      </c>
      <c r="AN112" t="s">
        <v>94</v>
      </c>
      <c r="AO112" t="s">
        <v>2391</v>
      </c>
      <c r="AP112" t="s">
        <v>2392</v>
      </c>
      <c r="AQ112" t="s">
        <v>74</v>
      </c>
      <c r="AR112" t="s">
        <v>2393</v>
      </c>
      <c r="AS112" t="s">
        <v>2394</v>
      </c>
      <c r="AT112" t="s">
        <v>1791</v>
      </c>
      <c r="AU112">
        <v>2014</v>
      </c>
      <c r="AV112">
        <v>49</v>
      </c>
      <c r="AW112" t="s">
        <v>74</v>
      </c>
      <c r="AX112" t="s">
        <v>74</v>
      </c>
      <c r="AY112">
        <v>1</v>
      </c>
      <c r="AZ112" t="s">
        <v>258</v>
      </c>
      <c r="BA112" t="s">
        <v>74</v>
      </c>
      <c r="BB112" t="s">
        <v>2433</v>
      </c>
      <c r="BC112" t="s">
        <v>2433</v>
      </c>
      <c r="BD112" t="s">
        <v>74</v>
      </c>
      <c r="BE112" t="s">
        <v>74</v>
      </c>
      <c r="BF112" t="s">
        <v>74</v>
      </c>
      <c r="BG112" t="s">
        <v>74</v>
      </c>
      <c r="BH112" t="s">
        <v>74</v>
      </c>
      <c r="BI112">
        <v>1</v>
      </c>
      <c r="BJ112" t="s">
        <v>425</v>
      </c>
      <c r="BK112" t="s">
        <v>1795</v>
      </c>
      <c r="BL112" t="s">
        <v>425</v>
      </c>
      <c r="BM112" t="s">
        <v>2396</v>
      </c>
      <c r="BN112" t="s">
        <v>74</v>
      </c>
      <c r="BO112" t="s">
        <v>74</v>
      </c>
      <c r="BP112" t="s">
        <v>74</v>
      </c>
      <c r="BQ112" t="s">
        <v>74</v>
      </c>
      <c r="BR112" t="s">
        <v>105</v>
      </c>
      <c r="BS112" t="s">
        <v>2434</v>
      </c>
      <c r="BT112" t="str">
        <f>HYPERLINK("https%3A%2F%2Fwww.webofscience.com%2Fwos%2Fwoscc%2Ffull-record%2FWOS:000341914200192","View Full Record in Web of Science")</f>
        <v>View Full Record in Web of Science</v>
      </c>
    </row>
    <row r="113" spans="1:72" x14ac:dyDescent="0.15">
      <c r="A113" t="s">
        <v>72</v>
      </c>
      <c r="B113" t="s">
        <v>2435</v>
      </c>
      <c r="C113" t="s">
        <v>74</v>
      </c>
      <c r="D113" t="s">
        <v>74</v>
      </c>
      <c r="E113" t="s">
        <v>74</v>
      </c>
      <c r="F113" t="s">
        <v>2436</v>
      </c>
      <c r="G113" t="s">
        <v>74</v>
      </c>
      <c r="H113" t="s">
        <v>74</v>
      </c>
      <c r="I113" t="s">
        <v>2437</v>
      </c>
      <c r="J113" t="s">
        <v>2382</v>
      </c>
      <c r="K113" t="s">
        <v>74</v>
      </c>
      <c r="L113" t="s">
        <v>74</v>
      </c>
      <c r="M113" t="s">
        <v>78</v>
      </c>
      <c r="N113" t="s">
        <v>52</v>
      </c>
      <c r="O113" t="s">
        <v>2383</v>
      </c>
      <c r="P113" t="s">
        <v>2384</v>
      </c>
      <c r="Q113" t="s">
        <v>2385</v>
      </c>
      <c r="R113" t="s">
        <v>74</v>
      </c>
      <c r="S113" t="s">
        <v>74</v>
      </c>
      <c r="T113" t="s">
        <v>74</v>
      </c>
      <c r="U113" t="s">
        <v>2438</v>
      </c>
      <c r="V113" t="s">
        <v>74</v>
      </c>
      <c r="W113" t="s">
        <v>2439</v>
      </c>
      <c r="X113" t="s">
        <v>2440</v>
      </c>
      <c r="Y113" t="s">
        <v>74</v>
      </c>
      <c r="Z113" t="s">
        <v>2441</v>
      </c>
      <c r="AA113" t="s">
        <v>2442</v>
      </c>
      <c r="AB113" t="s">
        <v>2443</v>
      </c>
      <c r="AC113" t="s">
        <v>74</v>
      </c>
      <c r="AD113" t="s">
        <v>74</v>
      </c>
      <c r="AE113" t="s">
        <v>74</v>
      </c>
      <c r="AF113" t="s">
        <v>74</v>
      </c>
      <c r="AG113">
        <v>12</v>
      </c>
      <c r="AH113">
        <v>0</v>
      </c>
      <c r="AI113">
        <v>0</v>
      </c>
      <c r="AJ113">
        <v>0</v>
      </c>
      <c r="AK113">
        <v>3</v>
      </c>
      <c r="AL113" t="s">
        <v>171</v>
      </c>
      <c r="AM113" t="s">
        <v>93</v>
      </c>
      <c r="AN113" t="s">
        <v>94</v>
      </c>
      <c r="AO113" t="s">
        <v>2391</v>
      </c>
      <c r="AP113" t="s">
        <v>2392</v>
      </c>
      <c r="AQ113" t="s">
        <v>74</v>
      </c>
      <c r="AR113" t="s">
        <v>2393</v>
      </c>
      <c r="AS113" t="s">
        <v>2394</v>
      </c>
      <c r="AT113" t="s">
        <v>1791</v>
      </c>
      <c r="AU113">
        <v>2014</v>
      </c>
      <c r="AV113">
        <v>49</v>
      </c>
      <c r="AW113" t="s">
        <v>74</v>
      </c>
      <c r="AX113" t="s">
        <v>74</v>
      </c>
      <c r="AY113">
        <v>1</v>
      </c>
      <c r="AZ113" t="s">
        <v>258</v>
      </c>
      <c r="BA113" t="s">
        <v>74</v>
      </c>
      <c r="BB113" t="s">
        <v>2444</v>
      </c>
      <c r="BC113" t="s">
        <v>2444</v>
      </c>
      <c r="BD113" t="s">
        <v>74</v>
      </c>
      <c r="BE113" t="s">
        <v>74</v>
      </c>
      <c r="BF113" t="s">
        <v>74</v>
      </c>
      <c r="BG113" t="s">
        <v>74</v>
      </c>
      <c r="BH113" t="s">
        <v>74</v>
      </c>
      <c r="BI113">
        <v>1</v>
      </c>
      <c r="BJ113" t="s">
        <v>425</v>
      </c>
      <c r="BK113" t="s">
        <v>1795</v>
      </c>
      <c r="BL113" t="s">
        <v>425</v>
      </c>
      <c r="BM113" t="s">
        <v>2396</v>
      </c>
      <c r="BN113" t="s">
        <v>74</v>
      </c>
      <c r="BO113" t="s">
        <v>74</v>
      </c>
      <c r="BP113" t="s">
        <v>74</v>
      </c>
      <c r="BQ113" t="s">
        <v>74</v>
      </c>
      <c r="BR113" t="s">
        <v>105</v>
      </c>
      <c r="BS113" t="s">
        <v>2445</v>
      </c>
      <c r="BT113" t="str">
        <f>HYPERLINK("https%3A%2F%2Fwww.webofscience.com%2Fwos%2Fwoscc%2Ffull-record%2FWOS:000341914200372","View Full Record in Web of Science")</f>
        <v>View Full Record in Web of Science</v>
      </c>
    </row>
    <row r="114" spans="1:72" x14ac:dyDescent="0.15">
      <c r="A114" t="s">
        <v>72</v>
      </c>
      <c r="B114" t="s">
        <v>2446</v>
      </c>
      <c r="C114" t="s">
        <v>74</v>
      </c>
      <c r="D114" t="s">
        <v>74</v>
      </c>
      <c r="E114" t="s">
        <v>74</v>
      </c>
      <c r="F114" t="s">
        <v>2447</v>
      </c>
      <c r="G114" t="s">
        <v>74</v>
      </c>
      <c r="H114" t="s">
        <v>74</v>
      </c>
      <c r="I114" t="s">
        <v>2448</v>
      </c>
      <c r="J114" t="s">
        <v>1329</v>
      </c>
      <c r="K114" t="s">
        <v>74</v>
      </c>
      <c r="L114" t="s">
        <v>74</v>
      </c>
      <c r="M114" t="s">
        <v>78</v>
      </c>
      <c r="N114" t="s">
        <v>79</v>
      </c>
      <c r="O114" t="s">
        <v>74</v>
      </c>
      <c r="P114" t="s">
        <v>74</v>
      </c>
      <c r="Q114" t="s">
        <v>74</v>
      </c>
      <c r="R114" t="s">
        <v>74</v>
      </c>
      <c r="S114" t="s">
        <v>74</v>
      </c>
      <c r="T114" t="s">
        <v>74</v>
      </c>
      <c r="U114" t="s">
        <v>2449</v>
      </c>
      <c r="V114" t="s">
        <v>2450</v>
      </c>
      <c r="W114" t="s">
        <v>2451</v>
      </c>
      <c r="X114" t="s">
        <v>2452</v>
      </c>
      <c r="Y114" t="s">
        <v>2453</v>
      </c>
      <c r="Z114" t="s">
        <v>2454</v>
      </c>
      <c r="AA114" t="s">
        <v>2455</v>
      </c>
      <c r="AB114" t="s">
        <v>2456</v>
      </c>
      <c r="AC114" t="s">
        <v>2457</v>
      </c>
      <c r="AD114" t="s">
        <v>2458</v>
      </c>
      <c r="AE114" t="s">
        <v>2459</v>
      </c>
      <c r="AF114" t="s">
        <v>74</v>
      </c>
      <c r="AG114">
        <v>111</v>
      </c>
      <c r="AH114">
        <v>22</v>
      </c>
      <c r="AI114">
        <v>24</v>
      </c>
      <c r="AJ114">
        <v>0</v>
      </c>
      <c r="AK114">
        <v>24</v>
      </c>
      <c r="AL114" t="s">
        <v>250</v>
      </c>
      <c r="AM114" t="s">
        <v>251</v>
      </c>
      <c r="AN114" t="s">
        <v>252</v>
      </c>
      <c r="AO114" t="s">
        <v>1341</v>
      </c>
      <c r="AP114" t="s">
        <v>1342</v>
      </c>
      <c r="AQ114" t="s">
        <v>74</v>
      </c>
      <c r="AR114" t="s">
        <v>1343</v>
      </c>
      <c r="AS114" t="s">
        <v>1344</v>
      </c>
      <c r="AT114" t="s">
        <v>2460</v>
      </c>
      <c r="AU114">
        <v>2014</v>
      </c>
      <c r="AV114">
        <v>140</v>
      </c>
      <c r="AW114" t="s">
        <v>74</v>
      </c>
      <c r="AX114" t="s">
        <v>74</v>
      </c>
      <c r="AY114" t="s">
        <v>74</v>
      </c>
      <c r="AZ114" t="s">
        <v>74</v>
      </c>
      <c r="BA114" t="s">
        <v>74</v>
      </c>
      <c r="BB114">
        <v>488</v>
      </c>
      <c r="BC114">
        <v>508</v>
      </c>
      <c r="BD114" t="s">
        <v>74</v>
      </c>
      <c r="BE114" t="s">
        <v>2461</v>
      </c>
      <c r="BF114" t="str">
        <f>HYPERLINK("http://dx.doi.org/10.1016/j.gca.2014.05.033","http://dx.doi.org/10.1016/j.gca.2014.05.033")</f>
        <v>http://dx.doi.org/10.1016/j.gca.2014.05.033</v>
      </c>
      <c r="BG114" t="s">
        <v>74</v>
      </c>
      <c r="BH114" t="s">
        <v>74</v>
      </c>
      <c r="BI114">
        <v>21</v>
      </c>
      <c r="BJ114" t="s">
        <v>425</v>
      </c>
      <c r="BK114" t="s">
        <v>102</v>
      </c>
      <c r="BL114" t="s">
        <v>425</v>
      </c>
      <c r="BM114" t="s">
        <v>2462</v>
      </c>
      <c r="BN114" t="s">
        <v>74</v>
      </c>
      <c r="BO114" t="s">
        <v>74</v>
      </c>
      <c r="BP114" t="s">
        <v>74</v>
      </c>
      <c r="BQ114" t="s">
        <v>74</v>
      </c>
      <c r="BR114" t="s">
        <v>105</v>
      </c>
      <c r="BS114" t="s">
        <v>2463</v>
      </c>
      <c r="BT114" t="str">
        <f>HYPERLINK("https%3A%2F%2Fwww.webofscience.com%2Fwos%2Fwoscc%2Ffull-record%2FWOS:000341925300031","View Full Record in Web of Science")</f>
        <v>View Full Record in Web of Science</v>
      </c>
    </row>
    <row r="115" spans="1:72" x14ac:dyDescent="0.15">
      <c r="A115" t="s">
        <v>72</v>
      </c>
      <c r="B115" t="s">
        <v>2464</v>
      </c>
      <c r="C115" t="s">
        <v>74</v>
      </c>
      <c r="D115" t="s">
        <v>74</v>
      </c>
      <c r="E115" t="s">
        <v>74</v>
      </c>
      <c r="F115" t="s">
        <v>2465</v>
      </c>
      <c r="G115" t="s">
        <v>74</v>
      </c>
      <c r="H115" t="s">
        <v>74</v>
      </c>
      <c r="I115" t="s">
        <v>2466</v>
      </c>
      <c r="J115" t="s">
        <v>2467</v>
      </c>
      <c r="K115" t="s">
        <v>74</v>
      </c>
      <c r="L115" t="s">
        <v>74</v>
      </c>
      <c r="M115" t="s">
        <v>78</v>
      </c>
      <c r="N115" t="s">
        <v>79</v>
      </c>
      <c r="O115" t="s">
        <v>74</v>
      </c>
      <c r="P115" t="s">
        <v>74</v>
      </c>
      <c r="Q115" t="s">
        <v>74</v>
      </c>
      <c r="R115" t="s">
        <v>74</v>
      </c>
      <c r="S115" t="s">
        <v>74</v>
      </c>
      <c r="T115" t="s">
        <v>2468</v>
      </c>
      <c r="U115" t="s">
        <v>2469</v>
      </c>
      <c r="V115" t="s">
        <v>2470</v>
      </c>
      <c r="W115" t="s">
        <v>2471</v>
      </c>
      <c r="X115" t="s">
        <v>2472</v>
      </c>
      <c r="Y115" t="s">
        <v>2473</v>
      </c>
      <c r="Z115" t="s">
        <v>2474</v>
      </c>
      <c r="AA115" t="s">
        <v>2475</v>
      </c>
      <c r="AB115" t="s">
        <v>2476</v>
      </c>
      <c r="AC115" t="s">
        <v>2477</v>
      </c>
      <c r="AD115" t="s">
        <v>2478</v>
      </c>
      <c r="AE115" t="s">
        <v>2479</v>
      </c>
      <c r="AF115" t="s">
        <v>74</v>
      </c>
      <c r="AG115">
        <v>37</v>
      </c>
      <c r="AH115">
        <v>16</v>
      </c>
      <c r="AI115">
        <v>24</v>
      </c>
      <c r="AJ115">
        <v>0</v>
      </c>
      <c r="AK115">
        <v>17</v>
      </c>
      <c r="AL115" t="s">
        <v>2480</v>
      </c>
      <c r="AM115" t="s">
        <v>2481</v>
      </c>
      <c r="AN115" t="s">
        <v>2482</v>
      </c>
      <c r="AO115" t="s">
        <v>2483</v>
      </c>
      <c r="AP115" t="s">
        <v>2484</v>
      </c>
      <c r="AQ115" t="s">
        <v>74</v>
      </c>
      <c r="AR115" t="s">
        <v>2485</v>
      </c>
      <c r="AS115" t="s">
        <v>2486</v>
      </c>
      <c r="AT115" t="s">
        <v>1791</v>
      </c>
      <c r="AU115">
        <v>2014</v>
      </c>
      <c r="AV115">
        <v>15</v>
      </c>
      <c r="AW115">
        <v>3</v>
      </c>
      <c r="AX115" t="s">
        <v>74</v>
      </c>
      <c r="AY115" t="s">
        <v>74</v>
      </c>
      <c r="AZ115" t="s">
        <v>74</v>
      </c>
      <c r="BA115" t="s">
        <v>74</v>
      </c>
      <c r="BB115">
        <v>341</v>
      </c>
      <c r="BC115">
        <v>348</v>
      </c>
      <c r="BD115" t="s">
        <v>74</v>
      </c>
      <c r="BE115" t="s">
        <v>2487</v>
      </c>
      <c r="BF115" t="str">
        <f>HYPERLINK("http://dx.doi.org/10.1089/ham.2013.1128","http://dx.doi.org/10.1089/ham.2013.1128")</f>
        <v>http://dx.doi.org/10.1089/ham.2013.1128</v>
      </c>
      <c r="BG115" t="s">
        <v>74</v>
      </c>
      <c r="BH115" t="s">
        <v>74</v>
      </c>
      <c r="BI115">
        <v>8</v>
      </c>
      <c r="BJ115" t="s">
        <v>2488</v>
      </c>
      <c r="BK115" t="s">
        <v>102</v>
      </c>
      <c r="BL115" t="s">
        <v>2488</v>
      </c>
      <c r="BM115" t="s">
        <v>2489</v>
      </c>
      <c r="BN115">
        <v>25099674</v>
      </c>
      <c r="BO115" t="s">
        <v>1274</v>
      </c>
      <c r="BP115" t="s">
        <v>74</v>
      </c>
      <c r="BQ115" t="s">
        <v>74</v>
      </c>
      <c r="BR115" t="s">
        <v>105</v>
      </c>
      <c r="BS115" t="s">
        <v>2490</v>
      </c>
      <c r="BT115" t="str">
        <f>HYPERLINK("https%3A%2F%2Fwww.webofscience.com%2Fwos%2Fwoscc%2Ffull-record%2FWOS:000342157100009","View Full Record in Web of Science")</f>
        <v>View Full Record in Web of Science</v>
      </c>
    </row>
    <row r="116" spans="1:72" x14ac:dyDescent="0.15">
      <c r="A116" t="s">
        <v>72</v>
      </c>
      <c r="B116" t="s">
        <v>2491</v>
      </c>
      <c r="C116" t="s">
        <v>74</v>
      </c>
      <c r="D116" t="s">
        <v>74</v>
      </c>
      <c r="E116" t="s">
        <v>74</v>
      </c>
      <c r="F116" t="s">
        <v>2492</v>
      </c>
      <c r="G116" t="s">
        <v>74</v>
      </c>
      <c r="H116" t="s">
        <v>74</v>
      </c>
      <c r="I116" t="s">
        <v>2493</v>
      </c>
      <c r="J116" t="s">
        <v>2494</v>
      </c>
      <c r="K116" t="s">
        <v>74</v>
      </c>
      <c r="L116" t="s">
        <v>74</v>
      </c>
      <c r="M116" t="s">
        <v>78</v>
      </c>
      <c r="N116" t="s">
        <v>79</v>
      </c>
      <c r="O116" t="s">
        <v>74</v>
      </c>
      <c r="P116" t="s">
        <v>74</v>
      </c>
      <c r="Q116" t="s">
        <v>74</v>
      </c>
      <c r="R116" t="s">
        <v>74</v>
      </c>
      <c r="S116" t="s">
        <v>74</v>
      </c>
      <c r="T116" t="s">
        <v>2495</v>
      </c>
      <c r="U116" t="s">
        <v>2496</v>
      </c>
      <c r="V116" t="s">
        <v>2497</v>
      </c>
      <c r="W116" t="s">
        <v>2498</v>
      </c>
      <c r="X116" t="s">
        <v>2499</v>
      </c>
      <c r="Y116" t="s">
        <v>2500</v>
      </c>
      <c r="Z116" t="s">
        <v>2501</v>
      </c>
      <c r="AA116" t="s">
        <v>2502</v>
      </c>
      <c r="AB116" t="s">
        <v>2503</v>
      </c>
      <c r="AC116" t="s">
        <v>2504</v>
      </c>
      <c r="AD116" t="s">
        <v>2504</v>
      </c>
      <c r="AE116" t="s">
        <v>2505</v>
      </c>
      <c r="AF116" t="s">
        <v>74</v>
      </c>
      <c r="AG116">
        <v>78</v>
      </c>
      <c r="AH116">
        <v>8</v>
      </c>
      <c r="AI116">
        <v>8</v>
      </c>
      <c r="AJ116">
        <v>1</v>
      </c>
      <c r="AK116">
        <v>43</v>
      </c>
      <c r="AL116" t="s">
        <v>418</v>
      </c>
      <c r="AM116" t="s">
        <v>251</v>
      </c>
      <c r="AN116" t="s">
        <v>419</v>
      </c>
      <c r="AO116" t="s">
        <v>2506</v>
      </c>
      <c r="AP116" t="s">
        <v>2507</v>
      </c>
      <c r="AQ116" t="s">
        <v>74</v>
      </c>
      <c r="AR116" t="s">
        <v>2508</v>
      </c>
      <c r="AS116" t="s">
        <v>2509</v>
      </c>
      <c r="AT116" t="s">
        <v>1860</v>
      </c>
      <c r="AU116">
        <v>2014</v>
      </c>
      <c r="AV116">
        <v>36</v>
      </c>
      <c r="AW116">
        <v>5</v>
      </c>
      <c r="AX116" t="s">
        <v>74</v>
      </c>
      <c r="AY116" t="s">
        <v>74</v>
      </c>
      <c r="AZ116" t="s">
        <v>74</v>
      </c>
      <c r="BA116" t="s">
        <v>74</v>
      </c>
      <c r="BB116">
        <v>1175</v>
      </c>
      <c r="BC116">
        <v>1189</v>
      </c>
      <c r="BD116" t="s">
        <v>74</v>
      </c>
      <c r="BE116" t="s">
        <v>2510</v>
      </c>
      <c r="BF116" t="str">
        <f>HYPERLINK("http://dx.doi.org/10.1093/plankt/fbu068","http://dx.doi.org/10.1093/plankt/fbu068")</f>
        <v>http://dx.doi.org/10.1093/plankt/fbu068</v>
      </c>
      <c r="BG116" t="s">
        <v>74</v>
      </c>
      <c r="BH116" t="s">
        <v>74</v>
      </c>
      <c r="BI116">
        <v>15</v>
      </c>
      <c r="BJ116" t="s">
        <v>2511</v>
      </c>
      <c r="BK116" t="s">
        <v>102</v>
      </c>
      <c r="BL116" t="s">
        <v>2511</v>
      </c>
      <c r="BM116" t="s">
        <v>2512</v>
      </c>
      <c r="BN116" t="s">
        <v>74</v>
      </c>
      <c r="BO116" t="s">
        <v>450</v>
      </c>
      <c r="BP116" t="s">
        <v>74</v>
      </c>
      <c r="BQ116" t="s">
        <v>74</v>
      </c>
      <c r="BR116" t="s">
        <v>105</v>
      </c>
      <c r="BS116" t="s">
        <v>2513</v>
      </c>
      <c r="BT116" t="str">
        <f>HYPERLINK("https%3A%2F%2Fwww.webofscience.com%2Fwos%2Fwoscc%2Ffull-record%2FWOS:000342235000002","View Full Record in Web of Science")</f>
        <v>View Full Record in Web of Science</v>
      </c>
    </row>
    <row r="117" spans="1:72" x14ac:dyDescent="0.15">
      <c r="A117" t="s">
        <v>72</v>
      </c>
      <c r="B117" t="s">
        <v>2514</v>
      </c>
      <c r="C117" t="s">
        <v>74</v>
      </c>
      <c r="D117" t="s">
        <v>74</v>
      </c>
      <c r="E117" t="s">
        <v>74</v>
      </c>
      <c r="F117" t="s">
        <v>2515</v>
      </c>
      <c r="G117" t="s">
        <v>74</v>
      </c>
      <c r="H117" t="s">
        <v>74</v>
      </c>
      <c r="I117" t="s">
        <v>2516</v>
      </c>
      <c r="J117" t="s">
        <v>2494</v>
      </c>
      <c r="K117" t="s">
        <v>74</v>
      </c>
      <c r="L117" t="s">
        <v>74</v>
      </c>
      <c r="M117" t="s">
        <v>78</v>
      </c>
      <c r="N117" t="s">
        <v>79</v>
      </c>
      <c r="O117" t="s">
        <v>74</v>
      </c>
      <c r="P117" t="s">
        <v>74</v>
      </c>
      <c r="Q117" t="s">
        <v>74</v>
      </c>
      <c r="R117" t="s">
        <v>74</v>
      </c>
      <c r="S117" t="s">
        <v>74</v>
      </c>
      <c r="T117" t="s">
        <v>2517</v>
      </c>
      <c r="U117" t="s">
        <v>2518</v>
      </c>
      <c r="V117" t="s">
        <v>2519</v>
      </c>
      <c r="W117" t="s">
        <v>2520</v>
      </c>
      <c r="X117" t="s">
        <v>2521</v>
      </c>
      <c r="Y117" t="s">
        <v>2522</v>
      </c>
      <c r="Z117" t="s">
        <v>2523</v>
      </c>
      <c r="AA117" t="s">
        <v>2524</v>
      </c>
      <c r="AB117" t="s">
        <v>2525</v>
      </c>
      <c r="AC117" t="s">
        <v>2526</v>
      </c>
      <c r="AD117" t="s">
        <v>2527</v>
      </c>
      <c r="AE117" t="s">
        <v>2528</v>
      </c>
      <c r="AF117" t="s">
        <v>74</v>
      </c>
      <c r="AG117">
        <v>49</v>
      </c>
      <c r="AH117">
        <v>9</v>
      </c>
      <c r="AI117">
        <v>9</v>
      </c>
      <c r="AJ117">
        <v>0</v>
      </c>
      <c r="AK117">
        <v>22</v>
      </c>
      <c r="AL117" t="s">
        <v>418</v>
      </c>
      <c r="AM117" t="s">
        <v>251</v>
      </c>
      <c r="AN117" t="s">
        <v>419</v>
      </c>
      <c r="AO117" t="s">
        <v>2506</v>
      </c>
      <c r="AP117" t="s">
        <v>2507</v>
      </c>
      <c r="AQ117" t="s">
        <v>74</v>
      </c>
      <c r="AR117" t="s">
        <v>2508</v>
      </c>
      <c r="AS117" t="s">
        <v>2509</v>
      </c>
      <c r="AT117" t="s">
        <v>1860</v>
      </c>
      <c r="AU117">
        <v>2014</v>
      </c>
      <c r="AV117">
        <v>36</v>
      </c>
      <c r="AW117">
        <v>5</v>
      </c>
      <c r="AX117" t="s">
        <v>74</v>
      </c>
      <c r="AY117" t="s">
        <v>74</v>
      </c>
      <c r="AZ117" t="s">
        <v>74</v>
      </c>
      <c r="BA117" t="s">
        <v>74</v>
      </c>
      <c r="BB117">
        <v>1224</v>
      </c>
      <c r="BC117">
        <v>1232</v>
      </c>
      <c r="BD117" t="s">
        <v>74</v>
      </c>
      <c r="BE117" t="s">
        <v>2529</v>
      </c>
      <c r="BF117" t="str">
        <f>HYPERLINK("http://dx.doi.org/10.1093/plankt/fbu045","http://dx.doi.org/10.1093/plankt/fbu045")</f>
        <v>http://dx.doi.org/10.1093/plankt/fbu045</v>
      </c>
      <c r="BG117" t="s">
        <v>74</v>
      </c>
      <c r="BH117" t="s">
        <v>74</v>
      </c>
      <c r="BI117">
        <v>9</v>
      </c>
      <c r="BJ117" t="s">
        <v>2511</v>
      </c>
      <c r="BK117" t="s">
        <v>102</v>
      </c>
      <c r="BL117" t="s">
        <v>2511</v>
      </c>
      <c r="BM117" t="s">
        <v>2512</v>
      </c>
      <c r="BN117" t="s">
        <v>74</v>
      </c>
      <c r="BO117" t="s">
        <v>74</v>
      </c>
      <c r="BP117" t="s">
        <v>74</v>
      </c>
      <c r="BQ117" t="s">
        <v>74</v>
      </c>
      <c r="BR117" t="s">
        <v>105</v>
      </c>
      <c r="BS117" t="s">
        <v>2530</v>
      </c>
      <c r="BT117" t="str">
        <f>HYPERLINK("https%3A%2F%2Fwww.webofscience.com%2Fwos%2Fwoscc%2Ffull-record%2FWOS:000342235000006","View Full Record in Web of Science")</f>
        <v>View Full Record in Web of Science</v>
      </c>
    </row>
    <row r="118" spans="1:72" x14ac:dyDescent="0.15">
      <c r="A118" t="s">
        <v>72</v>
      </c>
      <c r="B118" t="s">
        <v>2531</v>
      </c>
      <c r="C118" t="s">
        <v>74</v>
      </c>
      <c r="D118" t="s">
        <v>74</v>
      </c>
      <c r="E118" t="s">
        <v>74</v>
      </c>
      <c r="F118" t="s">
        <v>2532</v>
      </c>
      <c r="G118" t="s">
        <v>74</v>
      </c>
      <c r="H118" t="s">
        <v>74</v>
      </c>
      <c r="I118" t="s">
        <v>2533</v>
      </c>
      <c r="J118" t="s">
        <v>2534</v>
      </c>
      <c r="K118" t="s">
        <v>74</v>
      </c>
      <c r="L118" t="s">
        <v>74</v>
      </c>
      <c r="M118" t="s">
        <v>78</v>
      </c>
      <c r="N118" t="s">
        <v>79</v>
      </c>
      <c r="O118" t="s">
        <v>74</v>
      </c>
      <c r="P118" t="s">
        <v>74</v>
      </c>
      <c r="Q118" t="s">
        <v>74</v>
      </c>
      <c r="R118" t="s">
        <v>74</v>
      </c>
      <c r="S118" t="s">
        <v>74</v>
      </c>
      <c r="T118" t="s">
        <v>2535</v>
      </c>
      <c r="U118" t="s">
        <v>2536</v>
      </c>
      <c r="V118" t="s">
        <v>2537</v>
      </c>
      <c r="W118" t="s">
        <v>2538</v>
      </c>
      <c r="X118" t="s">
        <v>2539</v>
      </c>
      <c r="Y118" t="s">
        <v>2540</v>
      </c>
      <c r="Z118" t="s">
        <v>2541</v>
      </c>
      <c r="AA118" t="s">
        <v>2542</v>
      </c>
      <c r="AB118" t="s">
        <v>2543</v>
      </c>
      <c r="AC118" t="s">
        <v>2544</v>
      </c>
      <c r="AD118" t="s">
        <v>2545</v>
      </c>
      <c r="AE118" t="s">
        <v>2546</v>
      </c>
      <c r="AF118" t="s">
        <v>74</v>
      </c>
      <c r="AG118">
        <v>107</v>
      </c>
      <c r="AH118">
        <v>47</v>
      </c>
      <c r="AI118">
        <v>58</v>
      </c>
      <c r="AJ118">
        <v>2</v>
      </c>
      <c r="AK118">
        <v>80</v>
      </c>
      <c r="AL118" t="s">
        <v>171</v>
      </c>
      <c r="AM118" t="s">
        <v>93</v>
      </c>
      <c r="AN118" t="s">
        <v>94</v>
      </c>
      <c r="AO118" t="s">
        <v>2547</v>
      </c>
      <c r="AP118" t="s">
        <v>2548</v>
      </c>
      <c r="AQ118" t="s">
        <v>74</v>
      </c>
      <c r="AR118" t="s">
        <v>2549</v>
      </c>
      <c r="AS118" t="s">
        <v>2550</v>
      </c>
      <c r="AT118" t="s">
        <v>1791</v>
      </c>
      <c r="AU118">
        <v>2014</v>
      </c>
      <c r="AV118">
        <v>24</v>
      </c>
      <c r="AW118">
        <v>6</v>
      </c>
      <c r="AX118" t="s">
        <v>74</v>
      </c>
      <c r="AY118" t="s">
        <v>74</v>
      </c>
      <c r="AZ118" t="s">
        <v>74</v>
      </c>
      <c r="BA118" t="s">
        <v>74</v>
      </c>
      <c r="BB118">
        <v>1525</v>
      </c>
      <c r="BC118">
        <v>1542</v>
      </c>
      <c r="BD118" t="s">
        <v>74</v>
      </c>
      <c r="BE118" t="s">
        <v>2551</v>
      </c>
      <c r="BF118" t="str">
        <f>HYPERLINK("http://dx.doi.org/10.1890/13-0486.1","http://dx.doi.org/10.1890/13-0486.1")</f>
        <v>http://dx.doi.org/10.1890/13-0486.1</v>
      </c>
      <c r="BG118" t="s">
        <v>74</v>
      </c>
      <c r="BH118" t="s">
        <v>74</v>
      </c>
      <c r="BI118">
        <v>18</v>
      </c>
      <c r="BJ118" t="s">
        <v>2552</v>
      </c>
      <c r="BK118" t="s">
        <v>102</v>
      </c>
      <c r="BL118" t="s">
        <v>2553</v>
      </c>
      <c r="BM118" t="s">
        <v>2554</v>
      </c>
      <c r="BN118">
        <v>29160671</v>
      </c>
      <c r="BO118" t="s">
        <v>74</v>
      </c>
      <c r="BP118" t="s">
        <v>74</v>
      </c>
      <c r="BQ118" t="s">
        <v>74</v>
      </c>
      <c r="BR118" t="s">
        <v>105</v>
      </c>
      <c r="BS118" t="s">
        <v>2555</v>
      </c>
      <c r="BT118" t="str">
        <f>HYPERLINK("https%3A%2F%2Fwww.webofscience.com%2Fwos%2Fwoscc%2Ffull-record%2FWOS:000341715800020","View Full Record in Web of Science")</f>
        <v>View Full Record in Web of Science</v>
      </c>
    </row>
    <row r="119" spans="1:72" x14ac:dyDescent="0.15">
      <c r="A119" t="s">
        <v>72</v>
      </c>
      <c r="B119" t="s">
        <v>2556</v>
      </c>
      <c r="C119" t="s">
        <v>74</v>
      </c>
      <c r="D119" t="s">
        <v>74</v>
      </c>
      <c r="E119" t="s">
        <v>74</v>
      </c>
      <c r="F119" t="s">
        <v>2557</v>
      </c>
      <c r="G119" t="s">
        <v>74</v>
      </c>
      <c r="H119" t="s">
        <v>74</v>
      </c>
      <c r="I119" t="s">
        <v>2558</v>
      </c>
      <c r="J119" t="s">
        <v>2559</v>
      </c>
      <c r="K119" t="s">
        <v>74</v>
      </c>
      <c r="L119" t="s">
        <v>74</v>
      </c>
      <c r="M119" t="s">
        <v>78</v>
      </c>
      <c r="N119" t="s">
        <v>79</v>
      </c>
      <c r="O119" t="s">
        <v>74</v>
      </c>
      <c r="P119" t="s">
        <v>74</v>
      </c>
      <c r="Q119" t="s">
        <v>74</v>
      </c>
      <c r="R119" t="s">
        <v>74</v>
      </c>
      <c r="S119" t="s">
        <v>74</v>
      </c>
      <c r="T119" t="s">
        <v>2560</v>
      </c>
      <c r="U119" t="s">
        <v>2561</v>
      </c>
      <c r="V119" t="s">
        <v>2562</v>
      </c>
      <c r="W119" t="s">
        <v>2563</v>
      </c>
      <c r="X119" t="s">
        <v>2564</v>
      </c>
      <c r="Y119" t="s">
        <v>2565</v>
      </c>
      <c r="Z119" t="s">
        <v>2566</v>
      </c>
      <c r="AA119" t="s">
        <v>74</v>
      </c>
      <c r="AB119" t="s">
        <v>2567</v>
      </c>
      <c r="AC119" t="s">
        <v>2568</v>
      </c>
      <c r="AD119" t="s">
        <v>2569</v>
      </c>
      <c r="AE119" t="s">
        <v>2570</v>
      </c>
      <c r="AF119" t="s">
        <v>74</v>
      </c>
      <c r="AG119">
        <v>136</v>
      </c>
      <c r="AH119">
        <v>53</v>
      </c>
      <c r="AI119">
        <v>66</v>
      </c>
      <c r="AJ119">
        <v>0</v>
      </c>
      <c r="AK119">
        <v>17</v>
      </c>
      <c r="AL119" t="s">
        <v>2571</v>
      </c>
      <c r="AM119" t="s">
        <v>654</v>
      </c>
      <c r="AN119" t="s">
        <v>2572</v>
      </c>
      <c r="AO119" t="s">
        <v>2573</v>
      </c>
      <c r="AP119" t="s">
        <v>2574</v>
      </c>
      <c r="AQ119" t="s">
        <v>74</v>
      </c>
      <c r="AR119" t="s">
        <v>2575</v>
      </c>
      <c r="AS119" t="s">
        <v>2576</v>
      </c>
      <c r="AT119" t="s">
        <v>1791</v>
      </c>
      <c r="AU119">
        <v>2014</v>
      </c>
      <c r="AV119">
        <v>49</v>
      </c>
      <c r="AW119" t="s">
        <v>74</v>
      </c>
      <c r="AX119" t="s">
        <v>74</v>
      </c>
      <c r="AY119" t="s">
        <v>74</v>
      </c>
      <c r="AZ119" t="s">
        <v>74</v>
      </c>
      <c r="BA119" t="s">
        <v>74</v>
      </c>
      <c r="BB119">
        <v>213</v>
      </c>
      <c r="BC119">
        <v>227</v>
      </c>
      <c r="BD119" t="s">
        <v>74</v>
      </c>
      <c r="BE119" t="s">
        <v>2577</v>
      </c>
      <c r="BF119" t="str">
        <f>HYPERLINK("http://dx.doi.org/10.1016/j.jas.2014.05.009","http://dx.doi.org/10.1016/j.jas.2014.05.009")</f>
        <v>http://dx.doi.org/10.1016/j.jas.2014.05.009</v>
      </c>
      <c r="BG119" t="s">
        <v>74</v>
      </c>
      <c r="BH119" t="s">
        <v>74</v>
      </c>
      <c r="BI119">
        <v>15</v>
      </c>
      <c r="BJ119" t="s">
        <v>2578</v>
      </c>
      <c r="BK119" t="s">
        <v>2579</v>
      </c>
      <c r="BL119" t="s">
        <v>2580</v>
      </c>
      <c r="BM119" t="s">
        <v>2581</v>
      </c>
      <c r="BN119" t="s">
        <v>74</v>
      </c>
      <c r="BO119" t="s">
        <v>1274</v>
      </c>
      <c r="BP119" t="s">
        <v>74</v>
      </c>
      <c r="BQ119" t="s">
        <v>74</v>
      </c>
      <c r="BR119" t="s">
        <v>105</v>
      </c>
      <c r="BS119" t="s">
        <v>2582</v>
      </c>
      <c r="BT119" t="str">
        <f>HYPERLINK("https%3A%2F%2Fwww.webofscience.com%2Fwos%2Fwoscc%2Ffull-record%2FWOS:000341467000022","View Full Record in Web of Science")</f>
        <v>View Full Record in Web of Science</v>
      </c>
    </row>
    <row r="120" spans="1:72" x14ac:dyDescent="0.15">
      <c r="A120" t="s">
        <v>72</v>
      </c>
      <c r="B120" t="s">
        <v>2583</v>
      </c>
      <c r="C120" t="s">
        <v>74</v>
      </c>
      <c r="D120" t="s">
        <v>74</v>
      </c>
      <c r="E120" t="s">
        <v>74</v>
      </c>
      <c r="F120" t="s">
        <v>2584</v>
      </c>
      <c r="G120" t="s">
        <v>74</v>
      </c>
      <c r="H120" t="s">
        <v>74</v>
      </c>
      <c r="I120" t="s">
        <v>2585</v>
      </c>
      <c r="J120" t="s">
        <v>2586</v>
      </c>
      <c r="K120" t="s">
        <v>74</v>
      </c>
      <c r="L120" t="s">
        <v>74</v>
      </c>
      <c r="M120" t="s">
        <v>78</v>
      </c>
      <c r="N120" t="s">
        <v>79</v>
      </c>
      <c r="O120" t="s">
        <v>74</v>
      </c>
      <c r="P120" t="s">
        <v>74</v>
      </c>
      <c r="Q120" t="s">
        <v>74</v>
      </c>
      <c r="R120" t="s">
        <v>74</v>
      </c>
      <c r="S120" t="s">
        <v>74</v>
      </c>
      <c r="T120" t="s">
        <v>2587</v>
      </c>
      <c r="U120" t="s">
        <v>2588</v>
      </c>
      <c r="V120" t="s">
        <v>2589</v>
      </c>
      <c r="W120" t="s">
        <v>2590</v>
      </c>
      <c r="X120" t="s">
        <v>2591</v>
      </c>
      <c r="Y120" t="s">
        <v>2592</v>
      </c>
      <c r="Z120" t="s">
        <v>2593</v>
      </c>
      <c r="AA120" t="s">
        <v>2594</v>
      </c>
      <c r="AB120" t="s">
        <v>2595</v>
      </c>
      <c r="AC120" t="s">
        <v>2596</v>
      </c>
      <c r="AD120" t="s">
        <v>2597</v>
      </c>
      <c r="AE120" t="s">
        <v>2598</v>
      </c>
      <c r="AF120" t="s">
        <v>74</v>
      </c>
      <c r="AG120">
        <v>73</v>
      </c>
      <c r="AH120">
        <v>8</v>
      </c>
      <c r="AI120">
        <v>9</v>
      </c>
      <c r="AJ120">
        <v>0</v>
      </c>
      <c r="AK120">
        <v>6</v>
      </c>
      <c r="AL120" t="s">
        <v>123</v>
      </c>
      <c r="AM120" t="s">
        <v>124</v>
      </c>
      <c r="AN120" t="s">
        <v>125</v>
      </c>
      <c r="AO120" t="s">
        <v>2599</v>
      </c>
      <c r="AP120" t="s">
        <v>2600</v>
      </c>
      <c r="AQ120" t="s">
        <v>74</v>
      </c>
      <c r="AR120" t="s">
        <v>2601</v>
      </c>
      <c r="AS120" t="s">
        <v>2602</v>
      </c>
      <c r="AT120" t="s">
        <v>1791</v>
      </c>
      <c r="AU120">
        <v>2014</v>
      </c>
      <c r="AV120">
        <v>111</v>
      </c>
      <c r="AW120" t="s">
        <v>74</v>
      </c>
      <c r="AX120" t="s">
        <v>74</v>
      </c>
      <c r="AY120" t="s">
        <v>74</v>
      </c>
      <c r="AZ120" t="s">
        <v>74</v>
      </c>
      <c r="BA120" t="s">
        <v>74</v>
      </c>
      <c r="BB120">
        <v>1</v>
      </c>
      <c r="BC120">
        <v>14</v>
      </c>
      <c r="BD120" t="s">
        <v>74</v>
      </c>
      <c r="BE120" t="s">
        <v>2603</v>
      </c>
      <c r="BF120" t="str">
        <f>HYPERLINK("http://dx.doi.org/10.1016/j.marmicro.2014.05.003","http://dx.doi.org/10.1016/j.marmicro.2014.05.003")</f>
        <v>http://dx.doi.org/10.1016/j.marmicro.2014.05.003</v>
      </c>
      <c r="BG120" t="s">
        <v>74</v>
      </c>
      <c r="BH120" t="s">
        <v>74</v>
      </c>
      <c r="BI120">
        <v>14</v>
      </c>
      <c r="BJ120" t="s">
        <v>2604</v>
      </c>
      <c r="BK120" t="s">
        <v>102</v>
      </c>
      <c r="BL120" t="s">
        <v>2604</v>
      </c>
      <c r="BM120" t="s">
        <v>2605</v>
      </c>
      <c r="BN120" t="s">
        <v>74</v>
      </c>
      <c r="BO120" t="s">
        <v>74</v>
      </c>
      <c r="BP120" t="s">
        <v>74</v>
      </c>
      <c r="BQ120" t="s">
        <v>74</v>
      </c>
      <c r="BR120" t="s">
        <v>105</v>
      </c>
      <c r="BS120" t="s">
        <v>2606</v>
      </c>
      <c r="BT120" t="str">
        <f>HYPERLINK("https%3A%2F%2Fwww.webofscience.com%2Fwos%2Fwoscc%2Ffull-record%2FWOS:000341475400001","View Full Record in Web of Science")</f>
        <v>View Full Record in Web of Science</v>
      </c>
    </row>
    <row r="121" spans="1:72" x14ac:dyDescent="0.15">
      <c r="A121" t="s">
        <v>72</v>
      </c>
      <c r="B121" t="s">
        <v>2607</v>
      </c>
      <c r="C121" t="s">
        <v>74</v>
      </c>
      <c r="D121" t="s">
        <v>74</v>
      </c>
      <c r="E121" t="s">
        <v>74</v>
      </c>
      <c r="F121" t="s">
        <v>2608</v>
      </c>
      <c r="G121" t="s">
        <v>74</v>
      </c>
      <c r="H121" t="s">
        <v>74</v>
      </c>
      <c r="I121" t="s">
        <v>2609</v>
      </c>
      <c r="J121" t="s">
        <v>668</v>
      </c>
      <c r="K121" t="s">
        <v>74</v>
      </c>
      <c r="L121" t="s">
        <v>74</v>
      </c>
      <c r="M121" t="s">
        <v>78</v>
      </c>
      <c r="N121" t="s">
        <v>79</v>
      </c>
      <c r="O121" t="s">
        <v>74</v>
      </c>
      <c r="P121" t="s">
        <v>74</v>
      </c>
      <c r="Q121" t="s">
        <v>74</v>
      </c>
      <c r="R121" t="s">
        <v>74</v>
      </c>
      <c r="S121" t="s">
        <v>74</v>
      </c>
      <c r="T121" t="s">
        <v>74</v>
      </c>
      <c r="U121" t="s">
        <v>2610</v>
      </c>
      <c r="V121" t="s">
        <v>2611</v>
      </c>
      <c r="W121" t="s">
        <v>2612</v>
      </c>
      <c r="X121" t="s">
        <v>2613</v>
      </c>
      <c r="Y121" t="s">
        <v>2614</v>
      </c>
      <c r="Z121" t="s">
        <v>2615</v>
      </c>
      <c r="AA121" t="s">
        <v>2616</v>
      </c>
      <c r="AB121" t="s">
        <v>2617</v>
      </c>
      <c r="AC121" t="s">
        <v>2618</v>
      </c>
      <c r="AD121" t="s">
        <v>2619</v>
      </c>
      <c r="AE121" t="s">
        <v>2620</v>
      </c>
      <c r="AF121" t="s">
        <v>74</v>
      </c>
      <c r="AG121">
        <v>25</v>
      </c>
      <c r="AH121">
        <v>34</v>
      </c>
      <c r="AI121">
        <v>39</v>
      </c>
      <c r="AJ121">
        <v>1</v>
      </c>
      <c r="AK121">
        <v>30</v>
      </c>
      <c r="AL121" t="s">
        <v>653</v>
      </c>
      <c r="AM121" t="s">
        <v>576</v>
      </c>
      <c r="AN121" t="s">
        <v>679</v>
      </c>
      <c r="AO121" t="s">
        <v>680</v>
      </c>
      <c r="AP121" t="s">
        <v>681</v>
      </c>
      <c r="AQ121" t="s">
        <v>74</v>
      </c>
      <c r="AR121" t="s">
        <v>682</v>
      </c>
      <c r="AS121" t="s">
        <v>683</v>
      </c>
      <c r="AT121" t="s">
        <v>1791</v>
      </c>
      <c r="AU121">
        <v>2014</v>
      </c>
      <c r="AV121">
        <v>7</v>
      </c>
      <c r="AW121">
        <v>9</v>
      </c>
      <c r="AX121" t="s">
        <v>74</v>
      </c>
      <c r="AY121" t="s">
        <v>74</v>
      </c>
      <c r="AZ121" t="s">
        <v>74</v>
      </c>
      <c r="BA121" t="s">
        <v>74</v>
      </c>
      <c r="BB121">
        <v>677</v>
      </c>
      <c r="BC121">
        <v>681</v>
      </c>
      <c r="BD121" t="s">
        <v>74</v>
      </c>
      <c r="BE121" t="s">
        <v>2621</v>
      </c>
      <c r="BF121" t="str">
        <f>HYPERLINK("http://dx.doi.org/10.1038/NGEO2212","http://dx.doi.org/10.1038/NGEO2212")</f>
        <v>http://dx.doi.org/10.1038/NGEO2212</v>
      </c>
      <c r="BG121" t="s">
        <v>74</v>
      </c>
      <c r="BH121" t="s">
        <v>74</v>
      </c>
      <c r="BI121">
        <v>5</v>
      </c>
      <c r="BJ121" t="s">
        <v>685</v>
      </c>
      <c r="BK121" t="s">
        <v>102</v>
      </c>
      <c r="BL121" t="s">
        <v>686</v>
      </c>
      <c r="BM121" t="s">
        <v>2622</v>
      </c>
      <c r="BN121" t="s">
        <v>74</v>
      </c>
      <c r="BO121" t="s">
        <v>74</v>
      </c>
      <c r="BP121" t="s">
        <v>74</v>
      </c>
      <c r="BQ121" t="s">
        <v>74</v>
      </c>
      <c r="BR121" t="s">
        <v>105</v>
      </c>
      <c r="BS121" t="s">
        <v>2623</v>
      </c>
      <c r="BT121" t="str">
        <f>HYPERLINK("https%3A%2F%2Fwww.webofscience.com%2Fwos%2Fwoscc%2Ffull-record%2FWOS:000341635600018","View Full Record in Web of Science")</f>
        <v>View Full Record in Web of Science</v>
      </c>
    </row>
    <row r="122" spans="1:72" x14ac:dyDescent="0.15">
      <c r="A122" t="s">
        <v>72</v>
      </c>
      <c r="B122" t="s">
        <v>2624</v>
      </c>
      <c r="C122" t="s">
        <v>74</v>
      </c>
      <c r="D122" t="s">
        <v>74</v>
      </c>
      <c r="E122" t="s">
        <v>74</v>
      </c>
      <c r="F122" t="s">
        <v>2625</v>
      </c>
      <c r="G122" t="s">
        <v>74</v>
      </c>
      <c r="H122" t="s">
        <v>74</v>
      </c>
      <c r="I122" t="s">
        <v>2626</v>
      </c>
      <c r="J122" t="s">
        <v>2627</v>
      </c>
      <c r="K122" t="s">
        <v>74</v>
      </c>
      <c r="L122" t="s">
        <v>74</v>
      </c>
      <c r="M122" t="s">
        <v>78</v>
      </c>
      <c r="N122" t="s">
        <v>79</v>
      </c>
      <c r="O122" t="s">
        <v>74</v>
      </c>
      <c r="P122" t="s">
        <v>74</v>
      </c>
      <c r="Q122" t="s">
        <v>74</v>
      </c>
      <c r="R122" t="s">
        <v>74</v>
      </c>
      <c r="S122" t="s">
        <v>74</v>
      </c>
      <c r="T122" t="s">
        <v>2628</v>
      </c>
      <c r="U122" t="s">
        <v>2629</v>
      </c>
      <c r="V122" t="s">
        <v>2630</v>
      </c>
      <c r="W122" t="s">
        <v>2631</v>
      </c>
      <c r="X122" t="s">
        <v>2632</v>
      </c>
      <c r="Y122" t="s">
        <v>2633</v>
      </c>
      <c r="Z122" t="s">
        <v>2634</v>
      </c>
      <c r="AA122" t="s">
        <v>2635</v>
      </c>
      <c r="AB122" t="s">
        <v>2636</v>
      </c>
      <c r="AC122" t="s">
        <v>2637</v>
      </c>
      <c r="AD122" t="s">
        <v>2638</v>
      </c>
      <c r="AE122" t="s">
        <v>2639</v>
      </c>
      <c r="AF122" t="s">
        <v>74</v>
      </c>
      <c r="AG122">
        <v>19</v>
      </c>
      <c r="AH122">
        <v>5</v>
      </c>
      <c r="AI122">
        <v>5</v>
      </c>
      <c r="AJ122">
        <v>1</v>
      </c>
      <c r="AK122">
        <v>12</v>
      </c>
      <c r="AL122" t="s">
        <v>123</v>
      </c>
      <c r="AM122" t="s">
        <v>124</v>
      </c>
      <c r="AN122" t="s">
        <v>125</v>
      </c>
      <c r="AO122" t="s">
        <v>2640</v>
      </c>
      <c r="AP122" t="s">
        <v>2641</v>
      </c>
      <c r="AQ122" t="s">
        <v>74</v>
      </c>
      <c r="AR122" t="s">
        <v>2642</v>
      </c>
      <c r="AS122" t="s">
        <v>2643</v>
      </c>
      <c r="AT122" t="s">
        <v>1791</v>
      </c>
      <c r="AU122">
        <v>2014</v>
      </c>
      <c r="AV122">
        <v>8</v>
      </c>
      <c r="AW122">
        <v>3</v>
      </c>
      <c r="AX122" t="s">
        <v>74</v>
      </c>
      <c r="AY122" t="s">
        <v>74</v>
      </c>
      <c r="AZ122" t="s">
        <v>74</v>
      </c>
      <c r="BA122" t="s">
        <v>74</v>
      </c>
      <c r="BB122">
        <v>242</v>
      </c>
      <c r="BC122">
        <v>254</v>
      </c>
      <c r="BD122" t="s">
        <v>74</v>
      </c>
      <c r="BE122" t="s">
        <v>2644</v>
      </c>
      <c r="BF122" t="str">
        <f>HYPERLINK("http://dx.doi.org/10.1016/j.polar.2014.05.003","http://dx.doi.org/10.1016/j.polar.2014.05.003")</f>
        <v>http://dx.doi.org/10.1016/j.polar.2014.05.003</v>
      </c>
      <c r="BG122" t="s">
        <v>74</v>
      </c>
      <c r="BH122" t="s">
        <v>74</v>
      </c>
      <c r="BI122">
        <v>13</v>
      </c>
      <c r="BJ122" t="s">
        <v>2645</v>
      </c>
      <c r="BK122" t="s">
        <v>102</v>
      </c>
      <c r="BL122" t="s">
        <v>2132</v>
      </c>
      <c r="BM122" t="s">
        <v>2646</v>
      </c>
      <c r="BN122" t="s">
        <v>74</v>
      </c>
      <c r="BO122" t="s">
        <v>2647</v>
      </c>
      <c r="BP122" t="s">
        <v>74</v>
      </c>
      <c r="BQ122" t="s">
        <v>74</v>
      </c>
      <c r="BR122" t="s">
        <v>105</v>
      </c>
      <c r="BS122" t="s">
        <v>2648</v>
      </c>
      <c r="BT122" t="str">
        <f>HYPERLINK("https%3A%2F%2Fwww.webofscience.com%2Fwos%2Fwoscc%2Ffull-record%2FWOS:000341793800004","View Full Record in Web of Science")</f>
        <v>View Full Record in Web of Science</v>
      </c>
    </row>
    <row r="123" spans="1:72" x14ac:dyDescent="0.15">
      <c r="A123" t="s">
        <v>72</v>
      </c>
      <c r="B123" t="s">
        <v>2649</v>
      </c>
      <c r="C123" t="s">
        <v>74</v>
      </c>
      <c r="D123" t="s">
        <v>74</v>
      </c>
      <c r="E123" t="s">
        <v>74</v>
      </c>
      <c r="F123" t="s">
        <v>2650</v>
      </c>
      <c r="G123" t="s">
        <v>74</v>
      </c>
      <c r="H123" t="s">
        <v>74</v>
      </c>
      <c r="I123" t="s">
        <v>2651</v>
      </c>
      <c r="J123" t="s">
        <v>2627</v>
      </c>
      <c r="K123" t="s">
        <v>74</v>
      </c>
      <c r="L123" t="s">
        <v>74</v>
      </c>
      <c r="M123" t="s">
        <v>78</v>
      </c>
      <c r="N123" t="s">
        <v>79</v>
      </c>
      <c r="O123" t="s">
        <v>74</v>
      </c>
      <c r="P123" t="s">
        <v>74</v>
      </c>
      <c r="Q123" t="s">
        <v>74</v>
      </c>
      <c r="R123" t="s">
        <v>74</v>
      </c>
      <c r="S123" t="s">
        <v>74</v>
      </c>
      <c r="T123" t="s">
        <v>2652</v>
      </c>
      <c r="U123" t="s">
        <v>2653</v>
      </c>
      <c r="V123" t="s">
        <v>2654</v>
      </c>
      <c r="W123" t="s">
        <v>2655</v>
      </c>
      <c r="X123" t="s">
        <v>2656</v>
      </c>
      <c r="Y123" t="s">
        <v>2657</v>
      </c>
      <c r="Z123" t="s">
        <v>2658</v>
      </c>
      <c r="AA123" t="s">
        <v>74</v>
      </c>
      <c r="AB123" t="s">
        <v>2659</v>
      </c>
      <c r="AC123" t="s">
        <v>2660</v>
      </c>
      <c r="AD123" t="s">
        <v>2660</v>
      </c>
      <c r="AE123" t="s">
        <v>2661</v>
      </c>
      <c r="AF123" t="s">
        <v>74</v>
      </c>
      <c r="AG123">
        <v>45</v>
      </c>
      <c r="AH123">
        <v>6</v>
      </c>
      <c r="AI123">
        <v>6</v>
      </c>
      <c r="AJ123">
        <v>0</v>
      </c>
      <c r="AK123">
        <v>9</v>
      </c>
      <c r="AL123" t="s">
        <v>123</v>
      </c>
      <c r="AM123" t="s">
        <v>124</v>
      </c>
      <c r="AN123" t="s">
        <v>125</v>
      </c>
      <c r="AO123" t="s">
        <v>2640</v>
      </c>
      <c r="AP123" t="s">
        <v>2641</v>
      </c>
      <c r="AQ123" t="s">
        <v>74</v>
      </c>
      <c r="AR123" t="s">
        <v>2642</v>
      </c>
      <c r="AS123" t="s">
        <v>2643</v>
      </c>
      <c r="AT123" t="s">
        <v>1791</v>
      </c>
      <c r="AU123">
        <v>2014</v>
      </c>
      <c r="AV123">
        <v>8</v>
      </c>
      <c r="AW123">
        <v>3</v>
      </c>
      <c r="AX123" t="s">
        <v>74</v>
      </c>
      <c r="AY123" t="s">
        <v>74</v>
      </c>
      <c r="AZ123" t="s">
        <v>74</v>
      </c>
      <c r="BA123" t="s">
        <v>74</v>
      </c>
      <c r="BB123">
        <v>264</v>
      </c>
      <c r="BC123">
        <v>282</v>
      </c>
      <c r="BD123" t="s">
        <v>74</v>
      </c>
      <c r="BE123" t="s">
        <v>2662</v>
      </c>
      <c r="BF123" t="str">
        <f>HYPERLINK("http://dx.doi.org/10.1016/j.polar.2014.03.001","http://dx.doi.org/10.1016/j.polar.2014.03.001")</f>
        <v>http://dx.doi.org/10.1016/j.polar.2014.03.001</v>
      </c>
      <c r="BG123" t="s">
        <v>74</v>
      </c>
      <c r="BH123" t="s">
        <v>74</v>
      </c>
      <c r="BI123">
        <v>19</v>
      </c>
      <c r="BJ123" t="s">
        <v>2645</v>
      </c>
      <c r="BK123" t="s">
        <v>102</v>
      </c>
      <c r="BL123" t="s">
        <v>2132</v>
      </c>
      <c r="BM123" t="s">
        <v>2646</v>
      </c>
      <c r="BN123" t="s">
        <v>74</v>
      </c>
      <c r="BO123" t="s">
        <v>289</v>
      </c>
      <c r="BP123" t="s">
        <v>74</v>
      </c>
      <c r="BQ123" t="s">
        <v>74</v>
      </c>
      <c r="BR123" t="s">
        <v>105</v>
      </c>
      <c r="BS123" t="s">
        <v>2663</v>
      </c>
      <c r="BT123" t="str">
        <f>HYPERLINK("https%3A%2F%2Fwww.webofscience.com%2Fwos%2Fwoscc%2Ffull-record%2FWOS:000341793800006","View Full Record in Web of Science")</f>
        <v>View Full Record in Web of Science</v>
      </c>
    </row>
    <row r="124" spans="1:72" x14ac:dyDescent="0.15">
      <c r="A124" t="s">
        <v>72</v>
      </c>
      <c r="B124" t="s">
        <v>2664</v>
      </c>
      <c r="C124" t="s">
        <v>74</v>
      </c>
      <c r="D124" t="s">
        <v>74</v>
      </c>
      <c r="E124" t="s">
        <v>74</v>
      </c>
      <c r="F124" t="s">
        <v>2665</v>
      </c>
      <c r="G124" t="s">
        <v>74</v>
      </c>
      <c r="H124" t="s">
        <v>74</v>
      </c>
      <c r="I124" t="s">
        <v>2666</v>
      </c>
      <c r="J124" t="s">
        <v>2627</v>
      </c>
      <c r="K124" t="s">
        <v>74</v>
      </c>
      <c r="L124" t="s">
        <v>74</v>
      </c>
      <c r="M124" t="s">
        <v>78</v>
      </c>
      <c r="N124" t="s">
        <v>79</v>
      </c>
      <c r="O124" t="s">
        <v>74</v>
      </c>
      <c r="P124" t="s">
        <v>74</v>
      </c>
      <c r="Q124" t="s">
        <v>74</v>
      </c>
      <c r="R124" t="s">
        <v>74</v>
      </c>
      <c r="S124" t="s">
        <v>74</v>
      </c>
      <c r="T124" t="s">
        <v>2667</v>
      </c>
      <c r="U124" t="s">
        <v>2668</v>
      </c>
      <c r="V124" t="s">
        <v>2669</v>
      </c>
      <c r="W124" t="s">
        <v>2670</v>
      </c>
      <c r="X124" t="s">
        <v>2671</v>
      </c>
      <c r="Y124" t="s">
        <v>2672</v>
      </c>
      <c r="Z124" t="s">
        <v>2673</v>
      </c>
      <c r="AA124" t="s">
        <v>74</v>
      </c>
      <c r="AB124" t="s">
        <v>74</v>
      </c>
      <c r="AC124" t="s">
        <v>2674</v>
      </c>
      <c r="AD124" t="s">
        <v>2675</v>
      </c>
      <c r="AE124" t="s">
        <v>2676</v>
      </c>
      <c r="AF124" t="s">
        <v>74</v>
      </c>
      <c r="AG124">
        <v>60</v>
      </c>
      <c r="AH124">
        <v>21</v>
      </c>
      <c r="AI124">
        <v>22</v>
      </c>
      <c r="AJ124">
        <v>1</v>
      </c>
      <c r="AK124">
        <v>34</v>
      </c>
      <c r="AL124" t="s">
        <v>123</v>
      </c>
      <c r="AM124" t="s">
        <v>124</v>
      </c>
      <c r="AN124" t="s">
        <v>125</v>
      </c>
      <c r="AO124" t="s">
        <v>2640</v>
      </c>
      <c r="AP124" t="s">
        <v>2641</v>
      </c>
      <c r="AQ124" t="s">
        <v>74</v>
      </c>
      <c r="AR124" t="s">
        <v>2642</v>
      </c>
      <c r="AS124" t="s">
        <v>2643</v>
      </c>
      <c r="AT124" t="s">
        <v>1791</v>
      </c>
      <c r="AU124">
        <v>2014</v>
      </c>
      <c r="AV124">
        <v>8</v>
      </c>
      <c r="AW124">
        <v>3</v>
      </c>
      <c r="AX124" t="s">
        <v>74</v>
      </c>
      <c r="AY124" t="s">
        <v>74</v>
      </c>
      <c r="AZ124" t="s">
        <v>74</v>
      </c>
      <c r="BA124" t="s">
        <v>74</v>
      </c>
      <c r="BB124">
        <v>283</v>
      </c>
      <c r="BC124">
        <v>297</v>
      </c>
      <c r="BD124" t="s">
        <v>74</v>
      </c>
      <c r="BE124" t="s">
        <v>2677</v>
      </c>
      <c r="BF124" t="str">
        <f>HYPERLINK("http://dx.doi.org/10.1016/j.polar.2014.03.003","http://dx.doi.org/10.1016/j.polar.2014.03.003")</f>
        <v>http://dx.doi.org/10.1016/j.polar.2014.03.003</v>
      </c>
      <c r="BG124" t="s">
        <v>74</v>
      </c>
      <c r="BH124" t="s">
        <v>74</v>
      </c>
      <c r="BI124">
        <v>15</v>
      </c>
      <c r="BJ124" t="s">
        <v>2645</v>
      </c>
      <c r="BK124" t="s">
        <v>102</v>
      </c>
      <c r="BL124" t="s">
        <v>2132</v>
      </c>
      <c r="BM124" t="s">
        <v>2646</v>
      </c>
      <c r="BN124" t="s">
        <v>74</v>
      </c>
      <c r="BO124" t="s">
        <v>289</v>
      </c>
      <c r="BP124" t="s">
        <v>74</v>
      </c>
      <c r="BQ124" t="s">
        <v>74</v>
      </c>
      <c r="BR124" t="s">
        <v>105</v>
      </c>
      <c r="BS124" t="s">
        <v>2678</v>
      </c>
      <c r="BT124" t="str">
        <f>HYPERLINK("https%3A%2F%2Fwww.webofscience.com%2Fwos%2Fwoscc%2Ffull-record%2FWOS:000341793800007","View Full Record in Web of Science")</f>
        <v>View Full Record in Web of Science</v>
      </c>
    </row>
    <row r="125" spans="1:72" x14ac:dyDescent="0.15">
      <c r="A125" t="s">
        <v>72</v>
      </c>
      <c r="B125" t="s">
        <v>2679</v>
      </c>
      <c r="C125" t="s">
        <v>74</v>
      </c>
      <c r="D125" t="s">
        <v>74</v>
      </c>
      <c r="E125" t="s">
        <v>74</v>
      </c>
      <c r="F125" t="s">
        <v>2680</v>
      </c>
      <c r="G125" t="s">
        <v>74</v>
      </c>
      <c r="H125" t="s">
        <v>74</v>
      </c>
      <c r="I125" t="s">
        <v>2681</v>
      </c>
      <c r="J125" t="s">
        <v>2627</v>
      </c>
      <c r="K125" t="s">
        <v>74</v>
      </c>
      <c r="L125" t="s">
        <v>74</v>
      </c>
      <c r="M125" t="s">
        <v>78</v>
      </c>
      <c r="N125" t="s">
        <v>79</v>
      </c>
      <c r="O125" t="s">
        <v>74</v>
      </c>
      <c r="P125" t="s">
        <v>74</v>
      </c>
      <c r="Q125" t="s">
        <v>74</v>
      </c>
      <c r="R125" t="s">
        <v>74</v>
      </c>
      <c r="S125" t="s">
        <v>74</v>
      </c>
      <c r="T125" t="s">
        <v>2682</v>
      </c>
      <c r="U125" t="s">
        <v>2683</v>
      </c>
      <c r="V125" t="s">
        <v>2684</v>
      </c>
      <c r="W125" t="s">
        <v>2685</v>
      </c>
      <c r="X125" t="s">
        <v>2686</v>
      </c>
      <c r="Y125" t="s">
        <v>2687</v>
      </c>
      <c r="Z125" t="s">
        <v>2688</v>
      </c>
      <c r="AA125" t="s">
        <v>2689</v>
      </c>
      <c r="AB125" t="s">
        <v>74</v>
      </c>
      <c r="AC125" t="s">
        <v>2690</v>
      </c>
      <c r="AD125" t="s">
        <v>2691</v>
      </c>
      <c r="AE125" t="s">
        <v>2692</v>
      </c>
      <c r="AF125" t="s">
        <v>74</v>
      </c>
      <c r="AG125">
        <v>53</v>
      </c>
      <c r="AH125">
        <v>5</v>
      </c>
      <c r="AI125">
        <v>6</v>
      </c>
      <c r="AJ125">
        <v>0</v>
      </c>
      <c r="AK125">
        <v>21</v>
      </c>
      <c r="AL125" t="s">
        <v>753</v>
      </c>
      <c r="AM125" t="s">
        <v>124</v>
      </c>
      <c r="AN125" t="s">
        <v>754</v>
      </c>
      <c r="AO125" t="s">
        <v>2640</v>
      </c>
      <c r="AP125" t="s">
        <v>2641</v>
      </c>
      <c r="AQ125" t="s">
        <v>74</v>
      </c>
      <c r="AR125" t="s">
        <v>2642</v>
      </c>
      <c r="AS125" t="s">
        <v>2643</v>
      </c>
      <c r="AT125" t="s">
        <v>1791</v>
      </c>
      <c r="AU125">
        <v>2014</v>
      </c>
      <c r="AV125">
        <v>8</v>
      </c>
      <c r="AW125">
        <v>3</v>
      </c>
      <c r="AX125" t="s">
        <v>74</v>
      </c>
      <c r="AY125" t="s">
        <v>74</v>
      </c>
      <c r="AZ125" t="s">
        <v>74</v>
      </c>
      <c r="BA125" t="s">
        <v>74</v>
      </c>
      <c r="BB125">
        <v>298</v>
      </c>
      <c r="BC125">
        <v>305</v>
      </c>
      <c r="BD125" t="s">
        <v>74</v>
      </c>
      <c r="BE125" t="s">
        <v>2693</v>
      </c>
      <c r="BF125" t="str">
        <f>HYPERLINK("http://dx.doi.org/10.1016/j.polar.2014.04.001","http://dx.doi.org/10.1016/j.polar.2014.04.001")</f>
        <v>http://dx.doi.org/10.1016/j.polar.2014.04.001</v>
      </c>
      <c r="BG125" t="s">
        <v>74</v>
      </c>
      <c r="BH125" t="s">
        <v>74</v>
      </c>
      <c r="BI125">
        <v>8</v>
      </c>
      <c r="BJ125" t="s">
        <v>2645</v>
      </c>
      <c r="BK125" t="s">
        <v>102</v>
      </c>
      <c r="BL125" t="s">
        <v>2132</v>
      </c>
      <c r="BM125" t="s">
        <v>2646</v>
      </c>
      <c r="BN125" t="s">
        <v>74</v>
      </c>
      <c r="BO125" t="s">
        <v>289</v>
      </c>
      <c r="BP125" t="s">
        <v>74</v>
      </c>
      <c r="BQ125" t="s">
        <v>74</v>
      </c>
      <c r="BR125" t="s">
        <v>105</v>
      </c>
      <c r="BS125" t="s">
        <v>2694</v>
      </c>
      <c r="BT125" t="str">
        <f>HYPERLINK("https%3A%2F%2Fwww.webofscience.com%2Fwos%2Fwoscc%2Ffull-record%2FWOS:000341793800008","View Full Record in Web of Science")</f>
        <v>View Full Record in Web of Science</v>
      </c>
    </row>
    <row r="126" spans="1:72" x14ac:dyDescent="0.15">
      <c r="A126" t="s">
        <v>72</v>
      </c>
      <c r="B126" t="s">
        <v>2695</v>
      </c>
      <c r="C126" t="s">
        <v>74</v>
      </c>
      <c r="D126" t="s">
        <v>74</v>
      </c>
      <c r="E126" t="s">
        <v>74</v>
      </c>
      <c r="F126" t="s">
        <v>2696</v>
      </c>
      <c r="G126" t="s">
        <v>74</v>
      </c>
      <c r="H126" t="s">
        <v>74</v>
      </c>
      <c r="I126" t="s">
        <v>2697</v>
      </c>
      <c r="J126" t="s">
        <v>2627</v>
      </c>
      <c r="K126" t="s">
        <v>74</v>
      </c>
      <c r="L126" t="s">
        <v>74</v>
      </c>
      <c r="M126" t="s">
        <v>78</v>
      </c>
      <c r="N126" t="s">
        <v>79</v>
      </c>
      <c r="O126" t="s">
        <v>74</v>
      </c>
      <c r="P126" t="s">
        <v>74</v>
      </c>
      <c r="Q126" t="s">
        <v>74</v>
      </c>
      <c r="R126" t="s">
        <v>74</v>
      </c>
      <c r="S126" t="s">
        <v>74</v>
      </c>
      <c r="T126" t="s">
        <v>2698</v>
      </c>
      <c r="U126" t="s">
        <v>2699</v>
      </c>
      <c r="V126" t="s">
        <v>2700</v>
      </c>
      <c r="W126" t="s">
        <v>2701</v>
      </c>
      <c r="X126" t="s">
        <v>2702</v>
      </c>
      <c r="Y126" t="s">
        <v>2703</v>
      </c>
      <c r="Z126" t="s">
        <v>2704</v>
      </c>
      <c r="AA126" t="s">
        <v>2705</v>
      </c>
      <c r="AB126" t="s">
        <v>2706</v>
      </c>
      <c r="AC126" t="s">
        <v>2707</v>
      </c>
      <c r="AD126" t="s">
        <v>2708</v>
      </c>
      <c r="AE126" t="s">
        <v>2709</v>
      </c>
      <c r="AF126" t="s">
        <v>74</v>
      </c>
      <c r="AG126">
        <v>30</v>
      </c>
      <c r="AH126">
        <v>17</v>
      </c>
      <c r="AI126">
        <v>20</v>
      </c>
      <c r="AJ126">
        <v>3</v>
      </c>
      <c r="AK126">
        <v>18</v>
      </c>
      <c r="AL126" t="s">
        <v>753</v>
      </c>
      <c r="AM126" t="s">
        <v>124</v>
      </c>
      <c r="AN126" t="s">
        <v>754</v>
      </c>
      <c r="AO126" t="s">
        <v>2640</v>
      </c>
      <c r="AP126" t="s">
        <v>2641</v>
      </c>
      <c r="AQ126" t="s">
        <v>74</v>
      </c>
      <c r="AR126" t="s">
        <v>2642</v>
      </c>
      <c r="AS126" t="s">
        <v>2643</v>
      </c>
      <c r="AT126" t="s">
        <v>1791</v>
      </c>
      <c r="AU126">
        <v>2014</v>
      </c>
      <c r="AV126">
        <v>8</v>
      </c>
      <c r="AW126">
        <v>3</v>
      </c>
      <c r="AX126" t="s">
        <v>74</v>
      </c>
      <c r="AY126" t="s">
        <v>74</v>
      </c>
      <c r="AZ126" t="s">
        <v>74</v>
      </c>
      <c r="BA126" t="s">
        <v>74</v>
      </c>
      <c r="BB126">
        <v>306</v>
      </c>
      <c r="BC126">
        <v>313</v>
      </c>
      <c r="BD126" t="s">
        <v>74</v>
      </c>
      <c r="BE126" t="s">
        <v>2710</v>
      </c>
      <c r="BF126" t="str">
        <f>HYPERLINK("http://dx.doi.org/10.1016/j.polar.2014.04.002","http://dx.doi.org/10.1016/j.polar.2014.04.002")</f>
        <v>http://dx.doi.org/10.1016/j.polar.2014.04.002</v>
      </c>
      <c r="BG126" t="s">
        <v>74</v>
      </c>
      <c r="BH126" t="s">
        <v>74</v>
      </c>
      <c r="BI126">
        <v>8</v>
      </c>
      <c r="BJ126" t="s">
        <v>2645</v>
      </c>
      <c r="BK126" t="s">
        <v>102</v>
      </c>
      <c r="BL126" t="s">
        <v>2132</v>
      </c>
      <c r="BM126" t="s">
        <v>2646</v>
      </c>
      <c r="BN126" t="s">
        <v>74</v>
      </c>
      <c r="BO126" t="s">
        <v>289</v>
      </c>
      <c r="BP126" t="s">
        <v>74</v>
      </c>
      <c r="BQ126" t="s">
        <v>74</v>
      </c>
      <c r="BR126" t="s">
        <v>105</v>
      </c>
      <c r="BS126" t="s">
        <v>2711</v>
      </c>
      <c r="BT126" t="str">
        <f>HYPERLINK("https%3A%2F%2Fwww.webofscience.com%2Fwos%2Fwoscc%2Ffull-record%2FWOS:000341793800009","View Full Record in Web of Science")</f>
        <v>View Full Record in Web of Science</v>
      </c>
    </row>
    <row r="127" spans="1:72" x14ac:dyDescent="0.15">
      <c r="A127" t="s">
        <v>72</v>
      </c>
      <c r="B127" t="s">
        <v>2712</v>
      </c>
      <c r="C127" t="s">
        <v>74</v>
      </c>
      <c r="D127" t="s">
        <v>74</v>
      </c>
      <c r="E127" t="s">
        <v>74</v>
      </c>
      <c r="F127" t="s">
        <v>2713</v>
      </c>
      <c r="G127" t="s">
        <v>74</v>
      </c>
      <c r="H127" t="s">
        <v>74</v>
      </c>
      <c r="I127" t="s">
        <v>2714</v>
      </c>
      <c r="J127" t="s">
        <v>1819</v>
      </c>
      <c r="K127" t="s">
        <v>74</v>
      </c>
      <c r="L127" t="s">
        <v>74</v>
      </c>
      <c r="M127" t="s">
        <v>78</v>
      </c>
      <c r="N127" t="s">
        <v>79</v>
      </c>
      <c r="O127" t="s">
        <v>74</v>
      </c>
      <c r="P127" t="s">
        <v>74</v>
      </c>
      <c r="Q127" t="s">
        <v>74</v>
      </c>
      <c r="R127" t="s">
        <v>74</v>
      </c>
      <c r="S127" t="s">
        <v>74</v>
      </c>
      <c r="T127" t="s">
        <v>2715</v>
      </c>
      <c r="U127" t="s">
        <v>2716</v>
      </c>
      <c r="V127" t="s">
        <v>2717</v>
      </c>
      <c r="W127" t="s">
        <v>2718</v>
      </c>
      <c r="X127" t="s">
        <v>2719</v>
      </c>
      <c r="Y127" t="s">
        <v>2720</v>
      </c>
      <c r="Z127" t="s">
        <v>2721</v>
      </c>
      <c r="AA127" t="s">
        <v>2722</v>
      </c>
      <c r="AB127" t="s">
        <v>2723</v>
      </c>
      <c r="AC127" t="s">
        <v>2724</v>
      </c>
      <c r="AD127" t="s">
        <v>2725</v>
      </c>
      <c r="AE127" t="s">
        <v>2726</v>
      </c>
      <c r="AF127" t="s">
        <v>74</v>
      </c>
      <c r="AG127">
        <v>29</v>
      </c>
      <c r="AH127">
        <v>0</v>
      </c>
      <c r="AI127">
        <v>0</v>
      </c>
      <c r="AJ127">
        <v>0</v>
      </c>
      <c r="AK127">
        <v>12</v>
      </c>
      <c r="AL127" t="s">
        <v>224</v>
      </c>
      <c r="AM127" t="s">
        <v>576</v>
      </c>
      <c r="AN127" t="s">
        <v>778</v>
      </c>
      <c r="AO127" t="s">
        <v>1832</v>
      </c>
      <c r="AP127" t="s">
        <v>1833</v>
      </c>
      <c r="AQ127" t="s">
        <v>74</v>
      </c>
      <c r="AR127" t="s">
        <v>1834</v>
      </c>
      <c r="AS127" t="s">
        <v>1835</v>
      </c>
      <c r="AT127" t="s">
        <v>1791</v>
      </c>
      <c r="AU127">
        <v>2014</v>
      </c>
      <c r="AV127">
        <v>33</v>
      </c>
      <c r="AW127">
        <v>9</v>
      </c>
      <c r="AX127" t="s">
        <v>74</v>
      </c>
      <c r="AY127" t="s">
        <v>74</v>
      </c>
      <c r="AZ127" t="s">
        <v>74</v>
      </c>
      <c r="BA127" t="s">
        <v>74</v>
      </c>
      <c r="BB127">
        <v>12</v>
      </c>
      <c r="BC127">
        <v>24</v>
      </c>
      <c r="BD127" t="s">
        <v>74</v>
      </c>
      <c r="BE127" t="s">
        <v>2727</v>
      </c>
      <c r="BF127" t="str">
        <f>HYPERLINK("http://dx.doi.org/10.1007/s13131-014-0513-7","http://dx.doi.org/10.1007/s13131-014-0513-7")</f>
        <v>http://dx.doi.org/10.1007/s13131-014-0513-7</v>
      </c>
      <c r="BG127" t="s">
        <v>74</v>
      </c>
      <c r="BH127" t="s">
        <v>74</v>
      </c>
      <c r="BI127">
        <v>13</v>
      </c>
      <c r="BJ127" t="s">
        <v>152</v>
      </c>
      <c r="BK127" t="s">
        <v>102</v>
      </c>
      <c r="BL127" t="s">
        <v>152</v>
      </c>
      <c r="BM127" t="s">
        <v>1837</v>
      </c>
      <c r="BN127" t="s">
        <v>74</v>
      </c>
      <c r="BO127" t="s">
        <v>74</v>
      </c>
      <c r="BP127" t="s">
        <v>74</v>
      </c>
      <c r="BQ127" t="s">
        <v>74</v>
      </c>
      <c r="BR127" t="s">
        <v>105</v>
      </c>
      <c r="BS127" t="s">
        <v>2728</v>
      </c>
      <c r="BT127" t="str">
        <f>HYPERLINK("https%3A%2F%2Fwww.webofscience.com%2Fwos%2Fwoscc%2Ffull-record%2FWOS:000341334500002","View Full Record in Web of Science")</f>
        <v>View Full Record in Web of Science</v>
      </c>
    </row>
    <row r="128" spans="1:72" x14ac:dyDescent="0.15">
      <c r="A128" t="s">
        <v>72</v>
      </c>
      <c r="B128" t="s">
        <v>2729</v>
      </c>
      <c r="C128" t="s">
        <v>74</v>
      </c>
      <c r="D128" t="s">
        <v>74</v>
      </c>
      <c r="E128" t="s">
        <v>74</v>
      </c>
      <c r="F128" t="s">
        <v>2730</v>
      </c>
      <c r="G128" t="s">
        <v>74</v>
      </c>
      <c r="H128" t="s">
        <v>74</v>
      </c>
      <c r="I128" t="s">
        <v>2731</v>
      </c>
      <c r="J128" t="s">
        <v>2732</v>
      </c>
      <c r="K128" t="s">
        <v>74</v>
      </c>
      <c r="L128" t="s">
        <v>74</v>
      </c>
      <c r="M128" t="s">
        <v>78</v>
      </c>
      <c r="N128" t="s">
        <v>79</v>
      </c>
      <c r="O128" t="s">
        <v>74</v>
      </c>
      <c r="P128" t="s">
        <v>74</v>
      </c>
      <c r="Q128" t="s">
        <v>74</v>
      </c>
      <c r="R128" t="s">
        <v>74</v>
      </c>
      <c r="S128" t="s">
        <v>74</v>
      </c>
      <c r="T128" t="s">
        <v>2733</v>
      </c>
      <c r="U128" t="s">
        <v>2734</v>
      </c>
      <c r="V128" t="s">
        <v>2735</v>
      </c>
      <c r="W128" t="s">
        <v>2736</v>
      </c>
      <c r="X128" t="s">
        <v>2737</v>
      </c>
      <c r="Y128" t="s">
        <v>2738</v>
      </c>
      <c r="Z128" t="s">
        <v>2739</v>
      </c>
      <c r="AA128" t="s">
        <v>2740</v>
      </c>
      <c r="AB128" t="s">
        <v>2741</v>
      </c>
      <c r="AC128" t="s">
        <v>2742</v>
      </c>
      <c r="AD128" t="s">
        <v>2743</v>
      </c>
      <c r="AE128" t="s">
        <v>2744</v>
      </c>
      <c r="AF128" t="s">
        <v>74</v>
      </c>
      <c r="AG128">
        <v>123</v>
      </c>
      <c r="AH128">
        <v>33</v>
      </c>
      <c r="AI128">
        <v>34</v>
      </c>
      <c r="AJ128">
        <v>0</v>
      </c>
      <c r="AK128">
        <v>42</v>
      </c>
      <c r="AL128" t="s">
        <v>224</v>
      </c>
      <c r="AM128" t="s">
        <v>576</v>
      </c>
      <c r="AN128" t="s">
        <v>577</v>
      </c>
      <c r="AO128" t="s">
        <v>2745</v>
      </c>
      <c r="AP128" t="s">
        <v>2746</v>
      </c>
      <c r="AQ128" t="s">
        <v>74</v>
      </c>
      <c r="AR128" t="s">
        <v>2747</v>
      </c>
      <c r="AS128" t="s">
        <v>2748</v>
      </c>
      <c r="AT128" t="s">
        <v>1791</v>
      </c>
      <c r="AU128">
        <v>2014</v>
      </c>
      <c r="AV128">
        <v>43</v>
      </c>
      <c r="AW128" t="s">
        <v>2749</v>
      </c>
      <c r="AX128" t="s">
        <v>74</v>
      </c>
      <c r="AY128" t="s">
        <v>74</v>
      </c>
      <c r="AZ128" t="s">
        <v>74</v>
      </c>
      <c r="BA128" t="s">
        <v>74</v>
      </c>
      <c r="BB128">
        <v>1197</v>
      </c>
      <c r="BC128">
        <v>1219</v>
      </c>
      <c r="BD128" t="s">
        <v>74</v>
      </c>
      <c r="BE128" t="s">
        <v>2750</v>
      </c>
      <c r="BF128" t="str">
        <f>HYPERLINK("http://dx.doi.org/10.1007/s00382-013-1899-1","http://dx.doi.org/10.1007/s00382-013-1899-1")</f>
        <v>http://dx.doi.org/10.1007/s00382-013-1899-1</v>
      </c>
      <c r="BG128" t="s">
        <v>74</v>
      </c>
      <c r="BH128" t="s">
        <v>74</v>
      </c>
      <c r="BI128">
        <v>23</v>
      </c>
      <c r="BJ128" t="s">
        <v>177</v>
      </c>
      <c r="BK128" t="s">
        <v>102</v>
      </c>
      <c r="BL128" t="s">
        <v>177</v>
      </c>
      <c r="BM128" t="s">
        <v>2751</v>
      </c>
      <c r="BN128" t="s">
        <v>74</v>
      </c>
      <c r="BO128" t="s">
        <v>74</v>
      </c>
      <c r="BP128" t="s">
        <v>74</v>
      </c>
      <c r="BQ128" t="s">
        <v>74</v>
      </c>
      <c r="BR128" t="s">
        <v>105</v>
      </c>
      <c r="BS128" t="s">
        <v>2752</v>
      </c>
      <c r="BT128" t="str">
        <f>HYPERLINK("https%3A%2F%2Fwww.webofscience.com%2Fwos%2Fwoscc%2Ffull-record%2FWOS:000341369700004","View Full Record in Web of Science")</f>
        <v>View Full Record in Web of Science</v>
      </c>
    </row>
    <row r="129" spans="1:72" x14ac:dyDescent="0.15">
      <c r="A129" t="s">
        <v>72</v>
      </c>
      <c r="B129" t="s">
        <v>2753</v>
      </c>
      <c r="C129" t="s">
        <v>74</v>
      </c>
      <c r="D129" t="s">
        <v>74</v>
      </c>
      <c r="E129" t="s">
        <v>74</v>
      </c>
      <c r="F129" t="s">
        <v>2754</v>
      </c>
      <c r="G129" t="s">
        <v>74</v>
      </c>
      <c r="H129" t="s">
        <v>74</v>
      </c>
      <c r="I129" t="s">
        <v>2755</v>
      </c>
      <c r="J129" t="s">
        <v>2756</v>
      </c>
      <c r="K129" t="s">
        <v>74</v>
      </c>
      <c r="L129" t="s">
        <v>74</v>
      </c>
      <c r="M129" t="s">
        <v>78</v>
      </c>
      <c r="N129" t="s">
        <v>79</v>
      </c>
      <c r="O129" t="s">
        <v>74</v>
      </c>
      <c r="P129" t="s">
        <v>74</v>
      </c>
      <c r="Q129" t="s">
        <v>74</v>
      </c>
      <c r="R129" t="s">
        <v>74</v>
      </c>
      <c r="S129" t="s">
        <v>74</v>
      </c>
      <c r="T129" t="s">
        <v>2757</v>
      </c>
      <c r="U129" t="s">
        <v>2758</v>
      </c>
      <c r="V129" t="s">
        <v>2759</v>
      </c>
      <c r="W129" t="s">
        <v>2760</v>
      </c>
      <c r="X129" t="s">
        <v>2761</v>
      </c>
      <c r="Y129" t="s">
        <v>2762</v>
      </c>
      <c r="Z129" t="s">
        <v>2763</v>
      </c>
      <c r="AA129" t="s">
        <v>2764</v>
      </c>
      <c r="AB129" t="s">
        <v>2765</v>
      </c>
      <c r="AC129" t="s">
        <v>2766</v>
      </c>
      <c r="AD129" t="s">
        <v>2767</v>
      </c>
      <c r="AE129" t="s">
        <v>2768</v>
      </c>
      <c r="AF129" t="s">
        <v>74</v>
      </c>
      <c r="AG129">
        <v>57</v>
      </c>
      <c r="AH129">
        <v>28</v>
      </c>
      <c r="AI129">
        <v>30</v>
      </c>
      <c r="AJ129">
        <v>0</v>
      </c>
      <c r="AK129">
        <v>20</v>
      </c>
      <c r="AL129" t="s">
        <v>2306</v>
      </c>
      <c r="AM129" t="s">
        <v>576</v>
      </c>
      <c r="AN129" t="s">
        <v>2307</v>
      </c>
      <c r="AO129" t="s">
        <v>2769</v>
      </c>
      <c r="AP129" t="s">
        <v>2770</v>
      </c>
      <c r="AQ129" t="s">
        <v>74</v>
      </c>
      <c r="AR129" t="s">
        <v>2771</v>
      </c>
      <c r="AS129" t="s">
        <v>2772</v>
      </c>
      <c r="AT129" t="s">
        <v>1791</v>
      </c>
      <c r="AU129">
        <v>2014</v>
      </c>
      <c r="AV129">
        <v>47</v>
      </c>
      <c r="AW129">
        <v>9</v>
      </c>
      <c r="AX129" t="s">
        <v>74</v>
      </c>
      <c r="AY129" t="s">
        <v>74</v>
      </c>
      <c r="AZ129" t="s">
        <v>74</v>
      </c>
      <c r="BA129" t="s">
        <v>74</v>
      </c>
      <c r="BB129">
        <v>845</v>
      </c>
      <c r="BC129">
        <v>862</v>
      </c>
      <c r="BD129" t="s">
        <v>74</v>
      </c>
      <c r="BE129" t="s">
        <v>2773</v>
      </c>
      <c r="BF129" t="str">
        <f>HYPERLINK("http://dx.doi.org/10.1134/S1064229314090099","http://dx.doi.org/10.1134/S1064229314090099")</f>
        <v>http://dx.doi.org/10.1134/S1064229314090099</v>
      </c>
      <c r="BG129" t="s">
        <v>74</v>
      </c>
      <c r="BH129" t="s">
        <v>74</v>
      </c>
      <c r="BI129">
        <v>18</v>
      </c>
      <c r="BJ129" t="s">
        <v>2774</v>
      </c>
      <c r="BK129" t="s">
        <v>102</v>
      </c>
      <c r="BL129" t="s">
        <v>2775</v>
      </c>
      <c r="BM129" t="s">
        <v>2776</v>
      </c>
      <c r="BN129" t="s">
        <v>74</v>
      </c>
      <c r="BO129" t="s">
        <v>74</v>
      </c>
      <c r="BP129" t="s">
        <v>74</v>
      </c>
      <c r="BQ129" t="s">
        <v>74</v>
      </c>
      <c r="BR129" t="s">
        <v>105</v>
      </c>
      <c r="BS129" t="s">
        <v>2777</v>
      </c>
      <c r="BT129" t="str">
        <f>HYPERLINK("https%3A%2F%2Fwww.webofscience.com%2Fwos%2Fwoscc%2Ffull-record%2FWOS:000341595300001","View Full Record in Web of Science")</f>
        <v>View Full Record in Web of Science</v>
      </c>
    </row>
    <row r="130" spans="1:72" x14ac:dyDescent="0.15">
      <c r="A130" t="s">
        <v>72</v>
      </c>
      <c r="B130" t="s">
        <v>2778</v>
      </c>
      <c r="C130" t="s">
        <v>74</v>
      </c>
      <c r="D130" t="s">
        <v>74</v>
      </c>
      <c r="E130" t="s">
        <v>74</v>
      </c>
      <c r="F130" t="s">
        <v>2779</v>
      </c>
      <c r="G130" t="s">
        <v>74</v>
      </c>
      <c r="H130" t="s">
        <v>74</v>
      </c>
      <c r="I130" t="s">
        <v>2780</v>
      </c>
      <c r="J130" t="s">
        <v>2781</v>
      </c>
      <c r="K130" t="s">
        <v>74</v>
      </c>
      <c r="L130" t="s">
        <v>74</v>
      </c>
      <c r="M130" t="s">
        <v>78</v>
      </c>
      <c r="N130" t="s">
        <v>79</v>
      </c>
      <c r="O130" t="s">
        <v>74</v>
      </c>
      <c r="P130" t="s">
        <v>74</v>
      </c>
      <c r="Q130" t="s">
        <v>74</v>
      </c>
      <c r="R130" t="s">
        <v>74</v>
      </c>
      <c r="S130" t="s">
        <v>74</v>
      </c>
      <c r="T130" t="s">
        <v>74</v>
      </c>
      <c r="U130" t="s">
        <v>2782</v>
      </c>
      <c r="V130" t="s">
        <v>2783</v>
      </c>
      <c r="W130" t="s">
        <v>2784</v>
      </c>
      <c r="X130" t="s">
        <v>2785</v>
      </c>
      <c r="Y130" t="s">
        <v>2786</v>
      </c>
      <c r="Z130" t="s">
        <v>2787</v>
      </c>
      <c r="AA130" t="s">
        <v>2788</v>
      </c>
      <c r="AB130" t="s">
        <v>2789</v>
      </c>
      <c r="AC130" t="s">
        <v>2790</v>
      </c>
      <c r="AD130" t="s">
        <v>2791</v>
      </c>
      <c r="AE130" t="s">
        <v>2792</v>
      </c>
      <c r="AF130" t="s">
        <v>74</v>
      </c>
      <c r="AG130">
        <v>17</v>
      </c>
      <c r="AH130">
        <v>24</v>
      </c>
      <c r="AI130">
        <v>26</v>
      </c>
      <c r="AJ130">
        <v>0</v>
      </c>
      <c r="AK130">
        <v>25</v>
      </c>
      <c r="AL130" t="s">
        <v>280</v>
      </c>
      <c r="AM130" t="s">
        <v>281</v>
      </c>
      <c r="AN130" t="s">
        <v>282</v>
      </c>
      <c r="AO130" t="s">
        <v>2793</v>
      </c>
      <c r="AP130" t="s">
        <v>2794</v>
      </c>
      <c r="AQ130" t="s">
        <v>74</v>
      </c>
      <c r="AR130" t="s">
        <v>2795</v>
      </c>
      <c r="AS130" t="s">
        <v>2796</v>
      </c>
      <c r="AT130" t="s">
        <v>1791</v>
      </c>
      <c r="AU130">
        <v>2014</v>
      </c>
      <c r="AV130">
        <v>31</v>
      </c>
      <c r="AW130">
        <v>9</v>
      </c>
      <c r="AX130" t="s">
        <v>74</v>
      </c>
      <c r="AY130" t="s">
        <v>74</v>
      </c>
      <c r="AZ130" t="s">
        <v>74</v>
      </c>
      <c r="BA130" t="s">
        <v>74</v>
      </c>
      <c r="BB130">
        <v>1964</v>
      </c>
      <c r="BC130">
        <v>1981</v>
      </c>
      <c r="BD130" t="s">
        <v>74</v>
      </c>
      <c r="BE130" t="s">
        <v>2797</v>
      </c>
      <c r="BF130" t="str">
        <f>HYPERLINK("http://dx.doi.org/10.1175/JTECH-D-14-00008.1","http://dx.doi.org/10.1175/JTECH-D-14-00008.1")</f>
        <v>http://dx.doi.org/10.1175/JTECH-D-14-00008.1</v>
      </c>
      <c r="BG130" t="s">
        <v>74</v>
      </c>
      <c r="BH130" t="s">
        <v>74</v>
      </c>
      <c r="BI130">
        <v>18</v>
      </c>
      <c r="BJ130" t="s">
        <v>2798</v>
      </c>
      <c r="BK130" t="s">
        <v>102</v>
      </c>
      <c r="BL130" t="s">
        <v>2799</v>
      </c>
      <c r="BM130" t="s">
        <v>2800</v>
      </c>
      <c r="BN130" t="s">
        <v>74</v>
      </c>
      <c r="BO130" t="s">
        <v>289</v>
      </c>
      <c r="BP130" t="s">
        <v>74</v>
      </c>
      <c r="BQ130" t="s">
        <v>74</v>
      </c>
      <c r="BR130" t="s">
        <v>105</v>
      </c>
      <c r="BS130" t="s">
        <v>2801</v>
      </c>
      <c r="BT130" t="str">
        <f>HYPERLINK("https%3A%2F%2Fwww.webofscience.com%2Fwos%2Fwoscc%2Ffull-record%2FWOS:000341342100007","View Full Record in Web of Science")</f>
        <v>View Full Record in Web of Science</v>
      </c>
    </row>
    <row r="131" spans="1:72" x14ac:dyDescent="0.15">
      <c r="A131" t="s">
        <v>72</v>
      </c>
      <c r="B131" t="s">
        <v>2802</v>
      </c>
      <c r="C131" t="s">
        <v>74</v>
      </c>
      <c r="D131" t="s">
        <v>74</v>
      </c>
      <c r="E131" t="s">
        <v>74</v>
      </c>
      <c r="F131" t="s">
        <v>2803</v>
      </c>
      <c r="G131" t="s">
        <v>74</v>
      </c>
      <c r="H131" t="s">
        <v>74</v>
      </c>
      <c r="I131" t="s">
        <v>2804</v>
      </c>
      <c r="J131" t="s">
        <v>2781</v>
      </c>
      <c r="K131" t="s">
        <v>74</v>
      </c>
      <c r="L131" t="s">
        <v>74</v>
      </c>
      <c r="M131" t="s">
        <v>78</v>
      </c>
      <c r="N131" t="s">
        <v>79</v>
      </c>
      <c r="O131" t="s">
        <v>74</v>
      </c>
      <c r="P131" t="s">
        <v>74</v>
      </c>
      <c r="Q131" t="s">
        <v>74</v>
      </c>
      <c r="R131" t="s">
        <v>74</v>
      </c>
      <c r="S131" t="s">
        <v>74</v>
      </c>
      <c r="T131" t="s">
        <v>74</v>
      </c>
      <c r="U131" t="s">
        <v>2805</v>
      </c>
      <c r="V131" t="s">
        <v>2806</v>
      </c>
      <c r="W131" t="s">
        <v>2807</v>
      </c>
      <c r="X131" t="s">
        <v>2808</v>
      </c>
      <c r="Y131" t="s">
        <v>2809</v>
      </c>
      <c r="Z131" t="s">
        <v>2810</v>
      </c>
      <c r="AA131" t="s">
        <v>2811</v>
      </c>
      <c r="AB131" t="s">
        <v>2812</v>
      </c>
      <c r="AC131" t="s">
        <v>2813</v>
      </c>
      <c r="AD131" t="s">
        <v>2814</v>
      </c>
      <c r="AE131" t="s">
        <v>2815</v>
      </c>
      <c r="AF131" t="s">
        <v>74</v>
      </c>
      <c r="AG131">
        <v>23</v>
      </c>
      <c r="AH131">
        <v>3</v>
      </c>
      <c r="AI131">
        <v>3</v>
      </c>
      <c r="AJ131">
        <v>1</v>
      </c>
      <c r="AK131">
        <v>8</v>
      </c>
      <c r="AL131" t="s">
        <v>280</v>
      </c>
      <c r="AM131" t="s">
        <v>281</v>
      </c>
      <c r="AN131" t="s">
        <v>282</v>
      </c>
      <c r="AO131" t="s">
        <v>2793</v>
      </c>
      <c r="AP131" t="s">
        <v>2794</v>
      </c>
      <c r="AQ131" t="s">
        <v>74</v>
      </c>
      <c r="AR131" t="s">
        <v>2795</v>
      </c>
      <c r="AS131" t="s">
        <v>2796</v>
      </c>
      <c r="AT131" t="s">
        <v>1791</v>
      </c>
      <c r="AU131">
        <v>2014</v>
      </c>
      <c r="AV131">
        <v>31</v>
      </c>
      <c r="AW131">
        <v>9</v>
      </c>
      <c r="AX131" t="s">
        <v>74</v>
      </c>
      <c r="AY131" t="s">
        <v>74</v>
      </c>
      <c r="AZ131" t="s">
        <v>74</v>
      </c>
      <c r="BA131" t="s">
        <v>74</v>
      </c>
      <c r="BB131">
        <v>2008</v>
      </c>
      <c r="BC131">
        <v>2014</v>
      </c>
      <c r="BD131" t="s">
        <v>74</v>
      </c>
      <c r="BE131" t="s">
        <v>2816</v>
      </c>
      <c r="BF131" t="str">
        <f>HYPERLINK("http://dx.doi.org/10.1175/JTECH-D-13-00195.1","http://dx.doi.org/10.1175/JTECH-D-13-00195.1")</f>
        <v>http://dx.doi.org/10.1175/JTECH-D-13-00195.1</v>
      </c>
      <c r="BG131" t="s">
        <v>74</v>
      </c>
      <c r="BH131" t="s">
        <v>74</v>
      </c>
      <c r="BI131">
        <v>7</v>
      </c>
      <c r="BJ131" t="s">
        <v>2798</v>
      </c>
      <c r="BK131" t="s">
        <v>102</v>
      </c>
      <c r="BL131" t="s">
        <v>2799</v>
      </c>
      <c r="BM131" t="s">
        <v>2800</v>
      </c>
      <c r="BN131" t="s">
        <v>74</v>
      </c>
      <c r="BO131" t="s">
        <v>179</v>
      </c>
      <c r="BP131" t="s">
        <v>74</v>
      </c>
      <c r="BQ131" t="s">
        <v>74</v>
      </c>
      <c r="BR131" t="s">
        <v>105</v>
      </c>
      <c r="BS131" t="s">
        <v>2817</v>
      </c>
      <c r="BT131" t="str">
        <f>HYPERLINK("https%3A%2F%2Fwww.webofscience.com%2Fwos%2Fwoscc%2Ffull-record%2FWOS:000341342100010","View Full Record in Web of Science")</f>
        <v>View Full Record in Web of Science</v>
      </c>
    </row>
    <row r="132" spans="1:72" x14ac:dyDescent="0.15">
      <c r="A132" t="s">
        <v>72</v>
      </c>
      <c r="B132" t="s">
        <v>2818</v>
      </c>
      <c r="C132" t="s">
        <v>74</v>
      </c>
      <c r="D132" t="s">
        <v>74</v>
      </c>
      <c r="E132" t="s">
        <v>74</v>
      </c>
      <c r="F132" t="s">
        <v>2819</v>
      </c>
      <c r="G132" t="s">
        <v>74</v>
      </c>
      <c r="H132" t="s">
        <v>74</v>
      </c>
      <c r="I132" t="s">
        <v>2820</v>
      </c>
      <c r="J132" t="s">
        <v>432</v>
      </c>
      <c r="K132" t="s">
        <v>74</v>
      </c>
      <c r="L132" t="s">
        <v>74</v>
      </c>
      <c r="M132" t="s">
        <v>78</v>
      </c>
      <c r="N132" t="s">
        <v>79</v>
      </c>
      <c r="O132" t="s">
        <v>74</v>
      </c>
      <c r="P132" t="s">
        <v>74</v>
      </c>
      <c r="Q132" t="s">
        <v>74</v>
      </c>
      <c r="R132" t="s">
        <v>74</v>
      </c>
      <c r="S132" t="s">
        <v>74</v>
      </c>
      <c r="T132" t="s">
        <v>74</v>
      </c>
      <c r="U132" t="s">
        <v>2821</v>
      </c>
      <c r="V132" t="s">
        <v>2822</v>
      </c>
      <c r="W132" t="s">
        <v>2823</v>
      </c>
      <c r="X132" t="s">
        <v>2824</v>
      </c>
      <c r="Y132" t="s">
        <v>2825</v>
      </c>
      <c r="Z132" t="s">
        <v>2826</v>
      </c>
      <c r="AA132" t="s">
        <v>2827</v>
      </c>
      <c r="AB132" t="s">
        <v>2828</v>
      </c>
      <c r="AC132" t="s">
        <v>2829</v>
      </c>
      <c r="AD132" t="s">
        <v>2830</v>
      </c>
      <c r="AE132" t="s">
        <v>2831</v>
      </c>
      <c r="AF132" t="s">
        <v>74</v>
      </c>
      <c r="AG132">
        <v>76</v>
      </c>
      <c r="AH132">
        <v>17</v>
      </c>
      <c r="AI132">
        <v>20</v>
      </c>
      <c r="AJ132">
        <v>0</v>
      </c>
      <c r="AK132">
        <v>11</v>
      </c>
      <c r="AL132" t="s">
        <v>280</v>
      </c>
      <c r="AM132" t="s">
        <v>281</v>
      </c>
      <c r="AN132" t="s">
        <v>282</v>
      </c>
      <c r="AO132" t="s">
        <v>444</v>
      </c>
      <c r="AP132" t="s">
        <v>445</v>
      </c>
      <c r="AQ132" t="s">
        <v>74</v>
      </c>
      <c r="AR132" t="s">
        <v>446</v>
      </c>
      <c r="AS132" t="s">
        <v>447</v>
      </c>
      <c r="AT132" t="s">
        <v>1791</v>
      </c>
      <c r="AU132">
        <v>2014</v>
      </c>
      <c r="AV132">
        <v>44</v>
      </c>
      <c r="AW132">
        <v>9</v>
      </c>
      <c r="AX132" t="s">
        <v>74</v>
      </c>
      <c r="AY132" t="s">
        <v>74</v>
      </c>
      <c r="AZ132" t="s">
        <v>74</v>
      </c>
      <c r="BA132" t="s">
        <v>74</v>
      </c>
      <c r="BB132">
        <v>2273</v>
      </c>
      <c r="BC132">
        <v>2291</v>
      </c>
      <c r="BD132" t="s">
        <v>74</v>
      </c>
      <c r="BE132" t="s">
        <v>2832</v>
      </c>
      <c r="BF132" t="str">
        <f>HYPERLINK("http://dx.doi.org/10.1175/JPO-D-13-0255.1","http://dx.doi.org/10.1175/JPO-D-13-0255.1")</f>
        <v>http://dx.doi.org/10.1175/JPO-D-13-0255.1</v>
      </c>
      <c r="BG132" t="s">
        <v>74</v>
      </c>
      <c r="BH132" t="s">
        <v>74</v>
      </c>
      <c r="BI132">
        <v>19</v>
      </c>
      <c r="BJ132" t="s">
        <v>152</v>
      </c>
      <c r="BK132" t="s">
        <v>102</v>
      </c>
      <c r="BL132" t="s">
        <v>152</v>
      </c>
      <c r="BM132" t="s">
        <v>2833</v>
      </c>
      <c r="BN132" t="s">
        <v>74</v>
      </c>
      <c r="BO132" t="s">
        <v>179</v>
      </c>
      <c r="BP132" t="s">
        <v>74</v>
      </c>
      <c r="BQ132" t="s">
        <v>74</v>
      </c>
      <c r="BR132" t="s">
        <v>105</v>
      </c>
      <c r="BS132" t="s">
        <v>2834</v>
      </c>
      <c r="BT132" t="str">
        <f>HYPERLINK("https%3A%2F%2Fwww.webofscience.com%2Fwos%2Fwoscc%2Ffull-record%2FWOS:000341334300002","View Full Record in Web of Science")</f>
        <v>View Full Record in Web of Science</v>
      </c>
    </row>
    <row r="133" spans="1:72" x14ac:dyDescent="0.15">
      <c r="A133" t="s">
        <v>72</v>
      </c>
      <c r="B133" t="s">
        <v>2835</v>
      </c>
      <c r="C133" t="s">
        <v>74</v>
      </c>
      <c r="D133" t="s">
        <v>74</v>
      </c>
      <c r="E133" t="s">
        <v>74</v>
      </c>
      <c r="F133" t="s">
        <v>2836</v>
      </c>
      <c r="G133" t="s">
        <v>74</v>
      </c>
      <c r="H133" t="s">
        <v>74</v>
      </c>
      <c r="I133" t="s">
        <v>2837</v>
      </c>
      <c r="J133" t="s">
        <v>432</v>
      </c>
      <c r="K133" t="s">
        <v>74</v>
      </c>
      <c r="L133" t="s">
        <v>74</v>
      </c>
      <c r="M133" t="s">
        <v>78</v>
      </c>
      <c r="N133" t="s">
        <v>79</v>
      </c>
      <c r="O133" t="s">
        <v>74</v>
      </c>
      <c r="P133" t="s">
        <v>74</v>
      </c>
      <c r="Q133" t="s">
        <v>74</v>
      </c>
      <c r="R133" t="s">
        <v>74</v>
      </c>
      <c r="S133" t="s">
        <v>74</v>
      </c>
      <c r="T133" t="s">
        <v>74</v>
      </c>
      <c r="U133" t="s">
        <v>2838</v>
      </c>
      <c r="V133" t="s">
        <v>2839</v>
      </c>
      <c r="W133" t="s">
        <v>2840</v>
      </c>
      <c r="X133" t="s">
        <v>2841</v>
      </c>
      <c r="Y133" t="s">
        <v>2842</v>
      </c>
      <c r="Z133" t="s">
        <v>2843</v>
      </c>
      <c r="AA133" t="s">
        <v>2844</v>
      </c>
      <c r="AB133" t="s">
        <v>2845</v>
      </c>
      <c r="AC133" t="s">
        <v>2846</v>
      </c>
      <c r="AD133" t="s">
        <v>2847</v>
      </c>
      <c r="AE133" t="s">
        <v>2848</v>
      </c>
      <c r="AF133" t="s">
        <v>74</v>
      </c>
      <c r="AG133">
        <v>75</v>
      </c>
      <c r="AH133">
        <v>105</v>
      </c>
      <c r="AI133">
        <v>118</v>
      </c>
      <c r="AJ133">
        <v>4</v>
      </c>
      <c r="AK133">
        <v>44</v>
      </c>
      <c r="AL133" t="s">
        <v>280</v>
      </c>
      <c r="AM133" t="s">
        <v>281</v>
      </c>
      <c r="AN133" t="s">
        <v>282</v>
      </c>
      <c r="AO133" t="s">
        <v>444</v>
      </c>
      <c r="AP133" t="s">
        <v>445</v>
      </c>
      <c r="AQ133" t="s">
        <v>74</v>
      </c>
      <c r="AR133" t="s">
        <v>446</v>
      </c>
      <c r="AS133" t="s">
        <v>447</v>
      </c>
      <c r="AT133" t="s">
        <v>1791</v>
      </c>
      <c r="AU133">
        <v>2014</v>
      </c>
      <c r="AV133">
        <v>44</v>
      </c>
      <c r="AW133">
        <v>9</v>
      </c>
      <c r="AX133" t="s">
        <v>74</v>
      </c>
      <c r="AY133" t="s">
        <v>74</v>
      </c>
      <c r="AZ133" t="s">
        <v>74</v>
      </c>
      <c r="BA133" t="s">
        <v>74</v>
      </c>
      <c r="BB133">
        <v>2336</v>
      </c>
      <c r="BC133">
        <v>2352</v>
      </c>
      <c r="BD133" t="s">
        <v>74</v>
      </c>
      <c r="BE133" t="s">
        <v>2849</v>
      </c>
      <c r="BF133" t="str">
        <f>HYPERLINK("http://dx.doi.org/10.1175/JPO-D-14-0009.1","http://dx.doi.org/10.1175/JPO-D-14-0009.1")</f>
        <v>http://dx.doi.org/10.1175/JPO-D-14-0009.1</v>
      </c>
      <c r="BG133" t="s">
        <v>74</v>
      </c>
      <c r="BH133" t="s">
        <v>74</v>
      </c>
      <c r="BI133">
        <v>17</v>
      </c>
      <c r="BJ133" t="s">
        <v>152</v>
      </c>
      <c r="BK133" t="s">
        <v>102</v>
      </c>
      <c r="BL133" t="s">
        <v>152</v>
      </c>
      <c r="BM133" t="s">
        <v>2833</v>
      </c>
      <c r="BN133" t="s">
        <v>74</v>
      </c>
      <c r="BO133" t="s">
        <v>2850</v>
      </c>
      <c r="BP133" t="s">
        <v>74</v>
      </c>
      <c r="BQ133" t="s">
        <v>74</v>
      </c>
      <c r="BR133" t="s">
        <v>105</v>
      </c>
      <c r="BS133" t="s">
        <v>2851</v>
      </c>
      <c r="BT133" t="str">
        <f>HYPERLINK("https%3A%2F%2Fwww.webofscience.com%2Fwos%2Fwoscc%2Ffull-record%2FWOS:000341334300005","View Full Record in Web of Science")</f>
        <v>View Full Record in Web of Science</v>
      </c>
    </row>
    <row r="134" spans="1:72" x14ac:dyDescent="0.15">
      <c r="A134" t="s">
        <v>72</v>
      </c>
      <c r="B134" t="s">
        <v>2852</v>
      </c>
      <c r="C134" t="s">
        <v>74</v>
      </c>
      <c r="D134" t="s">
        <v>74</v>
      </c>
      <c r="E134" t="s">
        <v>74</v>
      </c>
      <c r="F134" t="s">
        <v>2853</v>
      </c>
      <c r="G134" t="s">
        <v>74</v>
      </c>
      <c r="H134" t="s">
        <v>74</v>
      </c>
      <c r="I134" t="s">
        <v>2854</v>
      </c>
      <c r="J134" t="s">
        <v>432</v>
      </c>
      <c r="K134" t="s">
        <v>74</v>
      </c>
      <c r="L134" t="s">
        <v>74</v>
      </c>
      <c r="M134" t="s">
        <v>78</v>
      </c>
      <c r="N134" t="s">
        <v>79</v>
      </c>
      <c r="O134" t="s">
        <v>74</v>
      </c>
      <c r="P134" t="s">
        <v>74</v>
      </c>
      <c r="Q134" t="s">
        <v>74</v>
      </c>
      <c r="R134" t="s">
        <v>74</v>
      </c>
      <c r="S134" t="s">
        <v>74</v>
      </c>
      <c r="T134" t="s">
        <v>74</v>
      </c>
      <c r="U134" t="s">
        <v>2855</v>
      </c>
      <c r="V134" t="s">
        <v>2856</v>
      </c>
      <c r="W134" t="s">
        <v>2857</v>
      </c>
      <c r="X134" t="s">
        <v>2858</v>
      </c>
      <c r="Y134" t="s">
        <v>2859</v>
      </c>
      <c r="Z134" t="s">
        <v>2860</v>
      </c>
      <c r="AA134" t="s">
        <v>74</v>
      </c>
      <c r="AB134" t="s">
        <v>2861</v>
      </c>
      <c r="AC134" t="s">
        <v>2862</v>
      </c>
      <c r="AD134" t="s">
        <v>2863</v>
      </c>
      <c r="AE134" t="s">
        <v>2864</v>
      </c>
      <c r="AF134" t="s">
        <v>74</v>
      </c>
      <c r="AG134">
        <v>52</v>
      </c>
      <c r="AH134">
        <v>17</v>
      </c>
      <c r="AI134">
        <v>24</v>
      </c>
      <c r="AJ134">
        <v>1</v>
      </c>
      <c r="AK134">
        <v>15</v>
      </c>
      <c r="AL134" t="s">
        <v>280</v>
      </c>
      <c r="AM134" t="s">
        <v>281</v>
      </c>
      <c r="AN134" t="s">
        <v>282</v>
      </c>
      <c r="AO134" t="s">
        <v>444</v>
      </c>
      <c r="AP134" t="s">
        <v>445</v>
      </c>
      <c r="AQ134" t="s">
        <v>74</v>
      </c>
      <c r="AR134" t="s">
        <v>446</v>
      </c>
      <c r="AS134" t="s">
        <v>447</v>
      </c>
      <c r="AT134" t="s">
        <v>1791</v>
      </c>
      <c r="AU134">
        <v>2014</v>
      </c>
      <c r="AV134">
        <v>44</v>
      </c>
      <c r="AW134">
        <v>9</v>
      </c>
      <c r="AX134" t="s">
        <v>74</v>
      </c>
      <c r="AY134" t="s">
        <v>74</v>
      </c>
      <c r="AZ134" t="s">
        <v>74</v>
      </c>
      <c r="BA134" t="s">
        <v>74</v>
      </c>
      <c r="BB134">
        <v>2353</v>
      </c>
      <c r="BC134">
        <v>2369</v>
      </c>
      <c r="BD134" t="s">
        <v>74</v>
      </c>
      <c r="BE134" t="s">
        <v>2865</v>
      </c>
      <c r="BF134" t="str">
        <f>HYPERLINK("http://dx.doi.org/10.1175/JPO-D-13-084.1","http://dx.doi.org/10.1175/JPO-D-13-084.1")</f>
        <v>http://dx.doi.org/10.1175/JPO-D-13-084.1</v>
      </c>
      <c r="BG134" t="s">
        <v>74</v>
      </c>
      <c r="BH134" t="s">
        <v>74</v>
      </c>
      <c r="BI134">
        <v>17</v>
      </c>
      <c r="BJ134" t="s">
        <v>152</v>
      </c>
      <c r="BK134" t="s">
        <v>102</v>
      </c>
      <c r="BL134" t="s">
        <v>152</v>
      </c>
      <c r="BM134" t="s">
        <v>2833</v>
      </c>
      <c r="BN134" t="s">
        <v>74</v>
      </c>
      <c r="BO134" t="s">
        <v>289</v>
      </c>
      <c r="BP134" t="s">
        <v>74</v>
      </c>
      <c r="BQ134" t="s">
        <v>74</v>
      </c>
      <c r="BR134" t="s">
        <v>105</v>
      </c>
      <c r="BS134" t="s">
        <v>2866</v>
      </c>
      <c r="BT134" t="str">
        <f>HYPERLINK("https%3A%2F%2Fwww.webofscience.com%2Fwos%2Fwoscc%2Ffull-record%2FWOS:000341334300006","View Full Record in Web of Science")</f>
        <v>View Full Record in Web of Science</v>
      </c>
    </row>
    <row r="135" spans="1:72" x14ac:dyDescent="0.15">
      <c r="A135" t="s">
        <v>72</v>
      </c>
      <c r="B135" t="s">
        <v>2867</v>
      </c>
      <c r="C135" t="s">
        <v>74</v>
      </c>
      <c r="D135" t="s">
        <v>74</v>
      </c>
      <c r="E135" t="s">
        <v>74</v>
      </c>
      <c r="F135" t="s">
        <v>2868</v>
      </c>
      <c r="G135" t="s">
        <v>74</v>
      </c>
      <c r="H135" t="s">
        <v>74</v>
      </c>
      <c r="I135" t="s">
        <v>2869</v>
      </c>
      <c r="J135" t="s">
        <v>432</v>
      </c>
      <c r="K135" t="s">
        <v>74</v>
      </c>
      <c r="L135" t="s">
        <v>74</v>
      </c>
      <c r="M135" t="s">
        <v>78</v>
      </c>
      <c r="N135" t="s">
        <v>79</v>
      </c>
      <c r="O135" t="s">
        <v>74</v>
      </c>
      <c r="P135" t="s">
        <v>74</v>
      </c>
      <c r="Q135" t="s">
        <v>74</v>
      </c>
      <c r="R135" t="s">
        <v>74</v>
      </c>
      <c r="S135" t="s">
        <v>74</v>
      </c>
      <c r="T135" t="s">
        <v>74</v>
      </c>
      <c r="U135" t="s">
        <v>2870</v>
      </c>
      <c r="V135" t="s">
        <v>2871</v>
      </c>
      <c r="W135" t="s">
        <v>2872</v>
      </c>
      <c r="X135" t="s">
        <v>2873</v>
      </c>
      <c r="Y135" t="s">
        <v>2874</v>
      </c>
      <c r="Z135" t="s">
        <v>2875</v>
      </c>
      <c r="AA135" t="s">
        <v>2876</v>
      </c>
      <c r="AB135" t="s">
        <v>2877</v>
      </c>
      <c r="AC135" t="s">
        <v>74</v>
      </c>
      <c r="AD135" t="s">
        <v>74</v>
      </c>
      <c r="AE135" t="s">
        <v>74</v>
      </c>
      <c r="AF135" t="s">
        <v>74</v>
      </c>
      <c r="AG135">
        <v>37</v>
      </c>
      <c r="AH135">
        <v>6</v>
      </c>
      <c r="AI135">
        <v>7</v>
      </c>
      <c r="AJ135">
        <v>0</v>
      </c>
      <c r="AK135">
        <v>5</v>
      </c>
      <c r="AL135" t="s">
        <v>280</v>
      </c>
      <c r="AM135" t="s">
        <v>281</v>
      </c>
      <c r="AN135" t="s">
        <v>282</v>
      </c>
      <c r="AO135" t="s">
        <v>444</v>
      </c>
      <c r="AP135" t="s">
        <v>445</v>
      </c>
      <c r="AQ135" t="s">
        <v>74</v>
      </c>
      <c r="AR135" t="s">
        <v>446</v>
      </c>
      <c r="AS135" t="s">
        <v>447</v>
      </c>
      <c r="AT135" t="s">
        <v>1791</v>
      </c>
      <c r="AU135">
        <v>2014</v>
      </c>
      <c r="AV135">
        <v>44</v>
      </c>
      <c r="AW135">
        <v>9</v>
      </c>
      <c r="AX135" t="s">
        <v>74</v>
      </c>
      <c r="AY135" t="s">
        <v>74</v>
      </c>
      <c r="AZ135" t="s">
        <v>74</v>
      </c>
      <c r="BA135" t="s">
        <v>74</v>
      </c>
      <c r="BB135">
        <v>2470</v>
      </c>
      <c r="BC135">
        <v>2484</v>
      </c>
      <c r="BD135" t="s">
        <v>74</v>
      </c>
      <c r="BE135" t="s">
        <v>2878</v>
      </c>
      <c r="BF135" t="str">
        <f>HYPERLINK("http://dx.doi.org/10.1175/JPO-D-13-0267.1","http://dx.doi.org/10.1175/JPO-D-13-0267.1")</f>
        <v>http://dx.doi.org/10.1175/JPO-D-13-0267.1</v>
      </c>
      <c r="BG135" t="s">
        <v>74</v>
      </c>
      <c r="BH135" t="s">
        <v>74</v>
      </c>
      <c r="BI135">
        <v>15</v>
      </c>
      <c r="BJ135" t="s">
        <v>152</v>
      </c>
      <c r="BK135" t="s">
        <v>102</v>
      </c>
      <c r="BL135" t="s">
        <v>152</v>
      </c>
      <c r="BM135" t="s">
        <v>2833</v>
      </c>
      <c r="BN135" t="s">
        <v>74</v>
      </c>
      <c r="BO135" t="s">
        <v>427</v>
      </c>
      <c r="BP135" t="s">
        <v>74</v>
      </c>
      <c r="BQ135" t="s">
        <v>74</v>
      </c>
      <c r="BR135" t="s">
        <v>105</v>
      </c>
      <c r="BS135" t="s">
        <v>2879</v>
      </c>
      <c r="BT135" t="str">
        <f>HYPERLINK("https%3A%2F%2Fwww.webofscience.com%2Fwos%2Fwoscc%2Ffull-record%2FWOS:000341334300012","View Full Record in Web of Science")</f>
        <v>View Full Record in Web of Science</v>
      </c>
    </row>
    <row r="136" spans="1:72" x14ac:dyDescent="0.15">
      <c r="A136" t="s">
        <v>72</v>
      </c>
      <c r="B136" t="s">
        <v>2880</v>
      </c>
      <c r="C136" t="s">
        <v>74</v>
      </c>
      <c r="D136" t="s">
        <v>74</v>
      </c>
      <c r="E136" t="s">
        <v>74</v>
      </c>
      <c r="F136" t="s">
        <v>2881</v>
      </c>
      <c r="G136" t="s">
        <v>74</v>
      </c>
      <c r="H136" t="s">
        <v>74</v>
      </c>
      <c r="I136" t="s">
        <v>2882</v>
      </c>
      <c r="J136" t="s">
        <v>2883</v>
      </c>
      <c r="K136" t="s">
        <v>74</v>
      </c>
      <c r="L136" t="s">
        <v>74</v>
      </c>
      <c r="M136" t="s">
        <v>78</v>
      </c>
      <c r="N136" t="s">
        <v>79</v>
      </c>
      <c r="O136" t="s">
        <v>74</v>
      </c>
      <c r="P136" t="s">
        <v>74</v>
      </c>
      <c r="Q136" t="s">
        <v>74</v>
      </c>
      <c r="R136" t="s">
        <v>74</v>
      </c>
      <c r="S136" t="s">
        <v>74</v>
      </c>
      <c r="T136" t="s">
        <v>2884</v>
      </c>
      <c r="U136" t="s">
        <v>2885</v>
      </c>
      <c r="V136" t="s">
        <v>2886</v>
      </c>
      <c r="W136" t="s">
        <v>2887</v>
      </c>
      <c r="X136" t="s">
        <v>2888</v>
      </c>
      <c r="Y136" t="s">
        <v>2889</v>
      </c>
      <c r="Z136" t="s">
        <v>2890</v>
      </c>
      <c r="AA136" t="s">
        <v>2891</v>
      </c>
      <c r="AB136" t="s">
        <v>2892</v>
      </c>
      <c r="AC136" t="s">
        <v>2893</v>
      </c>
      <c r="AD136" t="s">
        <v>2894</v>
      </c>
      <c r="AE136" t="s">
        <v>2895</v>
      </c>
      <c r="AF136" t="s">
        <v>74</v>
      </c>
      <c r="AG136">
        <v>64</v>
      </c>
      <c r="AH136">
        <v>5</v>
      </c>
      <c r="AI136">
        <v>5</v>
      </c>
      <c r="AJ136">
        <v>0</v>
      </c>
      <c r="AK136">
        <v>14</v>
      </c>
      <c r="AL136" t="s">
        <v>753</v>
      </c>
      <c r="AM136" t="s">
        <v>124</v>
      </c>
      <c r="AN136" t="s">
        <v>754</v>
      </c>
      <c r="AO136" t="s">
        <v>2896</v>
      </c>
      <c r="AP136" t="s">
        <v>2897</v>
      </c>
      <c r="AQ136" t="s">
        <v>74</v>
      </c>
      <c r="AR136" t="s">
        <v>2898</v>
      </c>
      <c r="AS136" t="s">
        <v>2899</v>
      </c>
      <c r="AT136" t="s">
        <v>2460</v>
      </c>
      <c r="AU136">
        <v>2014</v>
      </c>
      <c r="AV136">
        <v>355</v>
      </c>
      <c r="AW136" t="s">
        <v>74</v>
      </c>
      <c r="AX136" t="s">
        <v>74</v>
      </c>
      <c r="AY136" t="s">
        <v>74</v>
      </c>
      <c r="AZ136" t="s">
        <v>74</v>
      </c>
      <c r="BA136" t="s">
        <v>74</v>
      </c>
      <c r="BB136">
        <v>297</v>
      </c>
      <c r="BC136">
        <v>309</v>
      </c>
      <c r="BD136" t="s">
        <v>74</v>
      </c>
      <c r="BE136" t="s">
        <v>2900</v>
      </c>
      <c r="BF136" t="str">
        <f>HYPERLINK("http://dx.doi.org/10.1016/j.margeo.2014.06.008","http://dx.doi.org/10.1016/j.margeo.2014.06.008")</f>
        <v>http://dx.doi.org/10.1016/j.margeo.2014.06.008</v>
      </c>
      <c r="BG136" t="s">
        <v>74</v>
      </c>
      <c r="BH136" t="s">
        <v>74</v>
      </c>
      <c r="BI136">
        <v>13</v>
      </c>
      <c r="BJ136" t="s">
        <v>2901</v>
      </c>
      <c r="BK136" t="s">
        <v>102</v>
      </c>
      <c r="BL136" t="s">
        <v>2902</v>
      </c>
      <c r="BM136" t="s">
        <v>2903</v>
      </c>
      <c r="BN136" t="s">
        <v>74</v>
      </c>
      <c r="BO136" t="s">
        <v>74</v>
      </c>
      <c r="BP136" t="s">
        <v>74</v>
      </c>
      <c r="BQ136" t="s">
        <v>74</v>
      </c>
      <c r="BR136" t="s">
        <v>105</v>
      </c>
      <c r="BS136" t="s">
        <v>2904</v>
      </c>
      <c r="BT136" t="str">
        <f>HYPERLINK("https%3A%2F%2Fwww.webofscience.com%2Fwos%2Fwoscc%2Ffull-record%2FWOS:000341339600022","View Full Record in Web of Science")</f>
        <v>View Full Record in Web of Science</v>
      </c>
    </row>
    <row r="137" spans="1:72" x14ac:dyDescent="0.15">
      <c r="A137" t="s">
        <v>72</v>
      </c>
      <c r="B137" t="s">
        <v>2905</v>
      </c>
      <c r="C137" t="s">
        <v>74</v>
      </c>
      <c r="D137" t="s">
        <v>74</v>
      </c>
      <c r="E137" t="s">
        <v>74</v>
      </c>
      <c r="F137" t="s">
        <v>2906</v>
      </c>
      <c r="G137" t="s">
        <v>74</v>
      </c>
      <c r="H137" t="s">
        <v>74</v>
      </c>
      <c r="I137" t="s">
        <v>2907</v>
      </c>
      <c r="J137" t="s">
        <v>692</v>
      </c>
      <c r="K137" t="s">
        <v>74</v>
      </c>
      <c r="L137" t="s">
        <v>74</v>
      </c>
      <c r="M137" t="s">
        <v>78</v>
      </c>
      <c r="N137" t="s">
        <v>79</v>
      </c>
      <c r="O137" t="s">
        <v>74</v>
      </c>
      <c r="P137" t="s">
        <v>74</v>
      </c>
      <c r="Q137" t="s">
        <v>74</v>
      </c>
      <c r="R137" t="s">
        <v>74</v>
      </c>
      <c r="S137" t="s">
        <v>74</v>
      </c>
      <c r="T137" t="s">
        <v>2908</v>
      </c>
      <c r="U137" t="s">
        <v>2909</v>
      </c>
      <c r="V137" t="s">
        <v>2910</v>
      </c>
      <c r="W137" t="s">
        <v>2911</v>
      </c>
      <c r="X137" t="s">
        <v>2912</v>
      </c>
      <c r="Y137" t="s">
        <v>2913</v>
      </c>
      <c r="Z137" t="s">
        <v>2914</v>
      </c>
      <c r="AA137" t="s">
        <v>2915</v>
      </c>
      <c r="AB137" t="s">
        <v>2916</v>
      </c>
      <c r="AC137" t="s">
        <v>74</v>
      </c>
      <c r="AD137" t="s">
        <v>74</v>
      </c>
      <c r="AE137" t="s">
        <v>74</v>
      </c>
      <c r="AF137" t="s">
        <v>74</v>
      </c>
      <c r="AG137">
        <v>53</v>
      </c>
      <c r="AH137">
        <v>15</v>
      </c>
      <c r="AI137">
        <v>16</v>
      </c>
      <c r="AJ137">
        <v>0</v>
      </c>
      <c r="AK137">
        <v>32</v>
      </c>
      <c r="AL137" t="s">
        <v>601</v>
      </c>
      <c r="AM137" t="s">
        <v>251</v>
      </c>
      <c r="AN137" t="s">
        <v>602</v>
      </c>
      <c r="AO137" t="s">
        <v>705</v>
      </c>
      <c r="AP137" t="s">
        <v>706</v>
      </c>
      <c r="AQ137" t="s">
        <v>74</v>
      </c>
      <c r="AR137" t="s">
        <v>707</v>
      </c>
      <c r="AS137" t="s">
        <v>708</v>
      </c>
      <c r="AT137" t="s">
        <v>1791</v>
      </c>
      <c r="AU137">
        <v>2014</v>
      </c>
      <c r="AV137">
        <v>81</v>
      </c>
      <c r="AW137" t="s">
        <v>74</v>
      </c>
      <c r="AX137" t="s">
        <v>74</v>
      </c>
      <c r="AY137" t="s">
        <v>74</v>
      </c>
      <c r="AZ137" t="s">
        <v>74</v>
      </c>
      <c r="BA137" t="s">
        <v>74</v>
      </c>
      <c r="BB137">
        <v>36</v>
      </c>
      <c r="BC137">
        <v>48</v>
      </c>
      <c r="BD137" t="s">
        <v>74</v>
      </c>
      <c r="BE137" t="s">
        <v>2917</v>
      </c>
      <c r="BF137" t="str">
        <f>HYPERLINK("http://dx.doi.org/10.1016/j.ocemod.2014.07.003","http://dx.doi.org/10.1016/j.ocemod.2014.07.003")</f>
        <v>http://dx.doi.org/10.1016/j.ocemod.2014.07.003</v>
      </c>
      <c r="BG137" t="s">
        <v>74</v>
      </c>
      <c r="BH137" t="s">
        <v>74</v>
      </c>
      <c r="BI137">
        <v>13</v>
      </c>
      <c r="BJ137" t="s">
        <v>710</v>
      </c>
      <c r="BK137" t="s">
        <v>102</v>
      </c>
      <c r="BL137" t="s">
        <v>710</v>
      </c>
      <c r="BM137" t="s">
        <v>2918</v>
      </c>
      <c r="BN137" t="s">
        <v>74</v>
      </c>
      <c r="BO137" t="s">
        <v>2919</v>
      </c>
      <c r="BP137" t="s">
        <v>74</v>
      </c>
      <c r="BQ137" t="s">
        <v>74</v>
      </c>
      <c r="BR137" t="s">
        <v>105</v>
      </c>
      <c r="BS137" t="s">
        <v>2920</v>
      </c>
      <c r="BT137" t="str">
        <f>HYPERLINK("https%3A%2F%2Fwww.webofscience.com%2Fwos%2Fwoscc%2Ffull-record%2FWOS:000341439800004","View Full Record in Web of Science")</f>
        <v>View Full Record in Web of Science</v>
      </c>
    </row>
    <row r="138" spans="1:72" x14ac:dyDescent="0.15">
      <c r="A138" t="s">
        <v>72</v>
      </c>
      <c r="B138" t="s">
        <v>2921</v>
      </c>
      <c r="C138" t="s">
        <v>74</v>
      </c>
      <c r="D138" t="s">
        <v>74</v>
      </c>
      <c r="E138" t="s">
        <v>74</v>
      </c>
      <c r="F138" t="s">
        <v>2922</v>
      </c>
      <c r="G138" t="s">
        <v>74</v>
      </c>
      <c r="H138" t="s">
        <v>74</v>
      </c>
      <c r="I138" t="s">
        <v>2923</v>
      </c>
      <c r="J138" t="s">
        <v>2924</v>
      </c>
      <c r="K138" t="s">
        <v>74</v>
      </c>
      <c r="L138" t="s">
        <v>74</v>
      </c>
      <c r="M138" t="s">
        <v>78</v>
      </c>
      <c r="N138" t="s">
        <v>79</v>
      </c>
      <c r="O138" t="s">
        <v>74</v>
      </c>
      <c r="P138" t="s">
        <v>74</v>
      </c>
      <c r="Q138" t="s">
        <v>74</v>
      </c>
      <c r="R138" t="s">
        <v>74</v>
      </c>
      <c r="S138" t="s">
        <v>74</v>
      </c>
      <c r="T138" t="s">
        <v>2925</v>
      </c>
      <c r="U138" t="s">
        <v>2926</v>
      </c>
      <c r="V138" t="s">
        <v>2927</v>
      </c>
      <c r="W138" t="s">
        <v>2928</v>
      </c>
      <c r="X138" t="s">
        <v>2929</v>
      </c>
      <c r="Y138" t="s">
        <v>2930</v>
      </c>
      <c r="Z138" t="s">
        <v>2931</v>
      </c>
      <c r="AA138" t="s">
        <v>2932</v>
      </c>
      <c r="AB138" t="s">
        <v>2933</v>
      </c>
      <c r="AC138" t="s">
        <v>2934</v>
      </c>
      <c r="AD138" t="s">
        <v>2935</v>
      </c>
      <c r="AE138" t="s">
        <v>2936</v>
      </c>
      <c r="AF138" t="s">
        <v>74</v>
      </c>
      <c r="AG138">
        <v>71</v>
      </c>
      <c r="AH138">
        <v>21</v>
      </c>
      <c r="AI138">
        <v>22</v>
      </c>
      <c r="AJ138">
        <v>0</v>
      </c>
      <c r="AK138">
        <v>3</v>
      </c>
      <c r="AL138" t="s">
        <v>1805</v>
      </c>
      <c r="AM138" t="s">
        <v>1806</v>
      </c>
      <c r="AN138" t="s">
        <v>1807</v>
      </c>
      <c r="AO138" t="s">
        <v>2937</v>
      </c>
      <c r="AP138" t="s">
        <v>2938</v>
      </c>
      <c r="AQ138" t="s">
        <v>74</v>
      </c>
      <c r="AR138" t="s">
        <v>2939</v>
      </c>
      <c r="AS138" t="s">
        <v>2940</v>
      </c>
      <c r="AT138" t="s">
        <v>2460</v>
      </c>
      <c r="AU138">
        <v>2014</v>
      </c>
      <c r="AV138">
        <v>792</v>
      </c>
      <c r="AW138">
        <v>1</v>
      </c>
      <c r="AX138" t="s">
        <v>74</v>
      </c>
      <c r="AY138" t="s">
        <v>74</v>
      </c>
      <c r="AZ138" t="s">
        <v>74</v>
      </c>
      <c r="BA138" t="s">
        <v>74</v>
      </c>
      <c r="BB138" t="s">
        <v>74</v>
      </c>
      <c r="BC138" t="s">
        <v>74</v>
      </c>
      <c r="BD138">
        <v>31</v>
      </c>
      <c r="BE138" t="s">
        <v>2941</v>
      </c>
      <c r="BF138" t="str">
        <f>HYPERLINK("http://dx.doi.org/10.1088/0004-637X/792/1/31","http://dx.doi.org/10.1088/0004-637X/792/1/31")</f>
        <v>http://dx.doi.org/10.1088/0004-637X/792/1/31</v>
      </c>
      <c r="BG138" t="s">
        <v>74</v>
      </c>
      <c r="BH138" t="s">
        <v>74</v>
      </c>
      <c r="BI138">
        <v>10</v>
      </c>
      <c r="BJ138" t="s">
        <v>339</v>
      </c>
      <c r="BK138" t="s">
        <v>102</v>
      </c>
      <c r="BL138" t="s">
        <v>339</v>
      </c>
      <c r="BM138" t="s">
        <v>2942</v>
      </c>
      <c r="BN138" t="s">
        <v>74</v>
      </c>
      <c r="BO138" t="s">
        <v>427</v>
      </c>
      <c r="BP138" t="s">
        <v>74</v>
      </c>
      <c r="BQ138" t="s">
        <v>74</v>
      </c>
      <c r="BR138" t="s">
        <v>105</v>
      </c>
      <c r="BS138" t="s">
        <v>2943</v>
      </c>
      <c r="BT138" t="str">
        <f>HYPERLINK("https%3A%2F%2Fwww.webofscience.com%2Fwos%2Fwoscc%2Ffull-record%2FWOS:000341172100031","View Full Record in Web of Science")</f>
        <v>View Full Record in Web of Science</v>
      </c>
    </row>
    <row r="139" spans="1:72" x14ac:dyDescent="0.15">
      <c r="A139" t="s">
        <v>72</v>
      </c>
      <c r="B139" t="s">
        <v>2944</v>
      </c>
      <c r="C139" t="s">
        <v>74</v>
      </c>
      <c r="D139" t="s">
        <v>74</v>
      </c>
      <c r="E139" t="s">
        <v>74</v>
      </c>
      <c r="F139" t="s">
        <v>2945</v>
      </c>
      <c r="G139" t="s">
        <v>74</v>
      </c>
      <c r="H139" t="s">
        <v>74</v>
      </c>
      <c r="I139" t="s">
        <v>2946</v>
      </c>
      <c r="J139" t="s">
        <v>2947</v>
      </c>
      <c r="K139" t="s">
        <v>74</v>
      </c>
      <c r="L139" t="s">
        <v>74</v>
      </c>
      <c r="M139" t="s">
        <v>78</v>
      </c>
      <c r="N139" t="s">
        <v>79</v>
      </c>
      <c r="O139" t="s">
        <v>74</v>
      </c>
      <c r="P139" t="s">
        <v>74</v>
      </c>
      <c r="Q139" t="s">
        <v>74</v>
      </c>
      <c r="R139" t="s">
        <v>74</v>
      </c>
      <c r="S139" t="s">
        <v>74</v>
      </c>
      <c r="T139" t="s">
        <v>2948</v>
      </c>
      <c r="U139" t="s">
        <v>2949</v>
      </c>
      <c r="V139" t="s">
        <v>2950</v>
      </c>
      <c r="W139" t="s">
        <v>2951</v>
      </c>
      <c r="X139" t="s">
        <v>2952</v>
      </c>
      <c r="Y139" t="s">
        <v>2953</v>
      </c>
      <c r="Z139" t="s">
        <v>2954</v>
      </c>
      <c r="AA139" t="s">
        <v>2955</v>
      </c>
      <c r="AB139" t="s">
        <v>74</v>
      </c>
      <c r="AC139" t="s">
        <v>74</v>
      </c>
      <c r="AD139" t="s">
        <v>74</v>
      </c>
      <c r="AE139" t="s">
        <v>74</v>
      </c>
      <c r="AF139" t="s">
        <v>74</v>
      </c>
      <c r="AG139">
        <v>68</v>
      </c>
      <c r="AH139">
        <v>28</v>
      </c>
      <c r="AI139">
        <v>29</v>
      </c>
      <c r="AJ139">
        <v>1</v>
      </c>
      <c r="AK139">
        <v>24</v>
      </c>
      <c r="AL139" t="s">
        <v>250</v>
      </c>
      <c r="AM139" t="s">
        <v>251</v>
      </c>
      <c r="AN139" t="s">
        <v>252</v>
      </c>
      <c r="AO139" t="s">
        <v>2956</v>
      </c>
      <c r="AP139" t="s">
        <v>2957</v>
      </c>
      <c r="AQ139" t="s">
        <v>74</v>
      </c>
      <c r="AR139" t="s">
        <v>2958</v>
      </c>
      <c r="AS139" t="s">
        <v>2959</v>
      </c>
      <c r="AT139" t="s">
        <v>1791</v>
      </c>
      <c r="AU139">
        <v>2014</v>
      </c>
      <c r="AV139">
        <v>91</v>
      </c>
      <c r="AW139" t="s">
        <v>74</v>
      </c>
      <c r="AX139" t="s">
        <v>74</v>
      </c>
      <c r="AY139" t="s">
        <v>74</v>
      </c>
      <c r="AZ139" t="s">
        <v>74</v>
      </c>
      <c r="BA139" t="s">
        <v>74</v>
      </c>
      <c r="BB139">
        <v>50</v>
      </c>
      <c r="BC139">
        <v>71</v>
      </c>
      <c r="BD139" t="s">
        <v>74</v>
      </c>
      <c r="BE139" t="s">
        <v>2960</v>
      </c>
      <c r="BF139" t="str">
        <f>HYPERLINK("http://dx.doi.org/10.1016/j.dsr.2014.04.015","http://dx.doi.org/10.1016/j.dsr.2014.04.015")</f>
        <v>http://dx.doi.org/10.1016/j.dsr.2014.04.015</v>
      </c>
      <c r="BG139" t="s">
        <v>74</v>
      </c>
      <c r="BH139" t="s">
        <v>74</v>
      </c>
      <c r="BI139">
        <v>22</v>
      </c>
      <c r="BJ139" t="s">
        <v>152</v>
      </c>
      <c r="BK139" t="s">
        <v>102</v>
      </c>
      <c r="BL139" t="s">
        <v>152</v>
      </c>
      <c r="BM139" t="s">
        <v>2961</v>
      </c>
      <c r="BN139" t="s">
        <v>74</v>
      </c>
      <c r="BO139" t="s">
        <v>74</v>
      </c>
      <c r="BP139" t="s">
        <v>74</v>
      </c>
      <c r="BQ139" t="s">
        <v>74</v>
      </c>
      <c r="BR139" t="s">
        <v>105</v>
      </c>
      <c r="BS139" t="s">
        <v>2962</v>
      </c>
      <c r="BT139" t="str">
        <f>HYPERLINK("https%3A%2F%2Fwww.webofscience.com%2Fwos%2Fwoscc%2Ffull-record%2FWOS:000340984500006","View Full Record in Web of Science")</f>
        <v>View Full Record in Web of Science</v>
      </c>
    </row>
    <row r="140" spans="1:72" x14ac:dyDescent="0.15">
      <c r="A140" t="s">
        <v>72</v>
      </c>
      <c r="B140" t="s">
        <v>2963</v>
      </c>
      <c r="C140" t="s">
        <v>74</v>
      </c>
      <c r="D140" t="s">
        <v>74</v>
      </c>
      <c r="E140" t="s">
        <v>74</v>
      </c>
      <c r="F140" t="s">
        <v>2964</v>
      </c>
      <c r="G140" t="s">
        <v>74</v>
      </c>
      <c r="H140" t="s">
        <v>74</v>
      </c>
      <c r="I140" t="s">
        <v>2965</v>
      </c>
      <c r="J140" t="s">
        <v>2947</v>
      </c>
      <c r="K140" t="s">
        <v>74</v>
      </c>
      <c r="L140" t="s">
        <v>74</v>
      </c>
      <c r="M140" t="s">
        <v>78</v>
      </c>
      <c r="N140" t="s">
        <v>79</v>
      </c>
      <c r="O140" t="s">
        <v>74</v>
      </c>
      <c r="P140" t="s">
        <v>74</v>
      </c>
      <c r="Q140" t="s">
        <v>74</v>
      </c>
      <c r="R140" t="s">
        <v>74</v>
      </c>
      <c r="S140" t="s">
        <v>74</v>
      </c>
      <c r="T140" t="s">
        <v>2966</v>
      </c>
      <c r="U140" t="s">
        <v>2967</v>
      </c>
      <c r="V140" t="s">
        <v>2968</v>
      </c>
      <c r="W140" t="s">
        <v>2969</v>
      </c>
      <c r="X140" t="s">
        <v>2970</v>
      </c>
      <c r="Y140" t="s">
        <v>2971</v>
      </c>
      <c r="Z140" t="s">
        <v>2972</v>
      </c>
      <c r="AA140" t="s">
        <v>2973</v>
      </c>
      <c r="AB140" t="s">
        <v>2974</v>
      </c>
      <c r="AC140" t="s">
        <v>2975</v>
      </c>
      <c r="AD140" t="s">
        <v>2976</v>
      </c>
      <c r="AE140" t="s">
        <v>2977</v>
      </c>
      <c r="AF140" t="s">
        <v>74</v>
      </c>
      <c r="AG140">
        <v>63</v>
      </c>
      <c r="AH140">
        <v>58</v>
      </c>
      <c r="AI140">
        <v>67</v>
      </c>
      <c r="AJ140">
        <v>1</v>
      </c>
      <c r="AK140">
        <v>66</v>
      </c>
      <c r="AL140" t="s">
        <v>250</v>
      </c>
      <c r="AM140" t="s">
        <v>251</v>
      </c>
      <c r="AN140" t="s">
        <v>252</v>
      </c>
      <c r="AO140" t="s">
        <v>2956</v>
      </c>
      <c r="AP140" t="s">
        <v>2957</v>
      </c>
      <c r="AQ140" t="s">
        <v>74</v>
      </c>
      <c r="AR140" t="s">
        <v>2958</v>
      </c>
      <c r="AS140" t="s">
        <v>2959</v>
      </c>
      <c r="AT140" t="s">
        <v>1791</v>
      </c>
      <c r="AU140">
        <v>2014</v>
      </c>
      <c r="AV140">
        <v>91</v>
      </c>
      <c r="AW140" t="s">
        <v>74</v>
      </c>
      <c r="AX140" t="s">
        <v>74</v>
      </c>
      <c r="AY140" t="s">
        <v>74</v>
      </c>
      <c r="AZ140" t="s">
        <v>74</v>
      </c>
      <c r="BA140" t="s">
        <v>74</v>
      </c>
      <c r="BB140">
        <v>101</v>
      </c>
      <c r="BC140">
        <v>114</v>
      </c>
      <c r="BD140" t="s">
        <v>74</v>
      </c>
      <c r="BE140" t="s">
        <v>2978</v>
      </c>
      <c r="BF140" t="str">
        <f>HYPERLINK("http://dx.doi.org/10.1016/j.dsr.2014.05.017","http://dx.doi.org/10.1016/j.dsr.2014.05.017")</f>
        <v>http://dx.doi.org/10.1016/j.dsr.2014.05.017</v>
      </c>
      <c r="BG140" t="s">
        <v>74</v>
      </c>
      <c r="BH140" t="s">
        <v>74</v>
      </c>
      <c r="BI140">
        <v>14</v>
      </c>
      <c r="BJ140" t="s">
        <v>152</v>
      </c>
      <c r="BK140" t="s">
        <v>102</v>
      </c>
      <c r="BL140" t="s">
        <v>152</v>
      </c>
      <c r="BM140" t="s">
        <v>2961</v>
      </c>
      <c r="BN140" t="s">
        <v>74</v>
      </c>
      <c r="BO140" t="s">
        <v>2979</v>
      </c>
      <c r="BP140" t="s">
        <v>74</v>
      </c>
      <c r="BQ140" t="s">
        <v>74</v>
      </c>
      <c r="BR140" t="s">
        <v>105</v>
      </c>
      <c r="BS140" t="s">
        <v>2980</v>
      </c>
      <c r="BT140" t="str">
        <f>HYPERLINK("https%3A%2F%2Fwww.webofscience.com%2Fwos%2Fwoscc%2Ffull-record%2FWOS:000340984500010","View Full Record in Web of Science")</f>
        <v>View Full Record in Web of Science</v>
      </c>
    </row>
    <row r="141" spans="1:72" x14ac:dyDescent="0.15">
      <c r="A141" t="s">
        <v>72</v>
      </c>
      <c r="B141" t="s">
        <v>2981</v>
      </c>
      <c r="C141" t="s">
        <v>74</v>
      </c>
      <c r="D141" t="s">
        <v>74</v>
      </c>
      <c r="E141" t="s">
        <v>74</v>
      </c>
      <c r="F141" t="s">
        <v>2982</v>
      </c>
      <c r="G141" t="s">
        <v>74</v>
      </c>
      <c r="H141" t="s">
        <v>74</v>
      </c>
      <c r="I141" t="s">
        <v>2983</v>
      </c>
      <c r="J141" t="s">
        <v>2984</v>
      </c>
      <c r="K141" t="s">
        <v>74</v>
      </c>
      <c r="L141" t="s">
        <v>74</v>
      </c>
      <c r="M141" t="s">
        <v>78</v>
      </c>
      <c r="N141" t="s">
        <v>79</v>
      </c>
      <c r="O141" t="s">
        <v>74</v>
      </c>
      <c r="P141" t="s">
        <v>74</v>
      </c>
      <c r="Q141" t="s">
        <v>74</v>
      </c>
      <c r="R141" t="s">
        <v>74</v>
      </c>
      <c r="S141" t="s">
        <v>74</v>
      </c>
      <c r="T141" t="s">
        <v>2985</v>
      </c>
      <c r="U141" t="s">
        <v>2986</v>
      </c>
      <c r="V141" t="s">
        <v>2987</v>
      </c>
      <c r="W141" t="s">
        <v>2988</v>
      </c>
      <c r="X141" t="s">
        <v>2989</v>
      </c>
      <c r="Y141" t="s">
        <v>2990</v>
      </c>
      <c r="Z141" t="s">
        <v>2991</v>
      </c>
      <c r="AA141" t="s">
        <v>2992</v>
      </c>
      <c r="AB141" t="s">
        <v>2993</v>
      </c>
      <c r="AC141" t="s">
        <v>2994</v>
      </c>
      <c r="AD141" t="s">
        <v>2995</v>
      </c>
      <c r="AE141" t="s">
        <v>2996</v>
      </c>
      <c r="AF141" t="s">
        <v>74</v>
      </c>
      <c r="AG141">
        <v>25</v>
      </c>
      <c r="AH141">
        <v>13</v>
      </c>
      <c r="AI141">
        <v>16</v>
      </c>
      <c r="AJ141">
        <v>0</v>
      </c>
      <c r="AK141">
        <v>14</v>
      </c>
      <c r="AL141" t="s">
        <v>123</v>
      </c>
      <c r="AM141" t="s">
        <v>124</v>
      </c>
      <c r="AN141" t="s">
        <v>125</v>
      </c>
      <c r="AO141" t="s">
        <v>2997</v>
      </c>
      <c r="AP141" t="s">
        <v>2998</v>
      </c>
      <c r="AQ141" t="s">
        <v>74</v>
      </c>
      <c r="AR141" t="s">
        <v>2999</v>
      </c>
      <c r="AS141" t="s">
        <v>3000</v>
      </c>
      <c r="AT141" t="s">
        <v>2460</v>
      </c>
      <c r="AU141">
        <v>2014</v>
      </c>
      <c r="AV141">
        <v>401</v>
      </c>
      <c r="AW141" t="s">
        <v>74</v>
      </c>
      <c r="AX141" t="s">
        <v>74</v>
      </c>
      <c r="AY141" t="s">
        <v>74</v>
      </c>
      <c r="AZ141" t="s">
        <v>74</v>
      </c>
      <c r="BA141" t="s">
        <v>74</v>
      </c>
      <c r="BB141">
        <v>215</v>
      </c>
      <c r="BC141">
        <v>226</v>
      </c>
      <c r="BD141" t="s">
        <v>74</v>
      </c>
      <c r="BE141" t="s">
        <v>3001</v>
      </c>
      <c r="BF141" t="str">
        <f>HYPERLINK("http://dx.doi.org/10.1016/j.epsl.2014.06.007","http://dx.doi.org/10.1016/j.epsl.2014.06.007")</f>
        <v>http://dx.doi.org/10.1016/j.epsl.2014.06.007</v>
      </c>
      <c r="BG141" t="s">
        <v>74</v>
      </c>
      <c r="BH141" t="s">
        <v>74</v>
      </c>
      <c r="BI141">
        <v>12</v>
      </c>
      <c r="BJ141" t="s">
        <v>425</v>
      </c>
      <c r="BK141" t="s">
        <v>102</v>
      </c>
      <c r="BL141" t="s">
        <v>425</v>
      </c>
      <c r="BM141" t="s">
        <v>3002</v>
      </c>
      <c r="BN141" t="s">
        <v>74</v>
      </c>
      <c r="BO141" t="s">
        <v>74</v>
      </c>
      <c r="BP141" t="s">
        <v>74</v>
      </c>
      <c r="BQ141" t="s">
        <v>74</v>
      </c>
      <c r="BR141" t="s">
        <v>105</v>
      </c>
      <c r="BS141" t="s">
        <v>3003</v>
      </c>
      <c r="BT141" t="str">
        <f>HYPERLINK("https%3A%2F%2Fwww.webofscience.com%2Fwos%2Fwoscc%2Ffull-record%2FWOS:000341218600020","View Full Record in Web of Science")</f>
        <v>View Full Record in Web of Science</v>
      </c>
    </row>
    <row r="142" spans="1:72" x14ac:dyDescent="0.15">
      <c r="A142" t="s">
        <v>72</v>
      </c>
      <c r="B142" t="s">
        <v>3004</v>
      </c>
      <c r="C142" t="s">
        <v>74</v>
      </c>
      <c r="D142" t="s">
        <v>74</v>
      </c>
      <c r="E142" t="s">
        <v>74</v>
      </c>
      <c r="F142" t="s">
        <v>3005</v>
      </c>
      <c r="G142" t="s">
        <v>74</v>
      </c>
      <c r="H142" t="s">
        <v>74</v>
      </c>
      <c r="I142" t="s">
        <v>3006</v>
      </c>
      <c r="J142" t="s">
        <v>2984</v>
      </c>
      <c r="K142" t="s">
        <v>74</v>
      </c>
      <c r="L142" t="s">
        <v>74</v>
      </c>
      <c r="M142" t="s">
        <v>78</v>
      </c>
      <c r="N142" t="s">
        <v>79</v>
      </c>
      <c r="O142" t="s">
        <v>74</v>
      </c>
      <c r="P142" t="s">
        <v>74</v>
      </c>
      <c r="Q142" t="s">
        <v>74</v>
      </c>
      <c r="R142" t="s">
        <v>74</v>
      </c>
      <c r="S142" t="s">
        <v>74</v>
      </c>
      <c r="T142" t="s">
        <v>3007</v>
      </c>
      <c r="U142" t="s">
        <v>3008</v>
      </c>
      <c r="V142" t="s">
        <v>3009</v>
      </c>
      <c r="W142" t="s">
        <v>3010</v>
      </c>
      <c r="X142" t="s">
        <v>3011</v>
      </c>
      <c r="Y142" t="s">
        <v>3012</v>
      </c>
      <c r="Z142" t="s">
        <v>3013</v>
      </c>
      <c r="AA142" t="s">
        <v>3014</v>
      </c>
      <c r="AB142" t="s">
        <v>74</v>
      </c>
      <c r="AC142" t="s">
        <v>3015</v>
      </c>
      <c r="AD142" t="s">
        <v>3016</v>
      </c>
      <c r="AE142" t="s">
        <v>3017</v>
      </c>
      <c r="AF142" t="s">
        <v>74</v>
      </c>
      <c r="AG142">
        <v>38</v>
      </c>
      <c r="AH142">
        <v>2</v>
      </c>
      <c r="AI142">
        <v>4</v>
      </c>
      <c r="AJ142">
        <v>0</v>
      </c>
      <c r="AK142">
        <v>13</v>
      </c>
      <c r="AL142" t="s">
        <v>123</v>
      </c>
      <c r="AM142" t="s">
        <v>124</v>
      </c>
      <c r="AN142" t="s">
        <v>125</v>
      </c>
      <c r="AO142" t="s">
        <v>2997</v>
      </c>
      <c r="AP142" t="s">
        <v>2998</v>
      </c>
      <c r="AQ142" t="s">
        <v>74</v>
      </c>
      <c r="AR142" t="s">
        <v>2999</v>
      </c>
      <c r="AS142" t="s">
        <v>3000</v>
      </c>
      <c r="AT142" t="s">
        <v>2460</v>
      </c>
      <c r="AU142">
        <v>2014</v>
      </c>
      <c r="AV142">
        <v>401</v>
      </c>
      <c r="AW142" t="s">
        <v>74</v>
      </c>
      <c r="AX142" t="s">
        <v>74</v>
      </c>
      <c r="AY142" t="s">
        <v>74</v>
      </c>
      <c r="AZ142" t="s">
        <v>74</v>
      </c>
      <c r="BA142" t="s">
        <v>74</v>
      </c>
      <c r="BB142">
        <v>275</v>
      </c>
      <c r="BC142">
        <v>283</v>
      </c>
      <c r="BD142" t="s">
        <v>74</v>
      </c>
      <c r="BE142" t="s">
        <v>3018</v>
      </c>
      <c r="BF142" t="str">
        <f>HYPERLINK("http://dx.doi.org/10.1016/j.epsl.2014.05.015","http://dx.doi.org/10.1016/j.epsl.2014.05.015")</f>
        <v>http://dx.doi.org/10.1016/j.epsl.2014.05.015</v>
      </c>
      <c r="BG142" t="s">
        <v>74</v>
      </c>
      <c r="BH142" t="s">
        <v>74</v>
      </c>
      <c r="BI142">
        <v>9</v>
      </c>
      <c r="BJ142" t="s">
        <v>425</v>
      </c>
      <c r="BK142" t="s">
        <v>102</v>
      </c>
      <c r="BL142" t="s">
        <v>425</v>
      </c>
      <c r="BM142" t="s">
        <v>3002</v>
      </c>
      <c r="BN142" t="s">
        <v>74</v>
      </c>
      <c r="BO142" t="s">
        <v>262</v>
      </c>
      <c r="BP142" t="s">
        <v>74</v>
      </c>
      <c r="BQ142" t="s">
        <v>74</v>
      </c>
      <c r="BR142" t="s">
        <v>105</v>
      </c>
      <c r="BS142" t="s">
        <v>3019</v>
      </c>
      <c r="BT142" t="str">
        <f>HYPERLINK("https%3A%2F%2Fwww.webofscience.com%2Fwos%2Fwoscc%2Ffull-record%2FWOS:000341218600025","View Full Record in Web of Science")</f>
        <v>View Full Record in Web of Science</v>
      </c>
    </row>
    <row r="143" spans="1:72" x14ac:dyDescent="0.15">
      <c r="A143" t="s">
        <v>72</v>
      </c>
      <c r="B143" t="s">
        <v>3020</v>
      </c>
      <c r="C143" t="s">
        <v>74</v>
      </c>
      <c r="D143" t="s">
        <v>74</v>
      </c>
      <c r="E143" t="s">
        <v>74</v>
      </c>
      <c r="F143" t="s">
        <v>3021</v>
      </c>
      <c r="G143" t="s">
        <v>74</v>
      </c>
      <c r="H143" t="s">
        <v>74</v>
      </c>
      <c r="I143" t="s">
        <v>3022</v>
      </c>
      <c r="J143" t="s">
        <v>3023</v>
      </c>
      <c r="K143" t="s">
        <v>74</v>
      </c>
      <c r="L143" t="s">
        <v>74</v>
      </c>
      <c r="M143" t="s">
        <v>78</v>
      </c>
      <c r="N143" t="s">
        <v>79</v>
      </c>
      <c r="O143" t="s">
        <v>74</v>
      </c>
      <c r="P143" t="s">
        <v>74</v>
      </c>
      <c r="Q143" t="s">
        <v>74</v>
      </c>
      <c r="R143" t="s">
        <v>74</v>
      </c>
      <c r="S143" t="s">
        <v>74</v>
      </c>
      <c r="T143" t="s">
        <v>3024</v>
      </c>
      <c r="U143" t="s">
        <v>3025</v>
      </c>
      <c r="V143" t="s">
        <v>3026</v>
      </c>
      <c r="W143" t="s">
        <v>3027</v>
      </c>
      <c r="X143" t="s">
        <v>3028</v>
      </c>
      <c r="Y143" t="s">
        <v>3029</v>
      </c>
      <c r="Z143" t="s">
        <v>3030</v>
      </c>
      <c r="AA143" t="s">
        <v>3031</v>
      </c>
      <c r="AB143" t="s">
        <v>74</v>
      </c>
      <c r="AC143" t="s">
        <v>3032</v>
      </c>
      <c r="AD143" t="s">
        <v>3032</v>
      </c>
      <c r="AE143" t="s">
        <v>3033</v>
      </c>
      <c r="AF143" t="s">
        <v>74</v>
      </c>
      <c r="AG143">
        <v>74</v>
      </c>
      <c r="AH143">
        <v>14</v>
      </c>
      <c r="AI143">
        <v>14</v>
      </c>
      <c r="AJ143">
        <v>0</v>
      </c>
      <c r="AK143">
        <v>38</v>
      </c>
      <c r="AL143" t="s">
        <v>224</v>
      </c>
      <c r="AM143" t="s">
        <v>576</v>
      </c>
      <c r="AN143" t="s">
        <v>577</v>
      </c>
      <c r="AO143" t="s">
        <v>3034</v>
      </c>
      <c r="AP143" t="s">
        <v>3035</v>
      </c>
      <c r="AQ143" t="s">
        <v>74</v>
      </c>
      <c r="AR143" t="s">
        <v>3036</v>
      </c>
      <c r="AS143" t="s">
        <v>3037</v>
      </c>
      <c r="AT143" t="s">
        <v>1791</v>
      </c>
      <c r="AU143">
        <v>2014</v>
      </c>
      <c r="AV143">
        <v>72</v>
      </c>
      <c r="AW143">
        <v>6</v>
      </c>
      <c r="AX143" t="s">
        <v>74</v>
      </c>
      <c r="AY143" t="s">
        <v>74</v>
      </c>
      <c r="AZ143" t="s">
        <v>74</v>
      </c>
      <c r="BA143" t="s">
        <v>74</v>
      </c>
      <c r="BB143">
        <v>1861</v>
      </c>
      <c r="BC143">
        <v>1875</v>
      </c>
      <c r="BD143" t="s">
        <v>74</v>
      </c>
      <c r="BE143" t="s">
        <v>3038</v>
      </c>
      <c r="BF143" t="str">
        <f>HYPERLINK("http://dx.doi.org/10.1007/s12665-014-3095-y","http://dx.doi.org/10.1007/s12665-014-3095-y")</f>
        <v>http://dx.doi.org/10.1007/s12665-014-3095-y</v>
      </c>
      <c r="BG143" t="s">
        <v>74</v>
      </c>
      <c r="BH143" t="s">
        <v>74</v>
      </c>
      <c r="BI143">
        <v>15</v>
      </c>
      <c r="BJ143" t="s">
        <v>3039</v>
      </c>
      <c r="BK143" t="s">
        <v>102</v>
      </c>
      <c r="BL143" t="s">
        <v>3040</v>
      </c>
      <c r="BM143" t="s">
        <v>3041</v>
      </c>
      <c r="BN143" t="s">
        <v>74</v>
      </c>
      <c r="BO143" t="s">
        <v>74</v>
      </c>
      <c r="BP143" t="s">
        <v>74</v>
      </c>
      <c r="BQ143" t="s">
        <v>74</v>
      </c>
      <c r="BR143" t="s">
        <v>105</v>
      </c>
      <c r="BS143" t="s">
        <v>3042</v>
      </c>
      <c r="BT143" t="str">
        <f>HYPERLINK("https%3A%2F%2Fwww.webofscience.com%2Fwos%2Fwoscc%2Ffull-record%2FWOS:000341083800010","View Full Record in Web of Science")</f>
        <v>View Full Record in Web of Science</v>
      </c>
    </row>
    <row r="144" spans="1:72" x14ac:dyDescent="0.15">
      <c r="A144" t="s">
        <v>72</v>
      </c>
      <c r="B144" t="s">
        <v>3043</v>
      </c>
      <c r="C144" t="s">
        <v>74</v>
      </c>
      <c r="D144" t="s">
        <v>74</v>
      </c>
      <c r="E144" t="s">
        <v>74</v>
      </c>
      <c r="F144" t="s">
        <v>3044</v>
      </c>
      <c r="G144" t="s">
        <v>74</v>
      </c>
      <c r="H144" t="s">
        <v>74</v>
      </c>
      <c r="I144" t="s">
        <v>3045</v>
      </c>
      <c r="J144" t="s">
        <v>3046</v>
      </c>
      <c r="K144" t="s">
        <v>74</v>
      </c>
      <c r="L144" t="s">
        <v>74</v>
      </c>
      <c r="M144" t="s">
        <v>78</v>
      </c>
      <c r="N144" t="s">
        <v>79</v>
      </c>
      <c r="O144" t="s">
        <v>74</v>
      </c>
      <c r="P144" t="s">
        <v>74</v>
      </c>
      <c r="Q144" t="s">
        <v>74</v>
      </c>
      <c r="R144" t="s">
        <v>74</v>
      </c>
      <c r="S144" t="s">
        <v>74</v>
      </c>
      <c r="T144" t="s">
        <v>3047</v>
      </c>
      <c r="U144" t="s">
        <v>3048</v>
      </c>
      <c r="V144" t="s">
        <v>3049</v>
      </c>
      <c r="W144" t="s">
        <v>3050</v>
      </c>
      <c r="X144" t="s">
        <v>3051</v>
      </c>
      <c r="Y144" t="s">
        <v>3052</v>
      </c>
      <c r="Z144" t="s">
        <v>3053</v>
      </c>
      <c r="AA144" t="s">
        <v>3054</v>
      </c>
      <c r="AB144" t="s">
        <v>3055</v>
      </c>
      <c r="AC144" t="s">
        <v>3056</v>
      </c>
      <c r="AD144" t="s">
        <v>3056</v>
      </c>
      <c r="AE144" t="s">
        <v>3057</v>
      </c>
      <c r="AF144" t="s">
        <v>74</v>
      </c>
      <c r="AG144">
        <v>50</v>
      </c>
      <c r="AH144">
        <v>2</v>
      </c>
      <c r="AI144">
        <v>3</v>
      </c>
      <c r="AJ144">
        <v>1</v>
      </c>
      <c r="AK144">
        <v>26</v>
      </c>
      <c r="AL144" t="s">
        <v>171</v>
      </c>
      <c r="AM144" t="s">
        <v>93</v>
      </c>
      <c r="AN144" t="s">
        <v>94</v>
      </c>
      <c r="AO144" t="s">
        <v>3058</v>
      </c>
      <c r="AP144" t="s">
        <v>3059</v>
      </c>
      <c r="AQ144" t="s">
        <v>74</v>
      </c>
      <c r="AR144" t="s">
        <v>3060</v>
      </c>
      <c r="AS144" t="s">
        <v>3061</v>
      </c>
      <c r="AT144" t="s">
        <v>1791</v>
      </c>
      <c r="AU144">
        <v>2014</v>
      </c>
      <c r="AV144">
        <v>15</v>
      </c>
      <c r="AW144">
        <v>3</v>
      </c>
      <c r="AX144" t="s">
        <v>74</v>
      </c>
      <c r="AY144" t="s">
        <v>74</v>
      </c>
      <c r="AZ144" t="s">
        <v>74</v>
      </c>
      <c r="BA144" t="s">
        <v>74</v>
      </c>
      <c r="BB144">
        <v>445</v>
      </c>
      <c r="BC144">
        <v>455</v>
      </c>
      <c r="BD144" t="s">
        <v>74</v>
      </c>
      <c r="BE144" t="s">
        <v>3062</v>
      </c>
      <c r="BF144" t="str">
        <f>HYPERLINK("http://dx.doi.org/10.1111/faf.12025","http://dx.doi.org/10.1111/faf.12025")</f>
        <v>http://dx.doi.org/10.1111/faf.12025</v>
      </c>
      <c r="BG144" t="s">
        <v>74</v>
      </c>
      <c r="BH144" t="s">
        <v>74</v>
      </c>
      <c r="BI144">
        <v>11</v>
      </c>
      <c r="BJ144" t="s">
        <v>3063</v>
      </c>
      <c r="BK144" t="s">
        <v>102</v>
      </c>
      <c r="BL144" t="s">
        <v>3063</v>
      </c>
      <c r="BM144" t="s">
        <v>3064</v>
      </c>
      <c r="BN144" t="s">
        <v>74</v>
      </c>
      <c r="BO144" t="s">
        <v>74</v>
      </c>
      <c r="BP144" t="s">
        <v>74</v>
      </c>
      <c r="BQ144" t="s">
        <v>74</v>
      </c>
      <c r="BR144" t="s">
        <v>105</v>
      </c>
      <c r="BS144" t="s">
        <v>3065</v>
      </c>
      <c r="BT144" t="str">
        <f>HYPERLINK("https%3A%2F%2Fwww.webofscience.com%2Fwos%2Fwoscc%2Ffull-record%2FWOS:000340661300006","View Full Record in Web of Science")</f>
        <v>View Full Record in Web of Science</v>
      </c>
    </row>
    <row r="145" spans="1:72" x14ac:dyDescent="0.15">
      <c r="A145" t="s">
        <v>72</v>
      </c>
      <c r="B145" t="s">
        <v>3066</v>
      </c>
      <c r="C145" t="s">
        <v>74</v>
      </c>
      <c r="D145" t="s">
        <v>74</v>
      </c>
      <c r="E145" t="s">
        <v>74</v>
      </c>
      <c r="F145" t="s">
        <v>3067</v>
      </c>
      <c r="G145" t="s">
        <v>74</v>
      </c>
      <c r="H145" t="s">
        <v>74</v>
      </c>
      <c r="I145" t="s">
        <v>3068</v>
      </c>
      <c r="J145" t="s">
        <v>3069</v>
      </c>
      <c r="K145" t="s">
        <v>74</v>
      </c>
      <c r="L145" t="s">
        <v>74</v>
      </c>
      <c r="M145" t="s">
        <v>78</v>
      </c>
      <c r="N145" t="s">
        <v>79</v>
      </c>
      <c r="O145" t="s">
        <v>74</v>
      </c>
      <c r="P145" t="s">
        <v>74</v>
      </c>
      <c r="Q145" t="s">
        <v>74</v>
      </c>
      <c r="R145" t="s">
        <v>74</v>
      </c>
      <c r="S145" t="s">
        <v>74</v>
      </c>
      <c r="T145" t="s">
        <v>3070</v>
      </c>
      <c r="U145" t="s">
        <v>3071</v>
      </c>
      <c r="V145" t="s">
        <v>3072</v>
      </c>
      <c r="W145" t="s">
        <v>3073</v>
      </c>
      <c r="X145" t="s">
        <v>3074</v>
      </c>
      <c r="Y145" t="s">
        <v>3075</v>
      </c>
      <c r="Z145" t="s">
        <v>3076</v>
      </c>
      <c r="AA145" t="s">
        <v>3077</v>
      </c>
      <c r="AB145" t="s">
        <v>3078</v>
      </c>
      <c r="AC145" t="s">
        <v>3079</v>
      </c>
      <c r="AD145" t="s">
        <v>3080</v>
      </c>
      <c r="AE145" t="s">
        <v>3081</v>
      </c>
      <c r="AF145" t="s">
        <v>74</v>
      </c>
      <c r="AG145">
        <v>46</v>
      </c>
      <c r="AH145">
        <v>5</v>
      </c>
      <c r="AI145">
        <v>5</v>
      </c>
      <c r="AJ145">
        <v>0</v>
      </c>
      <c r="AK145">
        <v>6</v>
      </c>
      <c r="AL145" t="s">
        <v>171</v>
      </c>
      <c r="AM145" t="s">
        <v>93</v>
      </c>
      <c r="AN145" t="s">
        <v>94</v>
      </c>
      <c r="AO145" t="s">
        <v>3082</v>
      </c>
      <c r="AP145" t="s">
        <v>3083</v>
      </c>
      <c r="AQ145" t="s">
        <v>74</v>
      </c>
      <c r="AR145" t="s">
        <v>3084</v>
      </c>
      <c r="AS145" t="s">
        <v>3085</v>
      </c>
      <c r="AT145" t="s">
        <v>1791</v>
      </c>
      <c r="AU145">
        <v>2014</v>
      </c>
      <c r="AV145">
        <v>133</v>
      </c>
      <c r="AW145">
        <v>3</v>
      </c>
      <c r="AX145" t="s">
        <v>74</v>
      </c>
      <c r="AY145" t="s">
        <v>74</v>
      </c>
      <c r="AZ145" t="s">
        <v>74</v>
      </c>
      <c r="BA145" t="s">
        <v>74</v>
      </c>
      <c r="BB145">
        <v>242</v>
      </c>
      <c r="BC145">
        <v>260</v>
      </c>
      <c r="BD145" t="s">
        <v>74</v>
      </c>
      <c r="BE145" t="s">
        <v>3086</v>
      </c>
      <c r="BF145" t="str">
        <f>HYPERLINK("http://dx.doi.org/10.1111/ivb.12062","http://dx.doi.org/10.1111/ivb.12062")</f>
        <v>http://dx.doi.org/10.1111/ivb.12062</v>
      </c>
      <c r="BG145" t="s">
        <v>74</v>
      </c>
      <c r="BH145" t="s">
        <v>74</v>
      </c>
      <c r="BI145">
        <v>19</v>
      </c>
      <c r="BJ145" t="s">
        <v>3087</v>
      </c>
      <c r="BK145" t="s">
        <v>102</v>
      </c>
      <c r="BL145" t="s">
        <v>3087</v>
      </c>
      <c r="BM145" t="s">
        <v>3088</v>
      </c>
      <c r="BN145" t="s">
        <v>74</v>
      </c>
      <c r="BO145" t="s">
        <v>179</v>
      </c>
      <c r="BP145" t="s">
        <v>74</v>
      </c>
      <c r="BQ145" t="s">
        <v>74</v>
      </c>
      <c r="BR145" t="s">
        <v>105</v>
      </c>
      <c r="BS145" t="s">
        <v>3089</v>
      </c>
      <c r="BT145" t="str">
        <f>HYPERLINK("https%3A%2F%2Fwww.webofscience.com%2Fwos%2Fwoscc%2Ffull-record%2FWOS:000341179600005","View Full Record in Web of Science")</f>
        <v>View Full Record in Web of Science</v>
      </c>
    </row>
    <row r="146" spans="1:72" x14ac:dyDescent="0.15">
      <c r="A146" t="s">
        <v>72</v>
      </c>
      <c r="B146" t="s">
        <v>3090</v>
      </c>
      <c r="C146" t="s">
        <v>74</v>
      </c>
      <c r="D146" t="s">
        <v>74</v>
      </c>
      <c r="E146" t="s">
        <v>74</v>
      </c>
      <c r="F146" t="s">
        <v>3091</v>
      </c>
      <c r="G146" t="s">
        <v>74</v>
      </c>
      <c r="H146" t="s">
        <v>74</v>
      </c>
      <c r="I146" t="s">
        <v>3092</v>
      </c>
      <c r="J146" t="s">
        <v>3093</v>
      </c>
      <c r="K146" t="s">
        <v>74</v>
      </c>
      <c r="L146" t="s">
        <v>74</v>
      </c>
      <c r="M146" t="s">
        <v>78</v>
      </c>
      <c r="N146" t="s">
        <v>79</v>
      </c>
      <c r="O146" t="s">
        <v>74</v>
      </c>
      <c r="P146" t="s">
        <v>74</v>
      </c>
      <c r="Q146" t="s">
        <v>74</v>
      </c>
      <c r="R146" t="s">
        <v>74</v>
      </c>
      <c r="S146" t="s">
        <v>74</v>
      </c>
      <c r="T146" t="s">
        <v>3094</v>
      </c>
      <c r="U146" t="s">
        <v>3095</v>
      </c>
      <c r="V146" t="s">
        <v>3096</v>
      </c>
      <c r="W146" t="s">
        <v>3097</v>
      </c>
      <c r="X146" t="s">
        <v>3098</v>
      </c>
      <c r="Y146" t="s">
        <v>3099</v>
      </c>
      <c r="Z146" t="s">
        <v>3100</v>
      </c>
      <c r="AA146" t="s">
        <v>74</v>
      </c>
      <c r="AB146" t="s">
        <v>3101</v>
      </c>
      <c r="AC146" t="s">
        <v>3102</v>
      </c>
      <c r="AD146" t="s">
        <v>3103</v>
      </c>
      <c r="AE146" t="s">
        <v>3104</v>
      </c>
      <c r="AF146" t="s">
        <v>74</v>
      </c>
      <c r="AG146">
        <v>61</v>
      </c>
      <c r="AH146">
        <v>18</v>
      </c>
      <c r="AI146">
        <v>25</v>
      </c>
      <c r="AJ146">
        <v>2</v>
      </c>
      <c r="AK146">
        <v>41</v>
      </c>
      <c r="AL146" t="s">
        <v>171</v>
      </c>
      <c r="AM146" t="s">
        <v>93</v>
      </c>
      <c r="AN146" t="s">
        <v>94</v>
      </c>
      <c r="AO146" t="s">
        <v>3105</v>
      </c>
      <c r="AP146" t="s">
        <v>3106</v>
      </c>
      <c r="AQ146" t="s">
        <v>74</v>
      </c>
      <c r="AR146" t="s">
        <v>3107</v>
      </c>
      <c r="AS146" t="s">
        <v>3108</v>
      </c>
      <c r="AT146" t="s">
        <v>1791</v>
      </c>
      <c r="AU146">
        <v>2014</v>
      </c>
      <c r="AV146">
        <v>83</v>
      </c>
      <c r="AW146">
        <v>5</v>
      </c>
      <c r="AX146" t="s">
        <v>74</v>
      </c>
      <c r="AY146" t="s">
        <v>74</v>
      </c>
      <c r="AZ146" t="s">
        <v>74</v>
      </c>
      <c r="BA146" t="s">
        <v>74</v>
      </c>
      <c r="BB146">
        <v>1158</v>
      </c>
      <c r="BC146">
        <v>1168</v>
      </c>
      <c r="BD146" t="s">
        <v>74</v>
      </c>
      <c r="BE146" t="s">
        <v>3109</v>
      </c>
      <c r="BF146" t="str">
        <f>HYPERLINK("http://dx.doi.org/10.1111/1365-2656.12211","http://dx.doi.org/10.1111/1365-2656.12211")</f>
        <v>http://dx.doi.org/10.1111/1365-2656.12211</v>
      </c>
      <c r="BG146" t="s">
        <v>74</v>
      </c>
      <c r="BH146" t="s">
        <v>74</v>
      </c>
      <c r="BI146">
        <v>11</v>
      </c>
      <c r="BJ146" t="s">
        <v>3110</v>
      </c>
      <c r="BK146" t="s">
        <v>102</v>
      </c>
      <c r="BL146" t="s">
        <v>3111</v>
      </c>
      <c r="BM146" t="s">
        <v>3112</v>
      </c>
      <c r="BN146">
        <v>24673453</v>
      </c>
      <c r="BO146" t="s">
        <v>74</v>
      </c>
      <c r="BP146" t="s">
        <v>74</v>
      </c>
      <c r="BQ146" t="s">
        <v>74</v>
      </c>
      <c r="BR146" t="s">
        <v>105</v>
      </c>
      <c r="BS146" t="s">
        <v>3113</v>
      </c>
      <c r="BT146" t="str">
        <f>HYPERLINK("https%3A%2F%2Fwww.webofscience.com%2Fwos%2Fwoscc%2Ffull-record%2FWOS:000340877700016","View Full Record in Web of Science")</f>
        <v>View Full Record in Web of Science</v>
      </c>
    </row>
    <row r="147" spans="1:72" x14ac:dyDescent="0.15">
      <c r="A147" t="s">
        <v>72</v>
      </c>
      <c r="B147" t="s">
        <v>3114</v>
      </c>
      <c r="C147" t="s">
        <v>74</v>
      </c>
      <c r="D147" t="s">
        <v>74</v>
      </c>
      <c r="E147" t="s">
        <v>74</v>
      </c>
      <c r="F147" t="s">
        <v>3115</v>
      </c>
      <c r="G147" t="s">
        <v>74</v>
      </c>
      <c r="H147" t="s">
        <v>74</v>
      </c>
      <c r="I147" t="s">
        <v>3116</v>
      </c>
      <c r="J147" t="s">
        <v>3117</v>
      </c>
      <c r="K147" t="s">
        <v>74</v>
      </c>
      <c r="L147" t="s">
        <v>74</v>
      </c>
      <c r="M147" t="s">
        <v>78</v>
      </c>
      <c r="N147" t="s">
        <v>79</v>
      </c>
      <c r="O147" t="s">
        <v>74</v>
      </c>
      <c r="P147" t="s">
        <v>74</v>
      </c>
      <c r="Q147" t="s">
        <v>74</v>
      </c>
      <c r="R147" t="s">
        <v>74</v>
      </c>
      <c r="S147" t="s">
        <v>74</v>
      </c>
      <c r="T147" t="s">
        <v>3118</v>
      </c>
      <c r="U147" t="s">
        <v>3119</v>
      </c>
      <c r="V147" t="s">
        <v>3120</v>
      </c>
      <c r="W147" t="s">
        <v>3121</v>
      </c>
      <c r="X147" t="s">
        <v>3122</v>
      </c>
      <c r="Y147" t="s">
        <v>3123</v>
      </c>
      <c r="Z147" t="s">
        <v>3124</v>
      </c>
      <c r="AA147" t="s">
        <v>74</v>
      </c>
      <c r="AB147" t="s">
        <v>3125</v>
      </c>
      <c r="AC147" t="s">
        <v>3126</v>
      </c>
      <c r="AD147" t="s">
        <v>3127</v>
      </c>
      <c r="AE147" t="s">
        <v>3128</v>
      </c>
      <c r="AF147" t="s">
        <v>74</v>
      </c>
      <c r="AG147">
        <v>59</v>
      </c>
      <c r="AH147">
        <v>8</v>
      </c>
      <c r="AI147">
        <v>10</v>
      </c>
      <c r="AJ147">
        <v>0</v>
      </c>
      <c r="AK147">
        <v>18</v>
      </c>
      <c r="AL147" t="s">
        <v>224</v>
      </c>
      <c r="AM147" t="s">
        <v>576</v>
      </c>
      <c r="AN147" t="s">
        <v>577</v>
      </c>
      <c r="AO147" t="s">
        <v>3129</v>
      </c>
      <c r="AP147" t="s">
        <v>3130</v>
      </c>
      <c r="AQ147" t="s">
        <v>74</v>
      </c>
      <c r="AR147" t="s">
        <v>3131</v>
      </c>
      <c r="AS147" t="s">
        <v>3132</v>
      </c>
      <c r="AT147" t="s">
        <v>1791</v>
      </c>
      <c r="AU147">
        <v>2014</v>
      </c>
      <c r="AV147">
        <v>88</v>
      </c>
      <c r="AW147">
        <v>9</v>
      </c>
      <c r="AX147" t="s">
        <v>74</v>
      </c>
      <c r="AY147" t="s">
        <v>74</v>
      </c>
      <c r="AZ147" t="s">
        <v>74</v>
      </c>
      <c r="BA147" t="s">
        <v>74</v>
      </c>
      <c r="BB147">
        <v>821</v>
      </c>
      <c r="BC147">
        <v>838</v>
      </c>
      <c r="BD147" t="s">
        <v>74</v>
      </c>
      <c r="BE147" t="s">
        <v>3133</v>
      </c>
      <c r="BF147" t="str">
        <f>HYPERLINK("http://dx.doi.org/10.1007/s00190-014-0724-x","http://dx.doi.org/10.1007/s00190-014-0724-x")</f>
        <v>http://dx.doi.org/10.1007/s00190-014-0724-x</v>
      </c>
      <c r="BG147" t="s">
        <v>74</v>
      </c>
      <c r="BH147" t="s">
        <v>74</v>
      </c>
      <c r="BI147">
        <v>18</v>
      </c>
      <c r="BJ147" t="s">
        <v>3134</v>
      </c>
      <c r="BK147" t="s">
        <v>102</v>
      </c>
      <c r="BL147" t="s">
        <v>3134</v>
      </c>
      <c r="BM147" t="s">
        <v>3135</v>
      </c>
      <c r="BN147" t="s">
        <v>74</v>
      </c>
      <c r="BO147" t="s">
        <v>74</v>
      </c>
      <c r="BP147" t="s">
        <v>74</v>
      </c>
      <c r="BQ147" t="s">
        <v>74</v>
      </c>
      <c r="BR147" t="s">
        <v>105</v>
      </c>
      <c r="BS147" t="s">
        <v>3136</v>
      </c>
      <c r="BT147" t="str">
        <f>HYPERLINK("https%3A%2F%2Fwww.webofscience.com%2Fwos%2Fwoscc%2Ffull-record%2FWOS:000340588500001","View Full Record in Web of Science")</f>
        <v>View Full Record in Web of Science</v>
      </c>
    </row>
    <row r="148" spans="1:72" x14ac:dyDescent="0.15">
      <c r="A148" t="s">
        <v>72</v>
      </c>
      <c r="B148" t="s">
        <v>3137</v>
      </c>
      <c r="C148" t="s">
        <v>74</v>
      </c>
      <c r="D148" t="s">
        <v>74</v>
      </c>
      <c r="E148" t="s">
        <v>74</v>
      </c>
      <c r="F148" t="s">
        <v>3138</v>
      </c>
      <c r="G148" t="s">
        <v>74</v>
      </c>
      <c r="H148" t="s">
        <v>74</v>
      </c>
      <c r="I148" t="s">
        <v>3139</v>
      </c>
      <c r="J148" t="s">
        <v>1458</v>
      </c>
      <c r="K148" t="s">
        <v>74</v>
      </c>
      <c r="L148" t="s">
        <v>74</v>
      </c>
      <c r="M148" t="s">
        <v>78</v>
      </c>
      <c r="N148" t="s">
        <v>79</v>
      </c>
      <c r="O148" t="s">
        <v>74</v>
      </c>
      <c r="P148" t="s">
        <v>74</v>
      </c>
      <c r="Q148" t="s">
        <v>74</v>
      </c>
      <c r="R148" t="s">
        <v>74</v>
      </c>
      <c r="S148" t="s">
        <v>74</v>
      </c>
      <c r="T148" t="s">
        <v>3140</v>
      </c>
      <c r="U148" t="s">
        <v>3141</v>
      </c>
      <c r="V148" t="s">
        <v>3142</v>
      </c>
      <c r="W148" t="s">
        <v>3143</v>
      </c>
      <c r="X148" t="s">
        <v>3144</v>
      </c>
      <c r="Y148" t="s">
        <v>3145</v>
      </c>
      <c r="Z148" t="s">
        <v>3146</v>
      </c>
      <c r="AA148" t="s">
        <v>3147</v>
      </c>
      <c r="AB148" t="s">
        <v>3148</v>
      </c>
      <c r="AC148" t="s">
        <v>3149</v>
      </c>
      <c r="AD148" t="s">
        <v>3150</v>
      </c>
      <c r="AE148" t="s">
        <v>3151</v>
      </c>
      <c r="AF148" t="s">
        <v>74</v>
      </c>
      <c r="AG148">
        <v>70</v>
      </c>
      <c r="AH148">
        <v>12</v>
      </c>
      <c r="AI148">
        <v>15</v>
      </c>
      <c r="AJ148">
        <v>0</v>
      </c>
      <c r="AK148">
        <v>39</v>
      </c>
      <c r="AL148" t="s">
        <v>250</v>
      </c>
      <c r="AM148" t="s">
        <v>251</v>
      </c>
      <c r="AN148" t="s">
        <v>252</v>
      </c>
      <c r="AO148" t="s">
        <v>1471</v>
      </c>
      <c r="AP148" t="s">
        <v>74</v>
      </c>
      <c r="AQ148" t="s">
        <v>74</v>
      </c>
      <c r="AR148" t="s">
        <v>1472</v>
      </c>
      <c r="AS148" t="s">
        <v>1473</v>
      </c>
      <c r="AT148" t="s">
        <v>2460</v>
      </c>
      <c r="AU148">
        <v>2014</v>
      </c>
      <c r="AV148">
        <v>99</v>
      </c>
      <c r="AW148" t="s">
        <v>74</v>
      </c>
      <c r="AX148" t="s">
        <v>74</v>
      </c>
      <c r="AY148" t="s">
        <v>74</v>
      </c>
      <c r="AZ148" t="s">
        <v>74</v>
      </c>
      <c r="BA148" t="s">
        <v>74</v>
      </c>
      <c r="BB148">
        <v>135</v>
      </c>
      <c r="BC148">
        <v>145</v>
      </c>
      <c r="BD148" t="s">
        <v>74</v>
      </c>
      <c r="BE148" t="s">
        <v>3152</v>
      </c>
      <c r="BF148" t="str">
        <f>HYPERLINK("http://dx.doi.org/10.1016/j.quascirev.2014.06.015","http://dx.doi.org/10.1016/j.quascirev.2014.06.015")</f>
        <v>http://dx.doi.org/10.1016/j.quascirev.2014.06.015</v>
      </c>
      <c r="BG148" t="s">
        <v>74</v>
      </c>
      <c r="BH148" t="s">
        <v>74</v>
      </c>
      <c r="BI148">
        <v>11</v>
      </c>
      <c r="BJ148" t="s">
        <v>1427</v>
      </c>
      <c r="BK148" t="s">
        <v>102</v>
      </c>
      <c r="BL148" t="s">
        <v>1428</v>
      </c>
      <c r="BM148" t="s">
        <v>3153</v>
      </c>
      <c r="BN148" t="s">
        <v>74</v>
      </c>
      <c r="BO148" t="s">
        <v>74</v>
      </c>
      <c r="BP148" t="s">
        <v>74</v>
      </c>
      <c r="BQ148" t="s">
        <v>74</v>
      </c>
      <c r="BR148" t="s">
        <v>105</v>
      </c>
      <c r="BS148" t="s">
        <v>3154</v>
      </c>
      <c r="BT148" t="str">
        <f>HYPERLINK("https%3A%2F%2Fwww.webofscience.com%2Fwos%2Fwoscc%2Ffull-record%2FWOS:000340980100011","View Full Record in Web of Science")</f>
        <v>View Full Record in Web of Science</v>
      </c>
    </row>
    <row r="149" spans="1:72" x14ac:dyDescent="0.15">
      <c r="A149" t="s">
        <v>72</v>
      </c>
      <c r="B149" t="s">
        <v>3155</v>
      </c>
      <c r="C149" t="s">
        <v>74</v>
      </c>
      <c r="D149" t="s">
        <v>74</v>
      </c>
      <c r="E149" t="s">
        <v>74</v>
      </c>
      <c r="F149" t="s">
        <v>3156</v>
      </c>
      <c r="G149" t="s">
        <v>74</v>
      </c>
      <c r="H149" t="s">
        <v>74</v>
      </c>
      <c r="I149" t="s">
        <v>3157</v>
      </c>
      <c r="J149" t="s">
        <v>3158</v>
      </c>
      <c r="K149" t="s">
        <v>74</v>
      </c>
      <c r="L149" t="s">
        <v>74</v>
      </c>
      <c r="M149" t="s">
        <v>78</v>
      </c>
      <c r="N149" t="s">
        <v>52</v>
      </c>
      <c r="O149" t="s">
        <v>3159</v>
      </c>
      <c r="P149" t="s">
        <v>3160</v>
      </c>
      <c r="Q149" t="s">
        <v>3161</v>
      </c>
      <c r="R149" t="s">
        <v>74</v>
      </c>
      <c r="S149" t="s">
        <v>74</v>
      </c>
      <c r="T149" t="s">
        <v>74</v>
      </c>
      <c r="U149" t="s">
        <v>74</v>
      </c>
      <c r="V149" t="s">
        <v>74</v>
      </c>
      <c r="W149" t="s">
        <v>3162</v>
      </c>
      <c r="X149" t="s">
        <v>3163</v>
      </c>
      <c r="Y149" t="s">
        <v>74</v>
      </c>
      <c r="Z149" t="s">
        <v>3164</v>
      </c>
      <c r="AA149" t="s">
        <v>2185</v>
      </c>
      <c r="AB149" t="s">
        <v>2186</v>
      </c>
      <c r="AC149" t="s">
        <v>74</v>
      </c>
      <c r="AD149" t="s">
        <v>74</v>
      </c>
      <c r="AE149" t="s">
        <v>74</v>
      </c>
      <c r="AF149" t="s">
        <v>74</v>
      </c>
      <c r="AG149">
        <v>0</v>
      </c>
      <c r="AH149">
        <v>0</v>
      </c>
      <c r="AI149">
        <v>0</v>
      </c>
      <c r="AJ149">
        <v>0</v>
      </c>
      <c r="AK149">
        <v>4</v>
      </c>
      <c r="AL149" t="s">
        <v>224</v>
      </c>
      <c r="AM149" t="s">
        <v>225</v>
      </c>
      <c r="AN149" t="s">
        <v>226</v>
      </c>
      <c r="AO149" t="s">
        <v>3165</v>
      </c>
      <c r="AP149" t="s">
        <v>3166</v>
      </c>
      <c r="AQ149" t="s">
        <v>74</v>
      </c>
      <c r="AR149" t="s">
        <v>3167</v>
      </c>
      <c r="AS149" t="s">
        <v>3168</v>
      </c>
      <c r="AT149" t="s">
        <v>1791</v>
      </c>
      <c r="AU149">
        <v>2014</v>
      </c>
      <c r="AV149">
        <v>22</v>
      </c>
      <c r="AW149">
        <v>3</v>
      </c>
      <c r="AX149" t="s">
        <v>74</v>
      </c>
      <c r="AY149" t="s">
        <v>74</v>
      </c>
      <c r="AZ149" t="s">
        <v>74</v>
      </c>
      <c r="BA149" t="s">
        <v>3169</v>
      </c>
      <c r="BB149">
        <v>430</v>
      </c>
      <c r="BC149">
        <v>430</v>
      </c>
      <c r="BD149" t="s">
        <v>74</v>
      </c>
      <c r="BE149" t="s">
        <v>74</v>
      </c>
      <c r="BF149" t="s">
        <v>74</v>
      </c>
      <c r="BG149" t="s">
        <v>74</v>
      </c>
      <c r="BH149" t="s">
        <v>74</v>
      </c>
      <c r="BI149">
        <v>1</v>
      </c>
      <c r="BJ149" t="s">
        <v>2197</v>
      </c>
      <c r="BK149" t="s">
        <v>1795</v>
      </c>
      <c r="BL149" t="s">
        <v>2197</v>
      </c>
      <c r="BM149" t="s">
        <v>3170</v>
      </c>
      <c r="BN149" t="s">
        <v>74</v>
      </c>
      <c r="BO149" t="s">
        <v>74</v>
      </c>
      <c r="BP149" t="s">
        <v>74</v>
      </c>
      <c r="BQ149" t="s">
        <v>74</v>
      </c>
      <c r="BR149" t="s">
        <v>105</v>
      </c>
      <c r="BS149" t="s">
        <v>3171</v>
      </c>
      <c r="BT149" t="str">
        <f>HYPERLINK("https%3A%2F%2Fwww.webofscience.com%2Fwos%2Fwoscc%2Ffull-record%2FWOS:000340534700090","View Full Record in Web of Science")</f>
        <v>View Full Record in Web of Science</v>
      </c>
    </row>
    <row r="150" spans="1:72" x14ac:dyDescent="0.15">
      <c r="A150" t="s">
        <v>72</v>
      </c>
      <c r="B150" t="s">
        <v>3172</v>
      </c>
      <c r="C150" t="s">
        <v>74</v>
      </c>
      <c r="D150" t="s">
        <v>74</v>
      </c>
      <c r="E150" t="s">
        <v>74</v>
      </c>
      <c r="F150" t="s">
        <v>3173</v>
      </c>
      <c r="G150" t="s">
        <v>74</v>
      </c>
      <c r="H150" t="s">
        <v>74</v>
      </c>
      <c r="I150" t="s">
        <v>3174</v>
      </c>
      <c r="J150" t="s">
        <v>3158</v>
      </c>
      <c r="K150" t="s">
        <v>74</v>
      </c>
      <c r="L150" t="s">
        <v>74</v>
      </c>
      <c r="M150" t="s">
        <v>78</v>
      </c>
      <c r="N150" t="s">
        <v>52</v>
      </c>
      <c r="O150" t="s">
        <v>3159</v>
      </c>
      <c r="P150" t="s">
        <v>3160</v>
      </c>
      <c r="Q150" t="s">
        <v>3161</v>
      </c>
      <c r="R150" t="s">
        <v>74</v>
      </c>
      <c r="S150" t="s">
        <v>74</v>
      </c>
      <c r="T150" t="s">
        <v>74</v>
      </c>
      <c r="U150" t="s">
        <v>74</v>
      </c>
      <c r="V150" t="s">
        <v>74</v>
      </c>
      <c r="W150" t="s">
        <v>3175</v>
      </c>
      <c r="X150" t="s">
        <v>3176</v>
      </c>
      <c r="Y150" t="s">
        <v>74</v>
      </c>
      <c r="Z150" t="s">
        <v>3177</v>
      </c>
      <c r="AA150" t="s">
        <v>3178</v>
      </c>
      <c r="AB150" t="s">
        <v>74</v>
      </c>
      <c r="AC150" t="s">
        <v>74</v>
      </c>
      <c r="AD150" t="s">
        <v>74</v>
      </c>
      <c r="AE150" t="s">
        <v>74</v>
      </c>
      <c r="AF150" t="s">
        <v>74</v>
      </c>
      <c r="AG150">
        <v>0</v>
      </c>
      <c r="AH150">
        <v>1</v>
      </c>
      <c r="AI150">
        <v>1</v>
      </c>
      <c r="AJ150">
        <v>0</v>
      </c>
      <c r="AK150">
        <v>6</v>
      </c>
      <c r="AL150" t="s">
        <v>224</v>
      </c>
      <c r="AM150" t="s">
        <v>225</v>
      </c>
      <c r="AN150" t="s">
        <v>226</v>
      </c>
      <c r="AO150" t="s">
        <v>3165</v>
      </c>
      <c r="AP150" t="s">
        <v>3166</v>
      </c>
      <c r="AQ150" t="s">
        <v>74</v>
      </c>
      <c r="AR150" t="s">
        <v>3167</v>
      </c>
      <c r="AS150" t="s">
        <v>3168</v>
      </c>
      <c r="AT150" t="s">
        <v>1791</v>
      </c>
      <c r="AU150">
        <v>2014</v>
      </c>
      <c r="AV150">
        <v>22</v>
      </c>
      <c r="AW150">
        <v>3</v>
      </c>
      <c r="AX150" t="s">
        <v>74</v>
      </c>
      <c r="AY150" t="s">
        <v>74</v>
      </c>
      <c r="AZ150" t="s">
        <v>74</v>
      </c>
      <c r="BA150" t="s">
        <v>3179</v>
      </c>
      <c r="BB150">
        <v>432</v>
      </c>
      <c r="BC150">
        <v>432</v>
      </c>
      <c r="BD150" t="s">
        <v>74</v>
      </c>
      <c r="BE150" t="s">
        <v>74</v>
      </c>
      <c r="BF150" t="s">
        <v>74</v>
      </c>
      <c r="BG150" t="s">
        <v>74</v>
      </c>
      <c r="BH150" t="s">
        <v>74</v>
      </c>
      <c r="BI150">
        <v>1</v>
      </c>
      <c r="BJ150" t="s">
        <v>2197</v>
      </c>
      <c r="BK150" t="s">
        <v>1795</v>
      </c>
      <c r="BL150" t="s">
        <v>2197</v>
      </c>
      <c r="BM150" t="s">
        <v>3170</v>
      </c>
      <c r="BN150" t="s">
        <v>74</v>
      </c>
      <c r="BO150" t="s">
        <v>74</v>
      </c>
      <c r="BP150" t="s">
        <v>74</v>
      </c>
      <c r="BQ150" t="s">
        <v>74</v>
      </c>
      <c r="BR150" t="s">
        <v>105</v>
      </c>
      <c r="BS150" t="s">
        <v>3180</v>
      </c>
      <c r="BT150" t="str">
        <f>HYPERLINK("https%3A%2F%2Fwww.webofscience.com%2Fwos%2Fwoscc%2Ffull-record%2FWOS:000340534700094","View Full Record in Web of Science")</f>
        <v>View Full Record in Web of Science</v>
      </c>
    </row>
    <row r="151" spans="1:72" x14ac:dyDescent="0.15">
      <c r="A151" t="s">
        <v>72</v>
      </c>
      <c r="B151" t="s">
        <v>3181</v>
      </c>
      <c r="C151" t="s">
        <v>74</v>
      </c>
      <c r="D151" t="s">
        <v>74</v>
      </c>
      <c r="E151" t="s">
        <v>74</v>
      </c>
      <c r="F151" t="s">
        <v>3182</v>
      </c>
      <c r="G151" t="s">
        <v>74</v>
      </c>
      <c r="H151" t="s">
        <v>74</v>
      </c>
      <c r="I151" t="s">
        <v>3183</v>
      </c>
      <c r="J151" t="s">
        <v>3184</v>
      </c>
      <c r="K151" t="s">
        <v>74</v>
      </c>
      <c r="L151" t="s">
        <v>74</v>
      </c>
      <c r="M151" t="s">
        <v>78</v>
      </c>
      <c r="N151" t="s">
        <v>79</v>
      </c>
      <c r="O151" t="s">
        <v>74</v>
      </c>
      <c r="P151" t="s">
        <v>74</v>
      </c>
      <c r="Q151" t="s">
        <v>74</v>
      </c>
      <c r="R151" t="s">
        <v>74</v>
      </c>
      <c r="S151" t="s">
        <v>74</v>
      </c>
      <c r="T151" t="s">
        <v>3185</v>
      </c>
      <c r="U151" t="s">
        <v>3186</v>
      </c>
      <c r="V151" t="s">
        <v>3187</v>
      </c>
      <c r="W151" t="s">
        <v>3188</v>
      </c>
      <c r="X151" t="s">
        <v>3189</v>
      </c>
      <c r="Y151" t="s">
        <v>3190</v>
      </c>
      <c r="Z151" t="s">
        <v>3191</v>
      </c>
      <c r="AA151" t="s">
        <v>74</v>
      </c>
      <c r="AB151" t="s">
        <v>3192</v>
      </c>
      <c r="AC151" t="s">
        <v>3193</v>
      </c>
      <c r="AD151" t="s">
        <v>3194</v>
      </c>
      <c r="AE151" t="s">
        <v>3195</v>
      </c>
      <c r="AF151" t="s">
        <v>74</v>
      </c>
      <c r="AG151">
        <v>92</v>
      </c>
      <c r="AH151">
        <v>27</v>
      </c>
      <c r="AI151">
        <v>27</v>
      </c>
      <c r="AJ151">
        <v>1</v>
      </c>
      <c r="AK151">
        <v>21</v>
      </c>
      <c r="AL151" t="s">
        <v>2353</v>
      </c>
      <c r="AM151" t="s">
        <v>576</v>
      </c>
      <c r="AN151" t="s">
        <v>2354</v>
      </c>
      <c r="AO151" t="s">
        <v>3196</v>
      </c>
      <c r="AP151" t="s">
        <v>3197</v>
      </c>
      <c r="AQ151" t="s">
        <v>74</v>
      </c>
      <c r="AR151" t="s">
        <v>3198</v>
      </c>
      <c r="AS151" t="s">
        <v>3199</v>
      </c>
      <c r="AT151" t="s">
        <v>1791</v>
      </c>
      <c r="AU151">
        <v>2014</v>
      </c>
      <c r="AV151">
        <v>151</v>
      </c>
      <c r="AW151">
        <v>5</v>
      </c>
      <c r="AX151" t="s">
        <v>74</v>
      </c>
      <c r="AY151" t="s">
        <v>74</v>
      </c>
      <c r="AZ151" t="s">
        <v>74</v>
      </c>
      <c r="BA151" t="s">
        <v>74</v>
      </c>
      <c r="BB151">
        <v>816</v>
      </c>
      <c r="BC151">
        <v>829</v>
      </c>
      <c r="BD151" t="s">
        <v>74</v>
      </c>
      <c r="BE151" t="s">
        <v>3200</v>
      </c>
      <c r="BF151" t="str">
        <f>HYPERLINK("http://dx.doi.org/10.1017/S0016756813000885","http://dx.doi.org/10.1017/S0016756813000885")</f>
        <v>http://dx.doi.org/10.1017/S0016756813000885</v>
      </c>
      <c r="BG151" t="s">
        <v>74</v>
      </c>
      <c r="BH151" t="s">
        <v>74</v>
      </c>
      <c r="BI151">
        <v>14</v>
      </c>
      <c r="BJ151" t="s">
        <v>685</v>
      </c>
      <c r="BK151" t="s">
        <v>102</v>
      </c>
      <c r="BL151" t="s">
        <v>686</v>
      </c>
      <c r="BM151" t="s">
        <v>3201</v>
      </c>
      <c r="BN151" t="s">
        <v>74</v>
      </c>
      <c r="BO151" t="s">
        <v>262</v>
      </c>
      <c r="BP151" t="s">
        <v>74</v>
      </c>
      <c r="BQ151" t="s">
        <v>74</v>
      </c>
      <c r="BR151" t="s">
        <v>105</v>
      </c>
      <c r="BS151" t="s">
        <v>3202</v>
      </c>
      <c r="BT151" t="str">
        <f>HYPERLINK("https%3A%2F%2Fwww.webofscience.com%2Fwos%2Fwoscc%2Ffull-record%2FWOS:000340589700004","View Full Record in Web of Science")</f>
        <v>View Full Record in Web of Science</v>
      </c>
    </row>
    <row r="152" spans="1:72" x14ac:dyDescent="0.15">
      <c r="A152" t="s">
        <v>72</v>
      </c>
      <c r="B152" t="s">
        <v>3203</v>
      </c>
      <c r="C152" t="s">
        <v>74</v>
      </c>
      <c r="D152" t="s">
        <v>74</v>
      </c>
      <c r="E152" t="s">
        <v>74</v>
      </c>
      <c r="F152" t="s">
        <v>3204</v>
      </c>
      <c r="G152" t="s">
        <v>74</v>
      </c>
      <c r="H152" t="s">
        <v>74</v>
      </c>
      <c r="I152" t="s">
        <v>3205</v>
      </c>
      <c r="J152" t="s">
        <v>3206</v>
      </c>
      <c r="K152" t="s">
        <v>74</v>
      </c>
      <c r="L152" t="s">
        <v>74</v>
      </c>
      <c r="M152" t="s">
        <v>78</v>
      </c>
      <c r="N152" t="s">
        <v>79</v>
      </c>
      <c r="O152" t="s">
        <v>74</v>
      </c>
      <c r="P152" t="s">
        <v>74</v>
      </c>
      <c r="Q152" t="s">
        <v>74</v>
      </c>
      <c r="R152" t="s">
        <v>74</v>
      </c>
      <c r="S152" t="s">
        <v>74</v>
      </c>
      <c r="T152" t="s">
        <v>3207</v>
      </c>
      <c r="U152" t="s">
        <v>3208</v>
      </c>
      <c r="V152" t="s">
        <v>3209</v>
      </c>
      <c r="W152" t="s">
        <v>3210</v>
      </c>
      <c r="X152" t="s">
        <v>3211</v>
      </c>
      <c r="Y152" t="s">
        <v>3212</v>
      </c>
      <c r="Z152" t="s">
        <v>3213</v>
      </c>
      <c r="AA152" t="s">
        <v>3214</v>
      </c>
      <c r="AB152" t="s">
        <v>3215</v>
      </c>
      <c r="AC152" t="s">
        <v>3216</v>
      </c>
      <c r="AD152" t="s">
        <v>3217</v>
      </c>
      <c r="AE152" t="s">
        <v>3218</v>
      </c>
      <c r="AF152" t="s">
        <v>74</v>
      </c>
      <c r="AG152">
        <v>109</v>
      </c>
      <c r="AH152">
        <v>82</v>
      </c>
      <c r="AI152">
        <v>89</v>
      </c>
      <c r="AJ152">
        <v>0</v>
      </c>
      <c r="AK152">
        <v>34</v>
      </c>
      <c r="AL152" t="s">
        <v>753</v>
      </c>
      <c r="AM152" t="s">
        <v>124</v>
      </c>
      <c r="AN152" t="s">
        <v>754</v>
      </c>
      <c r="AO152" t="s">
        <v>3219</v>
      </c>
      <c r="AP152" t="s">
        <v>3220</v>
      </c>
      <c r="AQ152" t="s">
        <v>74</v>
      </c>
      <c r="AR152" t="s">
        <v>3221</v>
      </c>
      <c r="AS152" t="s">
        <v>3222</v>
      </c>
      <c r="AT152" t="s">
        <v>1791</v>
      </c>
      <c r="AU152">
        <v>2014</v>
      </c>
      <c r="AV152">
        <v>250</v>
      </c>
      <c r="AW152" t="s">
        <v>74</v>
      </c>
      <c r="AX152" t="s">
        <v>74</v>
      </c>
      <c r="AY152" t="s">
        <v>74</v>
      </c>
      <c r="AZ152" t="s">
        <v>74</v>
      </c>
      <c r="BA152" t="s">
        <v>74</v>
      </c>
      <c r="BB152">
        <v>50</v>
      </c>
      <c r="BC152">
        <v>67</v>
      </c>
      <c r="BD152" t="s">
        <v>74</v>
      </c>
      <c r="BE152" t="s">
        <v>3223</v>
      </c>
      <c r="BF152" t="str">
        <f>HYPERLINK("http://dx.doi.org/10.1016/j.precamres.2014.05.025","http://dx.doi.org/10.1016/j.precamres.2014.05.025")</f>
        <v>http://dx.doi.org/10.1016/j.precamres.2014.05.025</v>
      </c>
      <c r="BG152" t="s">
        <v>74</v>
      </c>
      <c r="BH152" t="s">
        <v>74</v>
      </c>
      <c r="BI152">
        <v>18</v>
      </c>
      <c r="BJ152" t="s">
        <v>685</v>
      </c>
      <c r="BK152" t="s">
        <v>102</v>
      </c>
      <c r="BL152" t="s">
        <v>686</v>
      </c>
      <c r="BM152" t="s">
        <v>3224</v>
      </c>
      <c r="BN152" t="s">
        <v>74</v>
      </c>
      <c r="BO152" t="s">
        <v>74</v>
      </c>
      <c r="BP152" t="s">
        <v>74</v>
      </c>
      <c r="BQ152" t="s">
        <v>74</v>
      </c>
      <c r="BR152" t="s">
        <v>105</v>
      </c>
      <c r="BS152" t="s">
        <v>3225</v>
      </c>
      <c r="BT152" t="str">
        <f>HYPERLINK("https%3A%2F%2Fwww.webofscience.com%2Fwos%2Fwoscc%2Ffull-record%2FWOS:000340308300004","View Full Record in Web of Science")</f>
        <v>View Full Record in Web of Science</v>
      </c>
    </row>
    <row r="153" spans="1:72" x14ac:dyDescent="0.15">
      <c r="A153" t="s">
        <v>72</v>
      </c>
      <c r="B153" t="s">
        <v>3226</v>
      </c>
      <c r="C153" t="s">
        <v>74</v>
      </c>
      <c r="D153" t="s">
        <v>74</v>
      </c>
      <c r="E153" t="s">
        <v>74</v>
      </c>
      <c r="F153" t="s">
        <v>3227</v>
      </c>
      <c r="G153" t="s">
        <v>74</v>
      </c>
      <c r="H153" t="s">
        <v>74</v>
      </c>
      <c r="I153" t="s">
        <v>3228</v>
      </c>
      <c r="J153" t="s">
        <v>3229</v>
      </c>
      <c r="K153" t="s">
        <v>74</v>
      </c>
      <c r="L153" t="s">
        <v>74</v>
      </c>
      <c r="M153" t="s">
        <v>78</v>
      </c>
      <c r="N153" t="s">
        <v>79</v>
      </c>
      <c r="O153" t="s">
        <v>74</v>
      </c>
      <c r="P153" t="s">
        <v>74</v>
      </c>
      <c r="Q153" t="s">
        <v>74</v>
      </c>
      <c r="R153" t="s">
        <v>74</v>
      </c>
      <c r="S153" t="s">
        <v>74</v>
      </c>
      <c r="T153" t="s">
        <v>74</v>
      </c>
      <c r="U153" t="s">
        <v>3230</v>
      </c>
      <c r="V153" t="s">
        <v>3231</v>
      </c>
      <c r="W153" t="s">
        <v>3232</v>
      </c>
      <c r="X153" t="s">
        <v>3233</v>
      </c>
      <c r="Y153" t="s">
        <v>191</v>
      </c>
      <c r="Z153" t="s">
        <v>3234</v>
      </c>
      <c r="AA153" t="s">
        <v>74</v>
      </c>
      <c r="AB153" t="s">
        <v>3235</v>
      </c>
      <c r="AC153" t="s">
        <v>3236</v>
      </c>
      <c r="AD153" t="s">
        <v>3237</v>
      </c>
      <c r="AE153" t="s">
        <v>3238</v>
      </c>
      <c r="AF153" t="s">
        <v>74</v>
      </c>
      <c r="AG153">
        <v>28</v>
      </c>
      <c r="AH153">
        <v>4</v>
      </c>
      <c r="AI153">
        <v>4</v>
      </c>
      <c r="AJ153">
        <v>1</v>
      </c>
      <c r="AK153">
        <v>16</v>
      </c>
      <c r="AL153" t="s">
        <v>3239</v>
      </c>
      <c r="AM153" t="s">
        <v>3240</v>
      </c>
      <c r="AN153" t="s">
        <v>3241</v>
      </c>
      <c r="AO153" t="s">
        <v>74</v>
      </c>
      <c r="AP153" t="s">
        <v>3242</v>
      </c>
      <c r="AQ153" t="s">
        <v>74</v>
      </c>
      <c r="AR153" t="s">
        <v>3243</v>
      </c>
      <c r="AS153" t="s">
        <v>3244</v>
      </c>
      <c r="AT153" t="s">
        <v>1791</v>
      </c>
      <c r="AU153">
        <v>2014</v>
      </c>
      <c r="AV153">
        <v>70</v>
      </c>
      <c r="AW153" t="s">
        <v>74</v>
      </c>
      <c r="AX153">
        <v>9</v>
      </c>
      <c r="AY153" t="s">
        <v>74</v>
      </c>
      <c r="AZ153" t="s">
        <v>74</v>
      </c>
      <c r="BA153" t="s">
        <v>74</v>
      </c>
      <c r="BB153">
        <v>1244</v>
      </c>
      <c r="BC153">
        <v>1248</v>
      </c>
      <c r="BD153" t="s">
        <v>74</v>
      </c>
      <c r="BE153" t="s">
        <v>3245</v>
      </c>
      <c r="BF153" t="str">
        <f>HYPERLINK("http://dx.doi.org/10.1107/S2053230X14015908","http://dx.doi.org/10.1107/S2053230X14015908")</f>
        <v>http://dx.doi.org/10.1107/S2053230X14015908</v>
      </c>
      <c r="BG153" t="s">
        <v>74</v>
      </c>
      <c r="BH153" t="s">
        <v>74</v>
      </c>
      <c r="BI153">
        <v>5</v>
      </c>
      <c r="BJ153" t="s">
        <v>3246</v>
      </c>
      <c r="BK153" t="s">
        <v>102</v>
      </c>
      <c r="BL153" t="s">
        <v>3247</v>
      </c>
      <c r="BM153" t="s">
        <v>3248</v>
      </c>
      <c r="BN153">
        <v>25195901</v>
      </c>
      <c r="BO153" t="s">
        <v>1274</v>
      </c>
      <c r="BP153" t="s">
        <v>74</v>
      </c>
      <c r="BQ153" t="s">
        <v>74</v>
      </c>
      <c r="BR153" t="s">
        <v>105</v>
      </c>
      <c r="BS153" t="s">
        <v>3249</v>
      </c>
      <c r="BT153" t="str">
        <f>HYPERLINK("https%3A%2F%2Fwww.webofscience.com%2Fwos%2Fwoscc%2Ffull-record%2FWOS:000341818600024","View Full Record in Web of Science")</f>
        <v>View Full Record in Web of Science</v>
      </c>
    </row>
    <row r="154" spans="1:72" x14ac:dyDescent="0.15">
      <c r="A154" t="s">
        <v>72</v>
      </c>
      <c r="B154" t="s">
        <v>3250</v>
      </c>
      <c r="C154" t="s">
        <v>74</v>
      </c>
      <c r="D154" t="s">
        <v>74</v>
      </c>
      <c r="E154" t="s">
        <v>74</v>
      </c>
      <c r="F154" t="s">
        <v>3251</v>
      </c>
      <c r="G154" t="s">
        <v>74</v>
      </c>
      <c r="H154" t="s">
        <v>74</v>
      </c>
      <c r="I154" t="s">
        <v>3252</v>
      </c>
      <c r="J154" t="s">
        <v>3253</v>
      </c>
      <c r="K154" t="s">
        <v>74</v>
      </c>
      <c r="L154" t="s">
        <v>74</v>
      </c>
      <c r="M154" t="s">
        <v>78</v>
      </c>
      <c r="N154" t="s">
        <v>79</v>
      </c>
      <c r="O154" t="s">
        <v>74</v>
      </c>
      <c r="P154" t="s">
        <v>74</v>
      </c>
      <c r="Q154" t="s">
        <v>74</v>
      </c>
      <c r="R154" t="s">
        <v>74</v>
      </c>
      <c r="S154" t="s">
        <v>74</v>
      </c>
      <c r="T154" t="s">
        <v>3254</v>
      </c>
      <c r="U154" t="s">
        <v>3255</v>
      </c>
      <c r="V154" t="s">
        <v>3256</v>
      </c>
      <c r="W154" t="s">
        <v>3257</v>
      </c>
      <c r="X154" t="s">
        <v>3258</v>
      </c>
      <c r="Y154" t="s">
        <v>3259</v>
      </c>
      <c r="Z154" t="s">
        <v>3260</v>
      </c>
      <c r="AA154" t="s">
        <v>3261</v>
      </c>
      <c r="AB154" t="s">
        <v>3262</v>
      </c>
      <c r="AC154" t="s">
        <v>3263</v>
      </c>
      <c r="AD154" t="s">
        <v>3264</v>
      </c>
      <c r="AE154" t="s">
        <v>3265</v>
      </c>
      <c r="AF154" t="s">
        <v>74</v>
      </c>
      <c r="AG154">
        <v>64</v>
      </c>
      <c r="AH154">
        <v>27</v>
      </c>
      <c r="AI154">
        <v>27</v>
      </c>
      <c r="AJ154">
        <v>0</v>
      </c>
      <c r="AK154">
        <v>107</v>
      </c>
      <c r="AL154" t="s">
        <v>304</v>
      </c>
      <c r="AM154" t="s">
        <v>305</v>
      </c>
      <c r="AN154" t="s">
        <v>306</v>
      </c>
      <c r="AO154" t="s">
        <v>3266</v>
      </c>
      <c r="AP154" t="s">
        <v>3267</v>
      </c>
      <c r="AQ154" t="s">
        <v>74</v>
      </c>
      <c r="AR154" t="s">
        <v>3268</v>
      </c>
      <c r="AS154" t="s">
        <v>3269</v>
      </c>
      <c r="AT154" t="s">
        <v>1791</v>
      </c>
      <c r="AU154">
        <v>2014</v>
      </c>
      <c r="AV154">
        <v>406</v>
      </c>
      <c r="AW154">
        <v>22</v>
      </c>
      <c r="AX154" t="s">
        <v>74</v>
      </c>
      <c r="AY154" t="s">
        <v>74</v>
      </c>
      <c r="AZ154" t="s">
        <v>74</v>
      </c>
      <c r="BA154" t="s">
        <v>74</v>
      </c>
      <c r="BB154">
        <v>5259</v>
      </c>
      <c r="BC154">
        <v>5270</v>
      </c>
      <c r="BD154" t="s">
        <v>74</v>
      </c>
      <c r="BE154" t="s">
        <v>3270</v>
      </c>
      <c r="BF154" t="str">
        <f>HYPERLINK("http://dx.doi.org/10.1007/s00216-014-7961-y","http://dx.doi.org/10.1007/s00216-014-7961-y")</f>
        <v>http://dx.doi.org/10.1007/s00216-014-7961-y</v>
      </c>
      <c r="BG154" t="s">
        <v>74</v>
      </c>
      <c r="BH154" t="s">
        <v>74</v>
      </c>
      <c r="BI154">
        <v>12</v>
      </c>
      <c r="BJ154" t="s">
        <v>3271</v>
      </c>
      <c r="BK154" t="s">
        <v>102</v>
      </c>
      <c r="BL154" t="s">
        <v>204</v>
      </c>
      <c r="BM154" t="s">
        <v>3272</v>
      </c>
      <c r="BN154">
        <v>24961637</v>
      </c>
      <c r="BO154" t="s">
        <v>262</v>
      </c>
      <c r="BP154" t="s">
        <v>74</v>
      </c>
      <c r="BQ154" t="s">
        <v>74</v>
      </c>
      <c r="BR154" t="s">
        <v>105</v>
      </c>
      <c r="BS154" t="s">
        <v>3273</v>
      </c>
      <c r="BT154" t="str">
        <f>HYPERLINK("https%3A%2F%2Fwww.webofscience.com%2Fwos%2Fwoscc%2Ffull-record%2FWOS:000340877200005","View Full Record in Web of Science")</f>
        <v>View Full Record in Web of Science</v>
      </c>
    </row>
    <row r="155" spans="1:72" x14ac:dyDescent="0.15">
      <c r="A155" t="s">
        <v>72</v>
      </c>
      <c r="B155" t="s">
        <v>3274</v>
      </c>
      <c r="C155" t="s">
        <v>74</v>
      </c>
      <c r="D155" t="s">
        <v>74</v>
      </c>
      <c r="E155" t="s">
        <v>74</v>
      </c>
      <c r="F155" t="s">
        <v>3275</v>
      </c>
      <c r="G155" t="s">
        <v>74</v>
      </c>
      <c r="H155" t="s">
        <v>74</v>
      </c>
      <c r="I155" t="s">
        <v>3276</v>
      </c>
      <c r="J155" t="s">
        <v>3277</v>
      </c>
      <c r="K155" t="s">
        <v>74</v>
      </c>
      <c r="L155" t="s">
        <v>74</v>
      </c>
      <c r="M155" t="s">
        <v>78</v>
      </c>
      <c r="N155" t="s">
        <v>79</v>
      </c>
      <c r="O155" t="s">
        <v>74</v>
      </c>
      <c r="P155" t="s">
        <v>74</v>
      </c>
      <c r="Q155" t="s">
        <v>74</v>
      </c>
      <c r="R155" t="s">
        <v>74</v>
      </c>
      <c r="S155" t="s">
        <v>74</v>
      </c>
      <c r="T155" t="s">
        <v>3278</v>
      </c>
      <c r="U155" t="s">
        <v>3279</v>
      </c>
      <c r="V155" t="s">
        <v>3280</v>
      </c>
      <c r="W155" t="s">
        <v>3281</v>
      </c>
      <c r="X155" t="s">
        <v>3282</v>
      </c>
      <c r="Y155" t="s">
        <v>3283</v>
      </c>
      <c r="Z155" t="s">
        <v>3284</v>
      </c>
      <c r="AA155" t="s">
        <v>3285</v>
      </c>
      <c r="AB155" t="s">
        <v>3286</v>
      </c>
      <c r="AC155" t="s">
        <v>3287</v>
      </c>
      <c r="AD155" t="s">
        <v>901</v>
      </c>
      <c r="AE155" t="s">
        <v>3288</v>
      </c>
      <c r="AF155" t="s">
        <v>74</v>
      </c>
      <c r="AG155">
        <v>24</v>
      </c>
      <c r="AH155">
        <v>20</v>
      </c>
      <c r="AI155">
        <v>21</v>
      </c>
      <c r="AJ155">
        <v>0</v>
      </c>
      <c r="AK155">
        <v>10</v>
      </c>
      <c r="AL155" t="s">
        <v>224</v>
      </c>
      <c r="AM155" t="s">
        <v>225</v>
      </c>
      <c r="AN155" t="s">
        <v>226</v>
      </c>
      <c r="AO155" t="s">
        <v>3289</v>
      </c>
      <c r="AP155" t="s">
        <v>3290</v>
      </c>
      <c r="AQ155" t="s">
        <v>74</v>
      </c>
      <c r="AR155" t="s">
        <v>3291</v>
      </c>
      <c r="AS155" t="s">
        <v>3292</v>
      </c>
      <c r="AT155" t="s">
        <v>1791</v>
      </c>
      <c r="AU155">
        <v>2014</v>
      </c>
      <c r="AV155">
        <v>106</v>
      </c>
      <c r="AW155">
        <v>3</v>
      </c>
      <c r="AX155" t="s">
        <v>74</v>
      </c>
      <c r="AY155" t="s">
        <v>74</v>
      </c>
      <c r="AZ155" t="s">
        <v>74</v>
      </c>
      <c r="BA155" t="s">
        <v>74</v>
      </c>
      <c r="BB155">
        <v>527</v>
      </c>
      <c r="BC155">
        <v>533</v>
      </c>
      <c r="BD155" t="s">
        <v>74</v>
      </c>
      <c r="BE155" t="s">
        <v>3293</v>
      </c>
      <c r="BF155" t="str">
        <f>HYPERLINK("http://dx.doi.org/10.1007/s10482-014-0221-5","http://dx.doi.org/10.1007/s10482-014-0221-5")</f>
        <v>http://dx.doi.org/10.1007/s10482-014-0221-5</v>
      </c>
      <c r="BG155" t="s">
        <v>74</v>
      </c>
      <c r="BH155" t="s">
        <v>74</v>
      </c>
      <c r="BI155">
        <v>7</v>
      </c>
      <c r="BJ155" t="s">
        <v>1012</v>
      </c>
      <c r="BK155" t="s">
        <v>102</v>
      </c>
      <c r="BL155" t="s">
        <v>1012</v>
      </c>
      <c r="BM155" t="s">
        <v>3294</v>
      </c>
      <c r="BN155">
        <v>25038886</v>
      </c>
      <c r="BO155" t="s">
        <v>74</v>
      </c>
      <c r="BP155" t="s">
        <v>74</v>
      </c>
      <c r="BQ155" t="s">
        <v>74</v>
      </c>
      <c r="BR155" t="s">
        <v>105</v>
      </c>
      <c r="BS155" t="s">
        <v>3295</v>
      </c>
      <c r="BT155" t="str">
        <f>HYPERLINK("https%3A%2F%2Fwww.webofscience.com%2Fwos%2Fwoscc%2Ffull-record%2FWOS:000340356100012","View Full Record in Web of Science")</f>
        <v>View Full Record in Web of Science</v>
      </c>
    </row>
    <row r="156" spans="1:72" x14ac:dyDescent="0.15">
      <c r="A156" t="s">
        <v>72</v>
      </c>
      <c r="B156" t="s">
        <v>3296</v>
      </c>
      <c r="C156" t="s">
        <v>74</v>
      </c>
      <c r="D156" t="s">
        <v>74</v>
      </c>
      <c r="E156" t="s">
        <v>74</v>
      </c>
      <c r="F156" t="s">
        <v>3297</v>
      </c>
      <c r="G156" t="s">
        <v>74</v>
      </c>
      <c r="H156" t="s">
        <v>74</v>
      </c>
      <c r="I156" t="s">
        <v>3298</v>
      </c>
      <c r="J156" t="s">
        <v>3299</v>
      </c>
      <c r="K156" t="s">
        <v>74</v>
      </c>
      <c r="L156" t="s">
        <v>74</v>
      </c>
      <c r="M156" t="s">
        <v>78</v>
      </c>
      <c r="N156" t="s">
        <v>79</v>
      </c>
      <c r="O156" t="s">
        <v>74</v>
      </c>
      <c r="P156" t="s">
        <v>74</v>
      </c>
      <c r="Q156" t="s">
        <v>74</v>
      </c>
      <c r="R156" t="s">
        <v>74</v>
      </c>
      <c r="S156" t="s">
        <v>74</v>
      </c>
      <c r="T156" t="s">
        <v>3300</v>
      </c>
      <c r="U156" t="s">
        <v>3301</v>
      </c>
      <c r="V156" t="s">
        <v>3302</v>
      </c>
      <c r="W156" t="s">
        <v>3303</v>
      </c>
      <c r="X156" t="s">
        <v>3304</v>
      </c>
      <c r="Y156" t="s">
        <v>3305</v>
      </c>
      <c r="Z156" t="s">
        <v>3306</v>
      </c>
      <c r="AA156" t="s">
        <v>74</v>
      </c>
      <c r="AB156" t="s">
        <v>3307</v>
      </c>
      <c r="AC156" t="s">
        <v>3308</v>
      </c>
      <c r="AD156" t="s">
        <v>3309</v>
      </c>
      <c r="AE156" t="s">
        <v>3310</v>
      </c>
      <c r="AF156" t="s">
        <v>74</v>
      </c>
      <c r="AG156">
        <v>70</v>
      </c>
      <c r="AH156">
        <v>12</v>
      </c>
      <c r="AI156">
        <v>17</v>
      </c>
      <c r="AJ156">
        <v>0</v>
      </c>
      <c r="AK156">
        <v>32</v>
      </c>
      <c r="AL156" t="s">
        <v>3311</v>
      </c>
      <c r="AM156" t="s">
        <v>3312</v>
      </c>
      <c r="AN156" t="s">
        <v>3313</v>
      </c>
      <c r="AO156" t="s">
        <v>3314</v>
      </c>
      <c r="AP156" t="s">
        <v>3315</v>
      </c>
      <c r="AQ156" t="s">
        <v>74</v>
      </c>
      <c r="AR156" t="s">
        <v>3299</v>
      </c>
      <c r="AS156" t="s">
        <v>3316</v>
      </c>
      <c r="AT156" t="s">
        <v>3317</v>
      </c>
      <c r="AU156">
        <v>2014</v>
      </c>
      <c r="AV156">
        <v>102</v>
      </c>
      <c r="AW156">
        <v>2</v>
      </c>
      <c r="AX156" t="s">
        <v>74</v>
      </c>
      <c r="AY156" t="s">
        <v>74</v>
      </c>
      <c r="AZ156" t="s">
        <v>74</v>
      </c>
      <c r="BA156" t="s">
        <v>74</v>
      </c>
      <c r="BB156">
        <v>139</v>
      </c>
      <c r="BC156">
        <v>152</v>
      </c>
      <c r="BD156" t="s">
        <v>74</v>
      </c>
      <c r="BE156" t="s">
        <v>3318</v>
      </c>
      <c r="BF156" t="str">
        <f>HYPERLINK("http://dx.doi.org/10.5253/arde.v102i2.a4","http://dx.doi.org/10.5253/arde.v102i2.a4")</f>
        <v>http://dx.doi.org/10.5253/arde.v102i2.a4</v>
      </c>
      <c r="BG156" t="s">
        <v>74</v>
      </c>
      <c r="BH156" t="s">
        <v>74</v>
      </c>
      <c r="BI156">
        <v>14</v>
      </c>
      <c r="BJ156" t="s">
        <v>3319</v>
      </c>
      <c r="BK156" t="s">
        <v>102</v>
      </c>
      <c r="BL156" t="s">
        <v>1254</v>
      </c>
      <c r="BM156" t="s">
        <v>3320</v>
      </c>
      <c r="BN156" t="s">
        <v>74</v>
      </c>
      <c r="BO156" t="s">
        <v>179</v>
      </c>
      <c r="BP156" t="s">
        <v>74</v>
      </c>
      <c r="BQ156" t="s">
        <v>74</v>
      </c>
      <c r="BR156" t="s">
        <v>105</v>
      </c>
      <c r="BS156" t="s">
        <v>3321</v>
      </c>
      <c r="BT156" t="str">
        <f>HYPERLINK("https%3A%2F%2Fwww.webofscience.com%2Fwos%2Fwoscc%2Ffull-record%2FWOS:000346536800004","View Full Record in Web of Science")</f>
        <v>View Full Record in Web of Science</v>
      </c>
    </row>
    <row r="157" spans="1:72" x14ac:dyDescent="0.15">
      <c r="A157" t="s">
        <v>72</v>
      </c>
      <c r="B157" t="s">
        <v>3322</v>
      </c>
      <c r="C157" t="s">
        <v>74</v>
      </c>
      <c r="D157" t="s">
        <v>74</v>
      </c>
      <c r="E157" t="s">
        <v>74</v>
      </c>
      <c r="F157" t="s">
        <v>3323</v>
      </c>
      <c r="G157" t="s">
        <v>74</v>
      </c>
      <c r="H157" t="s">
        <v>74</v>
      </c>
      <c r="I157" t="s">
        <v>3324</v>
      </c>
      <c r="J157" t="s">
        <v>3325</v>
      </c>
      <c r="K157" t="s">
        <v>74</v>
      </c>
      <c r="L157" t="s">
        <v>74</v>
      </c>
      <c r="M157" t="s">
        <v>78</v>
      </c>
      <c r="N157" t="s">
        <v>79</v>
      </c>
      <c r="O157" t="s">
        <v>74</v>
      </c>
      <c r="P157" t="s">
        <v>74</v>
      </c>
      <c r="Q157" t="s">
        <v>74</v>
      </c>
      <c r="R157" t="s">
        <v>74</v>
      </c>
      <c r="S157" t="s">
        <v>74</v>
      </c>
      <c r="T157" t="s">
        <v>3326</v>
      </c>
      <c r="U157" t="s">
        <v>74</v>
      </c>
      <c r="V157" t="s">
        <v>3327</v>
      </c>
      <c r="W157" t="s">
        <v>3328</v>
      </c>
      <c r="X157" t="s">
        <v>3329</v>
      </c>
      <c r="Y157" t="s">
        <v>3330</v>
      </c>
      <c r="Z157" t="s">
        <v>3331</v>
      </c>
      <c r="AA157" t="s">
        <v>3332</v>
      </c>
      <c r="AB157" t="s">
        <v>74</v>
      </c>
      <c r="AC157" t="s">
        <v>3333</v>
      </c>
      <c r="AD157" t="s">
        <v>3334</v>
      </c>
      <c r="AE157" t="s">
        <v>3335</v>
      </c>
      <c r="AF157" t="s">
        <v>74</v>
      </c>
      <c r="AG157">
        <v>36</v>
      </c>
      <c r="AH157">
        <v>12</v>
      </c>
      <c r="AI157">
        <v>12</v>
      </c>
      <c r="AJ157">
        <v>0</v>
      </c>
      <c r="AK157">
        <v>0</v>
      </c>
      <c r="AL157" t="s">
        <v>3336</v>
      </c>
      <c r="AM157" t="s">
        <v>3337</v>
      </c>
      <c r="AN157" t="s">
        <v>3338</v>
      </c>
      <c r="AO157" t="s">
        <v>3339</v>
      </c>
      <c r="AP157" t="s">
        <v>3340</v>
      </c>
      <c r="AQ157" t="s">
        <v>74</v>
      </c>
      <c r="AR157" t="s">
        <v>3341</v>
      </c>
      <c r="AS157" t="s">
        <v>3342</v>
      </c>
      <c r="AT157" t="s">
        <v>1791</v>
      </c>
      <c r="AU157">
        <v>2014</v>
      </c>
      <c r="AV157">
        <v>27</v>
      </c>
      <c r="AW157">
        <v>5</v>
      </c>
      <c r="AX157" t="s">
        <v>74</v>
      </c>
      <c r="AY157" t="s">
        <v>74</v>
      </c>
      <c r="AZ157" t="s">
        <v>74</v>
      </c>
      <c r="BA157" t="s">
        <v>74</v>
      </c>
      <c r="BB157">
        <v>393</v>
      </c>
      <c r="BC157">
        <v>402</v>
      </c>
      <c r="BD157" t="s">
        <v>74</v>
      </c>
      <c r="BE157" t="s">
        <v>3343</v>
      </c>
      <c r="BF157" t="str">
        <f>HYPERLINK("http://dx.doi.org/10.1134/S1024856014050108","http://dx.doi.org/10.1134/S1024856014050108")</f>
        <v>http://dx.doi.org/10.1134/S1024856014050108</v>
      </c>
      <c r="BG157" t="s">
        <v>74</v>
      </c>
      <c r="BH157" t="s">
        <v>74</v>
      </c>
      <c r="BI157">
        <v>10</v>
      </c>
      <c r="BJ157" t="s">
        <v>3344</v>
      </c>
      <c r="BK157" t="s">
        <v>488</v>
      </c>
      <c r="BL157" t="s">
        <v>3344</v>
      </c>
      <c r="BM157" t="s">
        <v>3345</v>
      </c>
      <c r="BN157" t="s">
        <v>74</v>
      </c>
      <c r="BO157" t="s">
        <v>74</v>
      </c>
      <c r="BP157" t="s">
        <v>74</v>
      </c>
      <c r="BQ157" t="s">
        <v>74</v>
      </c>
      <c r="BR157" t="s">
        <v>105</v>
      </c>
      <c r="BS157" t="s">
        <v>3346</v>
      </c>
      <c r="BT157" t="str">
        <f>HYPERLINK("https%3A%2F%2Fwww.webofscience.com%2Fwos%2Fwoscc%2Ffull-record%2FWOS:000434601000006","View Full Record in Web of Science")</f>
        <v>View Full Record in Web of Science</v>
      </c>
    </row>
    <row r="158" spans="1:72" x14ac:dyDescent="0.15">
      <c r="A158" t="s">
        <v>72</v>
      </c>
      <c r="B158" t="s">
        <v>3347</v>
      </c>
      <c r="C158" t="s">
        <v>74</v>
      </c>
      <c r="D158" t="s">
        <v>74</v>
      </c>
      <c r="E158" t="s">
        <v>74</v>
      </c>
      <c r="F158" t="s">
        <v>3348</v>
      </c>
      <c r="G158" t="s">
        <v>74</v>
      </c>
      <c r="H158" t="s">
        <v>74</v>
      </c>
      <c r="I158" t="s">
        <v>3349</v>
      </c>
      <c r="J158" t="s">
        <v>3350</v>
      </c>
      <c r="K158" t="s">
        <v>74</v>
      </c>
      <c r="L158" t="s">
        <v>74</v>
      </c>
      <c r="M158" t="s">
        <v>78</v>
      </c>
      <c r="N158" t="s">
        <v>79</v>
      </c>
      <c r="O158" t="s">
        <v>74</v>
      </c>
      <c r="P158" t="s">
        <v>74</v>
      </c>
      <c r="Q158" t="s">
        <v>74</v>
      </c>
      <c r="R158" t="s">
        <v>74</v>
      </c>
      <c r="S158" t="s">
        <v>74</v>
      </c>
      <c r="T158" t="s">
        <v>3351</v>
      </c>
      <c r="U158" t="s">
        <v>3352</v>
      </c>
      <c r="V158" t="s">
        <v>3353</v>
      </c>
      <c r="W158" t="s">
        <v>3354</v>
      </c>
      <c r="X158" t="s">
        <v>3355</v>
      </c>
      <c r="Y158" t="s">
        <v>3356</v>
      </c>
      <c r="Z158" t="s">
        <v>3357</v>
      </c>
      <c r="AA158" t="s">
        <v>3358</v>
      </c>
      <c r="AB158" t="s">
        <v>3359</v>
      </c>
      <c r="AC158" t="s">
        <v>3360</v>
      </c>
      <c r="AD158" t="s">
        <v>3361</v>
      </c>
      <c r="AE158" t="s">
        <v>3362</v>
      </c>
      <c r="AF158" t="s">
        <v>74</v>
      </c>
      <c r="AG158">
        <v>15</v>
      </c>
      <c r="AH158">
        <v>350</v>
      </c>
      <c r="AI158">
        <v>391</v>
      </c>
      <c r="AJ158">
        <v>14</v>
      </c>
      <c r="AK158">
        <v>181</v>
      </c>
      <c r="AL158" t="s">
        <v>1070</v>
      </c>
      <c r="AM158" t="s">
        <v>654</v>
      </c>
      <c r="AN158" t="s">
        <v>1071</v>
      </c>
      <c r="AO158" t="s">
        <v>3363</v>
      </c>
      <c r="AP158" t="s">
        <v>3364</v>
      </c>
      <c r="AQ158" t="s">
        <v>74</v>
      </c>
      <c r="AR158" t="s">
        <v>3365</v>
      </c>
      <c r="AS158" t="s">
        <v>3366</v>
      </c>
      <c r="AT158" t="s">
        <v>1791</v>
      </c>
      <c r="AU158">
        <v>2014</v>
      </c>
      <c r="AV158">
        <v>10</v>
      </c>
      <c r="AW158">
        <v>9</v>
      </c>
      <c r="AX158" t="s">
        <v>74</v>
      </c>
      <c r="AY158" t="s">
        <v>74</v>
      </c>
      <c r="AZ158" t="s">
        <v>74</v>
      </c>
      <c r="BA158" t="s">
        <v>74</v>
      </c>
      <c r="BB158" t="s">
        <v>74</v>
      </c>
      <c r="BC158" t="s">
        <v>74</v>
      </c>
      <c r="BD158">
        <v>20140562</v>
      </c>
      <c r="BE158" t="s">
        <v>3367</v>
      </c>
      <c r="BF158" t="str">
        <f>HYPERLINK("http://dx.doi.org/10.1098/rsbl.2014.0562","http://dx.doi.org/10.1098/rsbl.2014.0562")</f>
        <v>http://dx.doi.org/10.1098/rsbl.2014.0562</v>
      </c>
      <c r="BG158" t="s">
        <v>74</v>
      </c>
      <c r="BH158" t="s">
        <v>74</v>
      </c>
      <c r="BI158">
        <v>4</v>
      </c>
      <c r="BJ158" t="s">
        <v>3368</v>
      </c>
      <c r="BK158" t="s">
        <v>102</v>
      </c>
      <c r="BL158" t="s">
        <v>3369</v>
      </c>
      <c r="BM158" t="s">
        <v>3370</v>
      </c>
      <c r="BN158">
        <v>25209199</v>
      </c>
      <c r="BO158" t="s">
        <v>2037</v>
      </c>
      <c r="BP158" t="s">
        <v>3371</v>
      </c>
      <c r="BQ158" t="s">
        <v>3372</v>
      </c>
      <c r="BR158" t="s">
        <v>105</v>
      </c>
      <c r="BS158" t="s">
        <v>3373</v>
      </c>
      <c r="BT158" t="str">
        <f>HYPERLINK("https%3A%2F%2Fwww.webofscience.com%2Fwos%2Fwoscc%2Ffull-record%2FWOS:000341935400005","View Full Record in Web of Science")</f>
        <v>View Full Record in Web of Science</v>
      </c>
    </row>
    <row r="159" spans="1:72" x14ac:dyDescent="0.15">
      <c r="A159" t="s">
        <v>72</v>
      </c>
      <c r="B159" t="s">
        <v>3374</v>
      </c>
      <c r="C159" t="s">
        <v>74</v>
      </c>
      <c r="D159" t="s">
        <v>74</v>
      </c>
      <c r="E159" t="s">
        <v>74</v>
      </c>
      <c r="F159" t="s">
        <v>3375</v>
      </c>
      <c r="G159" t="s">
        <v>74</v>
      </c>
      <c r="H159" t="s">
        <v>74</v>
      </c>
      <c r="I159" t="s">
        <v>3376</v>
      </c>
      <c r="J159" t="s">
        <v>2732</v>
      </c>
      <c r="K159" t="s">
        <v>74</v>
      </c>
      <c r="L159" t="s">
        <v>74</v>
      </c>
      <c r="M159" t="s">
        <v>78</v>
      </c>
      <c r="N159" t="s">
        <v>79</v>
      </c>
      <c r="O159" t="s">
        <v>74</v>
      </c>
      <c r="P159" t="s">
        <v>74</v>
      </c>
      <c r="Q159" t="s">
        <v>74</v>
      </c>
      <c r="R159" t="s">
        <v>74</v>
      </c>
      <c r="S159" t="s">
        <v>74</v>
      </c>
      <c r="T159" t="s">
        <v>3377</v>
      </c>
      <c r="U159" t="s">
        <v>3378</v>
      </c>
      <c r="V159" t="s">
        <v>3379</v>
      </c>
      <c r="W159" t="s">
        <v>3380</v>
      </c>
      <c r="X159" t="s">
        <v>3381</v>
      </c>
      <c r="Y159" t="s">
        <v>3382</v>
      </c>
      <c r="Z159" t="s">
        <v>3383</v>
      </c>
      <c r="AA159" t="s">
        <v>3384</v>
      </c>
      <c r="AB159" t="s">
        <v>3385</v>
      </c>
      <c r="AC159" t="s">
        <v>3386</v>
      </c>
      <c r="AD159" t="s">
        <v>3387</v>
      </c>
      <c r="AE159" t="s">
        <v>3388</v>
      </c>
      <c r="AF159" t="s">
        <v>74</v>
      </c>
      <c r="AG159">
        <v>47</v>
      </c>
      <c r="AH159">
        <v>53</v>
      </c>
      <c r="AI159">
        <v>57</v>
      </c>
      <c r="AJ159">
        <v>2</v>
      </c>
      <c r="AK159">
        <v>35</v>
      </c>
      <c r="AL159" t="s">
        <v>224</v>
      </c>
      <c r="AM159" t="s">
        <v>576</v>
      </c>
      <c r="AN159" t="s">
        <v>577</v>
      </c>
      <c r="AO159" t="s">
        <v>2745</v>
      </c>
      <c r="AP159" t="s">
        <v>2746</v>
      </c>
      <c r="AQ159" t="s">
        <v>74</v>
      </c>
      <c r="AR159" t="s">
        <v>2747</v>
      </c>
      <c r="AS159" t="s">
        <v>2748</v>
      </c>
      <c r="AT159" t="s">
        <v>1791</v>
      </c>
      <c r="AU159">
        <v>2014</v>
      </c>
      <c r="AV159">
        <v>43</v>
      </c>
      <c r="AW159" t="s">
        <v>2749</v>
      </c>
      <c r="AX159" t="s">
        <v>74</v>
      </c>
      <c r="AY159" t="s">
        <v>74</v>
      </c>
      <c r="AZ159" t="s">
        <v>74</v>
      </c>
      <c r="BA159" t="s">
        <v>74</v>
      </c>
      <c r="BB159">
        <v>1271</v>
      </c>
      <c r="BC159">
        <v>1283</v>
      </c>
      <c r="BD159" t="s">
        <v>74</v>
      </c>
      <c r="BE159" t="s">
        <v>3389</v>
      </c>
      <c r="BF159" t="str">
        <f>HYPERLINK("http://dx.doi.org/10.1007/s00382-013-1939-x","http://dx.doi.org/10.1007/s00382-013-1939-x")</f>
        <v>http://dx.doi.org/10.1007/s00382-013-1939-x</v>
      </c>
      <c r="BG159" t="s">
        <v>74</v>
      </c>
      <c r="BH159" t="s">
        <v>74</v>
      </c>
      <c r="BI159">
        <v>13</v>
      </c>
      <c r="BJ159" t="s">
        <v>177</v>
      </c>
      <c r="BK159" t="s">
        <v>102</v>
      </c>
      <c r="BL159" t="s">
        <v>177</v>
      </c>
      <c r="BM159" t="s">
        <v>2751</v>
      </c>
      <c r="BN159" t="s">
        <v>74</v>
      </c>
      <c r="BO159" t="s">
        <v>74</v>
      </c>
      <c r="BP159" t="s">
        <v>74</v>
      </c>
      <c r="BQ159" t="s">
        <v>74</v>
      </c>
      <c r="BR159" t="s">
        <v>105</v>
      </c>
      <c r="BS159" t="s">
        <v>3390</v>
      </c>
      <c r="BT159" t="str">
        <f>HYPERLINK("https%3A%2F%2Fwww.webofscience.com%2Fwos%2Fwoscc%2Ffull-record%2FWOS:000341369700008","View Full Record in Web of Science")</f>
        <v>View Full Record in Web of Science</v>
      </c>
    </row>
    <row r="160" spans="1:72" x14ac:dyDescent="0.15">
      <c r="A160" t="s">
        <v>72</v>
      </c>
      <c r="B160" t="s">
        <v>3391</v>
      </c>
      <c r="C160" t="s">
        <v>74</v>
      </c>
      <c r="D160" t="s">
        <v>74</v>
      </c>
      <c r="E160" t="s">
        <v>74</v>
      </c>
      <c r="F160" t="s">
        <v>3392</v>
      </c>
      <c r="G160" t="s">
        <v>74</v>
      </c>
      <c r="H160" t="s">
        <v>74</v>
      </c>
      <c r="I160" t="s">
        <v>3393</v>
      </c>
      <c r="J160" t="s">
        <v>3394</v>
      </c>
      <c r="K160" t="s">
        <v>74</v>
      </c>
      <c r="L160" t="s">
        <v>74</v>
      </c>
      <c r="M160" t="s">
        <v>78</v>
      </c>
      <c r="N160" t="s">
        <v>79</v>
      </c>
      <c r="O160" t="s">
        <v>74</v>
      </c>
      <c r="P160" t="s">
        <v>74</v>
      </c>
      <c r="Q160" t="s">
        <v>74</v>
      </c>
      <c r="R160" t="s">
        <v>74</v>
      </c>
      <c r="S160" t="s">
        <v>74</v>
      </c>
      <c r="T160" t="s">
        <v>74</v>
      </c>
      <c r="U160" t="s">
        <v>3395</v>
      </c>
      <c r="V160" t="s">
        <v>3396</v>
      </c>
      <c r="W160" t="s">
        <v>3397</v>
      </c>
      <c r="X160" t="s">
        <v>3398</v>
      </c>
      <c r="Y160" t="s">
        <v>3399</v>
      </c>
      <c r="Z160" t="s">
        <v>3400</v>
      </c>
      <c r="AA160" t="s">
        <v>3401</v>
      </c>
      <c r="AB160" t="s">
        <v>3402</v>
      </c>
      <c r="AC160" t="s">
        <v>3403</v>
      </c>
      <c r="AD160" t="s">
        <v>3404</v>
      </c>
      <c r="AE160" t="s">
        <v>3405</v>
      </c>
      <c r="AF160" t="s">
        <v>74</v>
      </c>
      <c r="AG160">
        <v>7</v>
      </c>
      <c r="AH160">
        <v>0</v>
      </c>
      <c r="AI160">
        <v>0</v>
      </c>
      <c r="AJ160">
        <v>0</v>
      </c>
      <c r="AK160">
        <v>1</v>
      </c>
      <c r="AL160" t="s">
        <v>3406</v>
      </c>
      <c r="AM160" t="s">
        <v>3407</v>
      </c>
      <c r="AN160" t="s">
        <v>3408</v>
      </c>
      <c r="AO160" t="s">
        <v>3409</v>
      </c>
      <c r="AP160" t="s">
        <v>3410</v>
      </c>
      <c r="AQ160" t="s">
        <v>74</v>
      </c>
      <c r="AR160" t="s">
        <v>3394</v>
      </c>
      <c r="AS160" t="s">
        <v>3411</v>
      </c>
      <c r="AT160" t="s">
        <v>1791</v>
      </c>
      <c r="AU160">
        <v>2014</v>
      </c>
      <c r="AV160">
        <v>47</v>
      </c>
      <c r="AW160">
        <v>9</v>
      </c>
      <c r="AX160" t="s">
        <v>74</v>
      </c>
      <c r="AY160" t="s">
        <v>74</v>
      </c>
      <c r="AZ160" t="s">
        <v>74</v>
      </c>
      <c r="BA160" t="s">
        <v>74</v>
      </c>
      <c r="BB160">
        <v>56</v>
      </c>
      <c r="BC160">
        <v>61</v>
      </c>
      <c r="BD160" t="s">
        <v>74</v>
      </c>
      <c r="BE160" t="s">
        <v>3412</v>
      </c>
      <c r="BF160" t="str">
        <f>HYPERLINK("http://dx.doi.org/10.1109/MC.2014.234","http://dx.doi.org/10.1109/MC.2014.234")</f>
        <v>http://dx.doi.org/10.1109/MC.2014.234</v>
      </c>
      <c r="BG160" t="s">
        <v>74</v>
      </c>
      <c r="BH160" t="s">
        <v>74</v>
      </c>
      <c r="BI160">
        <v>6</v>
      </c>
      <c r="BJ160" t="s">
        <v>3413</v>
      </c>
      <c r="BK160" t="s">
        <v>102</v>
      </c>
      <c r="BL160" t="s">
        <v>3414</v>
      </c>
      <c r="BM160" t="s">
        <v>3415</v>
      </c>
      <c r="BN160" t="s">
        <v>74</v>
      </c>
      <c r="BO160" t="s">
        <v>74</v>
      </c>
      <c r="BP160" t="s">
        <v>74</v>
      </c>
      <c r="BQ160" t="s">
        <v>74</v>
      </c>
      <c r="BR160" t="s">
        <v>105</v>
      </c>
      <c r="BS160" t="s">
        <v>3416</v>
      </c>
      <c r="BT160" t="str">
        <f>HYPERLINK("https%3A%2F%2Fwww.webofscience.com%2Fwos%2Fwoscc%2Ffull-record%2FWOS:000344478100022","View Full Record in Web of Science")</f>
        <v>View Full Record in Web of Science</v>
      </c>
    </row>
    <row r="161" spans="1:72" x14ac:dyDescent="0.15">
      <c r="A161" t="s">
        <v>72</v>
      </c>
      <c r="B161" t="s">
        <v>3417</v>
      </c>
      <c r="C161" t="s">
        <v>74</v>
      </c>
      <c r="D161" t="s">
        <v>74</v>
      </c>
      <c r="E161" t="s">
        <v>74</v>
      </c>
      <c r="F161" t="s">
        <v>3418</v>
      </c>
      <c r="G161" t="s">
        <v>74</v>
      </c>
      <c r="H161" t="s">
        <v>74</v>
      </c>
      <c r="I161" t="s">
        <v>3419</v>
      </c>
      <c r="J161" t="s">
        <v>3420</v>
      </c>
      <c r="K161" t="s">
        <v>74</v>
      </c>
      <c r="L161" t="s">
        <v>74</v>
      </c>
      <c r="M161" t="s">
        <v>78</v>
      </c>
      <c r="N161" t="s">
        <v>185</v>
      </c>
      <c r="O161" t="s">
        <v>74</v>
      </c>
      <c r="P161" t="s">
        <v>74</v>
      </c>
      <c r="Q161" t="s">
        <v>74</v>
      </c>
      <c r="R161" t="s">
        <v>74</v>
      </c>
      <c r="S161" t="s">
        <v>74</v>
      </c>
      <c r="T161" t="s">
        <v>3421</v>
      </c>
      <c r="U161" t="s">
        <v>3422</v>
      </c>
      <c r="V161" t="s">
        <v>3423</v>
      </c>
      <c r="W161" t="s">
        <v>3424</v>
      </c>
      <c r="X161" t="s">
        <v>3425</v>
      </c>
      <c r="Y161" t="s">
        <v>3426</v>
      </c>
      <c r="Z161" t="s">
        <v>3427</v>
      </c>
      <c r="AA161" t="s">
        <v>3428</v>
      </c>
      <c r="AB161" t="s">
        <v>3429</v>
      </c>
      <c r="AC161" t="s">
        <v>74</v>
      </c>
      <c r="AD161" t="s">
        <v>74</v>
      </c>
      <c r="AE161" t="s">
        <v>74</v>
      </c>
      <c r="AF161" t="s">
        <v>74</v>
      </c>
      <c r="AG161">
        <v>65</v>
      </c>
      <c r="AH161">
        <v>26</v>
      </c>
      <c r="AI161">
        <v>31</v>
      </c>
      <c r="AJ161">
        <v>3</v>
      </c>
      <c r="AK161">
        <v>81</v>
      </c>
      <c r="AL161" t="s">
        <v>3430</v>
      </c>
      <c r="AM161" t="s">
        <v>3431</v>
      </c>
      <c r="AN161" t="s">
        <v>3432</v>
      </c>
      <c r="AO161" t="s">
        <v>3433</v>
      </c>
      <c r="AP161" t="s">
        <v>3434</v>
      </c>
      <c r="AQ161" t="s">
        <v>74</v>
      </c>
      <c r="AR161" t="s">
        <v>3420</v>
      </c>
      <c r="AS161" t="s">
        <v>3435</v>
      </c>
      <c r="AT161" t="s">
        <v>1791</v>
      </c>
      <c r="AU161">
        <v>2014</v>
      </c>
      <c r="AV161">
        <v>18</v>
      </c>
      <c r="AW161">
        <v>5</v>
      </c>
      <c r="AX161" t="s">
        <v>74</v>
      </c>
      <c r="AY161" t="s">
        <v>74</v>
      </c>
      <c r="AZ161" t="s">
        <v>74</v>
      </c>
      <c r="BA161" t="s">
        <v>74</v>
      </c>
      <c r="BB161">
        <v>825</v>
      </c>
      <c r="BC161">
        <v>834</v>
      </c>
      <c r="BD161" t="s">
        <v>74</v>
      </c>
      <c r="BE161" t="s">
        <v>3436</v>
      </c>
      <c r="BF161" t="str">
        <f>HYPERLINK("http://dx.doi.org/10.1007/s00792-014-0654-9","http://dx.doi.org/10.1007/s00792-014-0654-9")</f>
        <v>http://dx.doi.org/10.1007/s00792-014-0654-9</v>
      </c>
      <c r="BG161" t="s">
        <v>74</v>
      </c>
      <c r="BH161" t="s">
        <v>74</v>
      </c>
      <c r="BI161">
        <v>10</v>
      </c>
      <c r="BJ161" t="s">
        <v>3437</v>
      </c>
      <c r="BK161" t="s">
        <v>102</v>
      </c>
      <c r="BL161" t="s">
        <v>3437</v>
      </c>
      <c r="BM161" t="s">
        <v>3438</v>
      </c>
      <c r="BN161">
        <v>25102811</v>
      </c>
      <c r="BO161" t="s">
        <v>74</v>
      </c>
      <c r="BP161" t="s">
        <v>74</v>
      </c>
      <c r="BQ161" t="s">
        <v>74</v>
      </c>
      <c r="BR161" t="s">
        <v>105</v>
      </c>
      <c r="BS161" t="s">
        <v>3439</v>
      </c>
      <c r="BT161" t="str">
        <f>HYPERLINK("https%3A%2F%2Fwww.webofscience.com%2Fwos%2Fwoscc%2Ffull-record%2FWOS:000341863200004","View Full Record in Web of Science")</f>
        <v>View Full Record in Web of Science</v>
      </c>
    </row>
    <row r="162" spans="1:72" x14ac:dyDescent="0.15">
      <c r="A162" t="s">
        <v>72</v>
      </c>
      <c r="B162" t="s">
        <v>3440</v>
      </c>
      <c r="C162" t="s">
        <v>74</v>
      </c>
      <c r="D162" t="s">
        <v>74</v>
      </c>
      <c r="E162" t="s">
        <v>74</v>
      </c>
      <c r="F162" t="s">
        <v>3441</v>
      </c>
      <c r="G162" t="s">
        <v>74</v>
      </c>
      <c r="H162" t="s">
        <v>74</v>
      </c>
      <c r="I162" t="s">
        <v>3442</v>
      </c>
      <c r="J162" t="s">
        <v>3046</v>
      </c>
      <c r="K162" t="s">
        <v>74</v>
      </c>
      <c r="L162" t="s">
        <v>74</v>
      </c>
      <c r="M162" t="s">
        <v>78</v>
      </c>
      <c r="N162" t="s">
        <v>79</v>
      </c>
      <c r="O162" t="s">
        <v>74</v>
      </c>
      <c r="P162" t="s">
        <v>74</v>
      </c>
      <c r="Q162" t="s">
        <v>74</v>
      </c>
      <c r="R162" t="s">
        <v>74</v>
      </c>
      <c r="S162" t="s">
        <v>74</v>
      </c>
      <c r="T162" t="s">
        <v>3443</v>
      </c>
      <c r="U162" t="s">
        <v>3444</v>
      </c>
      <c r="V162" t="s">
        <v>3445</v>
      </c>
      <c r="W162" t="s">
        <v>3446</v>
      </c>
      <c r="X162" t="s">
        <v>3447</v>
      </c>
      <c r="Y162" t="s">
        <v>3448</v>
      </c>
      <c r="Z162" t="s">
        <v>3449</v>
      </c>
      <c r="AA162" t="s">
        <v>3450</v>
      </c>
      <c r="AB162" t="s">
        <v>3451</v>
      </c>
      <c r="AC162" t="s">
        <v>74</v>
      </c>
      <c r="AD162" t="s">
        <v>74</v>
      </c>
      <c r="AE162" t="s">
        <v>74</v>
      </c>
      <c r="AF162" t="s">
        <v>74</v>
      </c>
      <c r="AG162">
        <v>60</v>
      </c>
      <c r="AH162">
        <v>140</v>
      </c>
      <c r="AI162">
        <v>150</v>
      </c>
      <c r="AJ162">
        <v>4</v>
      </c>
      <c r="AK162">
        <v>77</v>
      </c>
      <c r="AL162" t="s">
        <v>171</v>
      </c>
      <c r="AM162" t="s">
        <v>93</v>
      </c>
      <c r="AN162" t="s">
        <v>94</v>
      </c>
      <c r="AO162" t="s">
        <v>3058</v>
      </c>
      <c r="AP162" t="s">
        <v>3059</v>
      </c>
      <c r="AQ162" t="s">
        <v>74</v>
      </c>
      <c r="AR162" t="s">
        <v>3060</v>
      </c>
      <c r="AS162" t="s">
        <v>3061</v>
      </c>
      <c r="AT162" t="s">
        <v>1791</v>
      </c>
      <c r="AU162">
        <v>2014</v>
      </c>
      <c r="AV162">
        <v>15</v>
      </c>
      <c r="AW162">
        <v>3</v>
      </c>
      <c r="AX162" t="s">
        <v>74</v>
      </c>
      <c r="AY162" t="s">
        <v>74</v>
      </c>
      <c r="AZ162" t="s">
        <v>74</v>
      </c>
      <c r="BA162" t="s">
        <v>74</v>
      </c>
      <c r="BB162">
        <v>474</v>
      </c>
      <c r="BC162">
        <v>488</v>
      </c>
      <c r="BD162" t="s">
        <v>74</v>
      </c>
      <c r="BE162" t="s">
        <v>3452</v>
      </c>
      <c r="BF162" t="str">
        <f>HYPERLINK("http://dx.doi.org/10.1111/faf.12032","http://dx.doi.org/10.1111/faf.12032")</f>
        <v>http://dx.doi.org/10.1111/faf.12032</v>
      </c>
      <c r="BG162" t="s">
        <v>74</v>
      </c>
      <c r="BH162" t="s">
        <v>74</v>
      </c>
      <c r="BI162">
        <v>15</v>
      </c>
      <c r="BJ162" t="s">
        <v>3063</v>
      </c>
      <c r="BK162" t="s">
        <v>1690</v>
      </c>
      <c r="BL162" t="s">
        <v>3063</v>
      </c>
      <c r="BM162" t="s">
        <v>3064</v>
      </c>
      <c r="BN162" t="s">
        <v>74</v>
      </c>
      <c r="BO162" t="s">
        <v>289</v>
      </c>
      <c r="BP162" t="s">
        <v>74</v>
      </c>
      <c r="BQ162" t="s">
        <v>74</v>
      </c>
      <c r="BR162" t="s">
        <v>105</v>
      </c>
      <c r="BS162" t="s">
        <v>3453</v>
      </c>
      <c r="BT162" t="str">
        <f>HYPERLINK("https%3A%2F%2Fwww.webofscience.com%2Fwos%2Fwoscc%2Ffull-record%2FWOS:000340661300008","View Full Record in Web of Science")</f>
        <v>View Full Record in Web of Science</v>
      </c>
    </row>
    <row r="163" spans="1:72" x14ac:dyDescent="0.15">
      <c r="A163" t="s">
        <v>72</v>
      </c>
      <c r="B163" t="s">
        <v>3454</v>
      </c>
      <c r="C163" t="s">
        <v>74</v>
      </c>
      <c r="D163" t="s">
        <v>74</v>
      </c>
      <c r="E163" t="s">
        <v>74</v>
      </c>
      <c r="F163" t="s">
        <v>3455</v>
      </c>
      <c r="G163" t="s">
        <v>74</v>
      </c>
      <c r="H163" t="s">
        <v>74</v>
      </c>
      <c r="I163" t="s">
        <v>3456</v>
      </c>
      <c r="J163" t="s">
        <v>3457</v>
      </c>
      <c r="K163" t="s">
        <v>74</v>
      </c>
      <c r="L163" t="s">
        <v>74</v>
      </c>
      <c r="M163" t="s">
        <v>78</v>
      </c>
      <c r="N163" t="s">
        <v>185</v>
      </c>
      <c r="O163" t="s">
        <v>74</v>
      </c>
      <c r="P163" t="s">
        <v>74</v>
      </c>
      <c r="Q163" t="s">
        <v>74</v>
      </c>
      <c r="R163" t="s">
        <v>74</v>
      </c>
      <c r="S163" t="s">
        <v>74</v>
      </c>
      <c r="T163" t="s">
        <v>74</v>
      </c>
      <c r="U163" t="s">
        <v>3458</v>
      </c>
      <c r="V163" t="s">
        <v>3459</v>
      </c>
      <c r="W163" t="s">
        <v>3460</v>
      </c>
      <c r="X163" t="s">
        <v>3461</v>
      </c>
      <c r="Y163" t="s">
        <v>3462</v>
      </c>
      <c r="Z163" t="s">
        <v>3463</v>
      </c>
      <c r="AA163" t="s">
        <v>3464</v>
      </c>
      <c r="AB163" t="s">
        <v>3465</v>
      </c>
      <c r="AC163" t="s">
        <v>3466</v>
      </c>
      <c r="AD163" t="s">
        <v>3467</v>
      </c>
      <c r="AE163" t="s">
        <v>3468</v>
      </c>
      <c r="AF163" t="s">
        <v>74</v>
      </c>
      <c r="AG163">
        <v>65</v>
      </c>
      <c r="AH163">
        <v>285</v>
      </c>
      <c r="AI163">
        <v>323</v>
      </c>
      <c r="AJ163">
        <v>9</v>
      </c>
      <c r="AK163">
        <v>511</v>
      </c>
      <c r="AL163" t="s">
        <v>171</v>
      </c>
      <c r="AM163" t="s">
        <v>93</v>
      </c>
      <c r="AN163" t="s">
        <v>94</v>
      </c>
      <c r="AO163" t="s">
        <v>3469</v>
      </c>
      <c r="AP163" t="s">
        <v>3470</v>
      </c>
      <c r="AQ163" t="s">
        <v>74</v>
      </c>
      <c r="AR163" t="s">
        <v>3471</v>
      </c>
      <c r="AS163" t="s">
        <v>3472</v>
      </c>
      <c r="AT163" t="s">
        <v>1791</v>
      </c>
      <c r="AU163">
        <v>2014</v>
      </c>
      <c r="AV163">
        <v>12</v>
      </c>
      <c r="AW163">
        <v>7</v>
      </c>
      <c r="AX163" t="s">
        <v>74</v>
      </c>
      <c r="AY163" t="s">
        <v>74</v>
      </c>
      <c r="AZ163" t="s">
        <v>74</v>
      </c>
      <c r="BA163" t="s">
        <v>74</v>
      </c>
      <c r="BB163">
        <v>377</v>
      </c>
      <c r="BC163">
        <v>385</v>
      </c>
      <c r="BD163" t="s">
        <v>74</v>
      </c>
      <c r="BE163" t="s">
        <v>3473</v>
      </c>
      <c r="BF163" t="str">
        <f>HYPERLINK("http://dx.doi.org/10.1890/130220","http://dx.doi.org/10.1890/130220")</f>
        <v>http://dx.doi.org/10.1890/130220</v>
      </c>
      <c r="BG163" t="s">
        <v>74</v>
      </c>
      <c r="BH163" t="s">
        <v>74</v>
      </c>
      <c r="BI163">
        <v>9</v>
      </c>
      <c r="BJ163" t="s">
        <v>2552</v>
      </c>
      <c r="BK163" t="s">
        <v>102</v>
      </c>
      <c r="BL163" t="s">
        <v>2553</v>
      </c>
      <c r="BM163" t="s">
        <v>3474</v>
      </c>
      <c r="BN163" t="s">
        <v>74</v>
      </c>
      <c r="BO163" t="s">
        <v>3475</v>
      </c>
      <c r="BP163" t="s">
        <v>74</v>
      </c>
      <c r="BQ163" t="s">
        <v>74</v>
      </c>
      <c r="BR163" t="s">
        <v>105</v>
      </c>
      <c r="BS163" t="s">
        <v>3476</v>
      </c>
      <c r="BT163" t="str">
        <f>HYPERLINK("https%3A%2F%2Fwww.webofscience.com%2Fwos%2Fwoscc%2Ffull-record%2FWOS:000341227300011","View Full Record in Web of Science")</f>
        <v>View Full Record in Web of Science</v>
      </c>
    </row>
    <row r="164" spans="1:72" x14ac:dyDescent="0.15">
      <c r="A164" t="s">
        <v>72</v>
      </c>
      <c r="B164" t="s">
        <v>3477</v>
      </c>
      <c r="C164" t="s">
        <v>74</v>
      </c>
      <c r="D164" t="s">
        <v>74</v>
      </c>
      <c r="E164" t="s">
        <v>74</v>
      </c>
      <c r="F164" t="s">
        <v>3478</v>
      </c>
      <c r="G164" t="s">
        <v>74</v>
      </c>
      <c r="H164" t="s">
        <v>74</v>
      </c>
      <c r="I164" t="s">
        <v>3479</v>
      </c>
      <c r="J164" t="s">
        <v>3480</v>
      </c>
      <c r="K164" t="s">
        <v>74</v>
      </c>
      <c r="L164" t="s">
        <v>74</v>
      </c>
      <c r="M164" t="s">
        <v>78</v>
      </c>
      <c r="N164" t="s">
        <v>79</v>
      </c>
      <c r="O164" t="s">
        <v>74</v>
      </c>
      <c r="P164" t="s">
        <v>74</v>
      </c>
      <c r="Q164" t="s">
        <v>74</v>
      </c>
      <c r="R164" t="s">
        <v>74</v>
      </c>
      <c r="S164" t="s">
        <v>74</v>
      </c>
      <c r="T164" t="s">
        <v>74</v>
      </c>
      <c r="U164" t="s">
        <v>3481</v>
      </c>
      <c r="V164" t="s">
        <v>3482</v>
      </c>
      <c r="W164" t="s">
        <v>3483</v>
      </c>
      <c r="X164" t="s">
        <v>3484</v>
      </c>
      <c r="Y164" t="s">
        <v>3485</v>
      </c>
      <c r="Z164" t="s">
        <v>3486</v>
      </c>
      <c r="AA164" t="s">
        <v>3487</v>
      </c>
      <c r="AB164" t="s">
        <v>3488</v>
      </c>
      <c r="AC164" t="s">
        <v>3489</v>
      </c>
      <c r="AD164" t="s">
        <v>3490</v>
      </c>
      <c r="AE164" t="s">
        <v>3491</v>
      </c>
      <c r="AF164" t="s">
        <v>74</v>
      </c>
      <c r="AG164">
        <v>115</v>
      </c>
      <c r="AH164">
        <v>27</v>
      </c>
      <c r="AI164">
        <v>30</v>
      </c>
      <c r="AJ164">
        <v>0</v>
      </c>
      <c r="AK164">
        <v>66</v>
      </c>
      <c r="AL164" t="s">
        <v>171</v>
      </c>
      <c r="AM164" t="s">
        <v>93</v>
      </c>
      <c r="AN164" t="s">
        <v>94</v>
      </c>
      <c r="AO164" t="s">
        <v>3492</v>
      </c>
      <c r="AP164" t="s">
        <v>3493</v>
      </c>
      <c r="AQ164" t="s">
        <v>74</v>
      </c>
      <c r="AR164" t="s">
        <v>3480</v>
      </c>
      <c r="AS164" t="s">
        <v>3494</v>
      </c>
      <c r="AT164" t="s">
        <v>1791</v>
      </c>
      <c r="AU164">
        <v>2014</v>
      </c>
      <c r="AV164">
        <v>12</v>
      </c>
      <c r="AW164">
        <v>5</v>
      </c>
      <c r="AX164" t="s">
        <v>74</v>
      </c>
      <c r="AY164" t="s">
        <v>74</v>
      </c>
      <c r="AZ164" t="s">
        <v>74</v>
      </c>
      <c r="BA164" t="s">
        <v>74</v>
      </c>
      <c r="BB164">
        <v>424</v>
      </c>
      <c r="BC164">
        <v>450</v>
      </c>
      <c r="BD164" t="s">
        <v>74</v>
      </c>
      <c r="BE164" t="s">
        <v>3495</v>
      </c>
      <c r="BF164" t="str">
        <f>HYPERLINK("http://dx.doi.org/10.1111/gbi.12096","http://dx.doi.org/10.1111/gbi.12096")</f>
        <v>http://dx.doi.org/10.1111/gbi.12096</v>
      </c>
      <c r="BG164" t="s">
        <v>74</v>
      </c>
      <c r="BH164" t="s">
        <v>74</v>
      </c>
      <c r="BI164">
        <v>27</v>
      </c>
      <c r="BJ164" t="s">
        <v>3496</v>
      </c>
      <c r="BK164" t="s">
        <v>102</v>
      </c>
      <c r="BL164" t="s">
        <v>3497</v>
      </c>
      <c r="BM164" t="s">
        <v>3498</v>
      </c>
      <c r="BN164">
        <v>25039968</v>
      </c>
      <c r="BO164" t="s">
        <v>1274</v>
      </c>
      <c r="BP164" t="s">
        <v>74</v>
      </c>
      <c r="BQ164" t="s">
        <v>74</v>
      </c>
      <c r="BR164" t="s">
        <v>105</v>
      </c>
      <c r="BS164" t="s">
        <v>3499</v>
      </c>
      <c r="BT164" t="str">
        <f>HYPERLINK("https%3A%2F%2Fwww.webofscience.com%2Fwos%2Fwoscc%2Ffull-record%2FWOS:000343866300004","View Full Record in Web of Science")</f>
        <v>View Full Record in Web of Science</v>
      </c>
    </row>
    <row r="165" spans="1:72" x14ac:dyDescent="0.15">
      <c r="A165" t="s">
        <v>72</v>
      </c>
      <c r="B165" t="s">
        <v>3500</v>
      </c>
      <c r="C165" t="s">
        <v>74</v>
      </c>
      <c r="D165" t="s">
        <v>74</v>
      </c>
      <c r="E165" t="s">
        <v>74</v>
      </c>
      <c r="F165" t="s">
        <v>3501</v>
      </c>
      <c r="G165" t="s">
        <v>74</v>
      </c>
      <c r="H165" t="s">
        <v>74</v>
      </c>
      <c r="I165" t="s">
        <v>3502</v>
      </c>
      <c r="J165" t="s">
        <v>1329</v>
      </c>
      <c r="K165" t="s">
        <v>74</v>
      </c>
      <c r="L165" t="s">
        <v>74</v>
      </c>
      <c r="M165" t="s">
        <v>78</v>
      </c>
      <c r="N165" t="s">
        <v>79</v>
      </c>
      <c r="O165" t="s">
        <v>74</v>
      </c>
      <c r="P165" t="s">
        <v>74</v>
      </c>
      <c r="Q165" t="s">
        <v>74</v>
      </c>
      <c r="R165" t="s">
        <v>74</v>
      </c>
      <c r="S165" t="s">
        <v>74</v>
      </c>
      <c r="T165" t="s">
        <v>74</v>
      </c>
      <c r="U165" t="s">
        <v>3503</v>
      </c>
      <c r="V165" t="s">
        <v>3504</v>
      </c>
      <c r="W165" t="s">
        <v>3505</v>
      </c>
      <c r="X165" t="s">
        <v>3506</v>
      </c>
      <c r="Y165" t="s">
        <v>3507</v>
      </c>
      <c r="Z165" t="s">
        <v>3508</v>
      </c>
      <c r="AA165" t="s">
        <v>3509</v>
      </c>
      <c r="AB165" t="s">
        <v>3510</v>
      </c>
      <c r="AC165" t="s">
        <v>3511</v>
      </c>
      <c r="AD165" t="s">
        <v>3512</v>
      </c>
      <c r="AE165" t="s">
        <v>3513</v>
      </c>
      <c r="AF165" t="s">
        <v>74</v>
      </c>
      <c r="AG165">
        <v>65</v>
      </c>
      <c r="AH165">
        <v>15</v>
      </c>
      <c r="AI165">
        <v>15</v>
      </c>
      <c r="AJ165">
        <v>0</v>
      </c>
      <c r="AK165">
        <v>40</v>
      </c>
      <c r="AL165" t="s">
        <v>250</v>
      </c>
      <c r="AM165" t="s">
        <v>251</v>
      </c>
      <c r="AN165" t="s">
        <v>252</v>
      </c>
      <c r="AO165" t="s">
        <v>1341</v>
      </c>
      <c r="AP165" t="s">
        <v>1342</v>
      </c>
      <c r="AQ165" t="s">
        <v>74</v>
      </c>
      <c r="AR165" t="s">
        <v>1343</v>
      </c>
      <c r="AS165" t="s">
        <v>1344</v>
      </c>
      <c r="AT165" t="s">
        <v>2460</v>
      </c>
      <c r="AU165">
        <v>2014</v>
      </c>
      <c r="AV165">
        <v>140</v>
      </c>
      <c r="AW165" t="s">
        <v>74</v>
      </c>
      <c r="AX165" t="s">
        <v>74</v>
      </c>
      <c r="AY165" t="s">
        <v>74</v>
      </c>
      <c r="AZ165" t="s">
        <v>74</v>
      </c>
      <c r="BA165" t="s">
        <v>74</v>
      </c>
      <c r="BB165">
        <v>455</v>
      </c>
      <c r="BC165">
        <v>467</v>
      </c>
      <c r="BD165" t="s">
        <v>74</v>
      </c>
      <c r="BE165" t="s">
        <v>3514</v>
      </c>
      <c r="BF165" t="str">
        <f>HYPERLINK("http://dx.doi.org/10.1016/j.gca.2014.05.041","http://dx.doi.org/10.1016/j.gca.2014.05.041")</f>
        <v>http://dx.doi.org/10.1016/j.gca.2014.05.041</v>
      </c>
      <c r="BG165" t="s">
        <v>74</v>
      </c>
      <c r="BH165" t="s">
        <v>74</v>
      </c>
      <c r="BI165">
        <v>13</v>
      </c>
      <c r="BJ165" t="s">
        <v>425</v>
      </c>
      <c r="BK165" t="s">
        <v>102</v>
      </c>
      <c r="BL165" t="s">
        <v>425</v>
      </c>
      <c r="BM165" t="s">
        <v>2462</v>
      </c>
      <c r="BN165" t="s">
        <v>74</v>
      </c>
      <c r="BO165" t="s">
        <v>74</v>
      </c>
      <c r="BP165" t="s">
        <v>74</v>
      </c>
      <c r="BQ165" t="s">
        <v>74</v>
      </c>
      <c r="BR165" t="s">
        <v>105</v>
      </c>
      <c r="BS165" t="s">
        <v>3515</v>
      </c>
      <c r="BT165" t="str">
        <f>HYPERLINK("https%3A%2F%2Fwww.webofscience.com%2Fwos%2Fwoscc%2Ffull-record%2FWOS:000341925300029","View Full Record in Web of Science")</f>
        <v>View Full Record in Web of Science</v>
      </c>
    </row>
    <row r="166" spans="1:72" x14ac:dyDescent="0.15">
      <c r="A166" t="s">
        <v>72</v>
      </c>
      <c r="B166" t="s">
        <v>3516</v>
      </c>
      <c r="C166" t="s">
        <v>74</v>
      </c>
      <c r="D166" t="s">
        <v>74</v>
      </c>
      <c r="E166" t="s">
        <v>74</v>
      </c>
      <c r="F166" t="s">
        <v>3517</v>
      </c>
      <c r="G166" t="s">
        <v>74</v>
      </c>
      <c r="H166" t="s">
        <v>74</v>
      </c>
      <c r="I166" t="s">
        <v>3518</v>
      </c>
      <c r="J166" t="s">
        <v>3519</v>
      </c>
      <c r="K166" t="s">
        <v>74</v>
      </c>
      <c r="L166" t="s">
        <v>74</v>
      </c>
      <c r="M166" t="s">
        <v>78</v>
      </c>
      <c r="N166" t="s">
        <v>79</v>
      </c>
      <c r="O166" t="s">
        <v>74</v>
      </c>
      <c r="P166" t="s">
        <v>74</v>
      </c>
      <c r="Q166" t="s">
        <v>74</v>
      </c>
      <c r="R166" t="s">
        <v>74</v>
      </c>
      <c r="S166" t="s">
        <v>74</v>
      </c>
      <c r="T166" t="s">
        <v>3520</v>
      </c>
      <c r="U166" t="s">
        <v>3521</v>
      </c>
      <c r="V166" t="s">
        <v>3522</v>
      </c>
      <c r="W166" t="s">
        <v>3523</v>
      </c>
      <c r="X166" t="s">
        <v>3524</v>
      </c>
      <c r="Y166" t="s">
        <v>3525</v>
      </c>
      <c r="Z166" t="s">
        <v>3526</v>
      </c>
      <c r="AA166" t="s">
        <v>3527</v>
      </c>
      <c r="AB166" t="s">
        <v>3528</v>
      </c>
      <c r="AC166" t="s">
        <v>3529</v>
      </c>
      <c r="AD166" t="s">
        <v>3530</v>
      </c>
      <c r="AE166" t="s">
        <v>3531</v>
      </c>
      <c r="AF166" t="s">
        <v>74</v>
      </c>
      <c r="AG166">
        <v>67</v>
      </c>
      <c r="AH166">
        <v>17</v>
      </c>
      <c r="AI166">
        <v>21</v>
      </c>
      <c r="AJ166">
        <v>0</v>
      </c>
      <c r="AK166">
        <v>13</v>
      </c>
      <c r="AL166" t="s">
        <v>418</v>
      </c>
      <c r="AM166" t="s">
        <v>251</v>
      </c>
      <c r="AN166" t="s">
        <v>419</v>
      </c>
      <c r="AO166" t="s">
        <v>3532</v>
      </c>
      <c r="AP166" t="s">
        <v>3533</v>
      </c>
      <c r="AQ166" t="s">
        <v>74</v>
      </c>
      <c r="AR166" t="s">
        <v>3534</v>
      </c>
      <c r="AS166" t="s">
        <v>3535</v>
      </c>
      <c r="AT166" t="s">
        <v>1791</v>
      </c>
      <c r="AU166">
        <v>2014</v>
      </c>
      <c r="AV166">
        <v>198</v>
      </c>
      <c r="AW166">
        <v>3</v>
      </c>
      <c r="AX166" t="s">
        <v>74</v>
      </c>
      <c r="AY166" t="s">
        <v>74</v>
      </c>
      <c r="AZ166" t="s">
        <v>74</v>
      </c>
      <c r="BA166" t="s">
        <v>74</v>
      </c>
      <c r="BB166">
        <v>1758</v>
      </c>
      <c r="BC166">
        <v>1774</v>
      </c>
      <c r="BD166" t="s">
        <v>74</v>
      </c>
      <c r="BE166" t="s">
        <v>3536</v>
      </c>
      <c r="BF166" t="str">
        <f>HYPERLINK("http://dx.doi.org/10.1093/gji/ggu233","http://dx.doi.org/10.1093/gji/ggu233")</f>
        <v>http://dx.doi.org/10.1093/gji/ggu233</v>
      </c>
      <c r="BG166" t="s">
        <v>74</v>
      </c>
      <c r="BH166" t="s">
        <v>74</v>
      </c>
      <c r="BI166">
        <v>17</v>
      </c>
      <c r="BJ166" t="s">
        <v>425</v>
      </c>
      <c r="BK166" t="s">
        <v>102</v>
      </c>
      <c r="BL166" t="s">
        <v>425</v>
      </c>
      <c r="BM166" t="s">
        <v>3537</v>
      </c>
      <c r="BN166" t="s">
        <v>74</v>
      </c>
      <c r="BO166" t="s">
        <v>467</v>
      </c>
      <c r="BP166" t="s">
        <v>74</v>
      </c>
      <c r="BQ166" t="s">
        <v>74</v>
      </c>
      <c r="BR166" t="s">
        <v>105</v>
      </c>
      <c r="BS166" t="s">
        <v>3538</v>
      </c>
      <c r="BT166" t="str">
        <f>HYPERLINK("https%3A%2F%2Fwww.webofscience.com%2Fwos%2Fwoscc%2Ffull-record%2FWOS:000339955900036","View Full Record in Web of Science")</f>
        <v>View Full Record in Web of Science</v>
      </c>
    </row>
    <row r="167" spans="1:72" x14ac:dyDescent="0.15">
      <c r="A167" t="s">
        <v>72</v>
      </c>
      <c r="B167" t="s">
        <v>3539</v>
      </c>
      <c r="C167" t="s">
        <v>74</v>
      </c>
      <c r="D167" t="s">
        <v>74</v>
      </c>
      <c r="E167" t="s">
        <v>74</v>
      </c>
      <c r="F167" t="s">
        <v>3540</v>
      </c>
      <c r="G167" t="s">
        <v>74</v>
      </c>
      <c r="H167" t="s">
        <v>74</v>
      </c>
      <c r="I167" t="s">
        <v>3541</v>
      </c>
      <c r="J167" t="s">
        <v>3542</v>
      </c>
      <c r="K167" t="s">
        <v>74</v>
      </c>
      <c r="L167" t="s">
        <v>74</v>
      </c>
      <c r="M167" t="s">
        <v>78</v>
      </c>
      <c r="N167" t="s">
        <v>79</v>
      </c>
      <c r="O167" t="s">
        <v>74</v>
      </c>
      <c r="P167" t="s">
        <v>74</v>
      </c>
      <c r="Q167" t="s">
        <v>74</v>
      </c>
      <c r="R167" t="s">
        <v>74</v>
      </c>
      <c r="S167" t="s">
        <v>74</v>
      </c>
      <c r="T167" t="s">
        <v>3543</v>
      </c>
      <c r="U167" t="s">
        <v>3544</v>
      </c>
      <c r="V167" t="s">
        <v>3545</v>
      </c>
      <c r="W167" t="s">
        <v>3546</v>
      </c>
      <c r="X167" t="s">
        <v>2873</v>
      </c>
      <c r="Y167" t="s">
        <v>3547</v>
      </c>
      <c r="Z167" t="s">
        <v>3548</v>
      </c>
      <c r="AA167" t="s">
        <v>3549</v>
      </c>
      <c r="AB167" t="s">
        <v>3550</v>
      </c>
      <c r="AC167" t="s">
        <v>74</v>
      </c>
      <c r="AD167" t="s">
        <v>74</v>
      </c>
      <c r="AE167" t="s">
        <v>74</v>
      </c>
      <c r="AF167" t="s">
        <v>74</v>
      </c>
      <c r="AG167">
        <v>91</v>
      </c>
      <c r="AH167">
        <v>15</v>
      </c>
      <c r="AI167">
        <v>18</v>
      </c>
      <c r="AJ167">
        <v>0</v>
      </c>
      <c r="AK167">
        <v>22</v>
      </c>
      <c r="AL167" t="s">
        <v>123</v>
      </c>
      <c r="AM167" t="s">
        <v>124</v>
      </c>
      <c r="AN167" t="s">
        <v>125</v>
      </c>
      <c r="AO167" t="s">
        <v>3551</v>
      </c>
      <c r="AP167" t="s">
        <v>3552</v>
      </c>
      <c r="AQ167" t="s">
        <v>74</v>
      </c>
      <c r="AR167" t="s">
        <v>3553</v>
      </c>
      <c r="AS167" t="s">
        <v>3554</v>
      </c>
      <c r="AT167" t="s">
        <v>1791</v>
      </c>
      <c r="AU167">
        <v>2014</v>
      </c>
      <c r="AV167">
        <v>120</v>
      </c>
      <c r="AW167" t="s">
        <v>74</v>
      </c>
      <c r="AX167" t="s">
        <v>74</v>
      </c>
      <c r="AY167" t="s">
        <v>74</v>
      </c>
      <c r="AZ167" t="s">
        <v>74</v>
      </c>
      <c r="BA167" t="s">
        <v>74</v>
      </c>
      <c r="BB167">
        <v>92</v>
      </c>
      <c r="BC167">
        <v>104</v>
      </c>
      <c r="BD167" t="s">
        <v>74</v>
      </c>
      <c r="BE167" t="s">
        <v>3555</v>
      </c>
      <c r="BF167" t="str">
        <f>HYPERLINK("http://dx.doi.org/10.1016/j.gloplacha.2014.06.004","http://dx.doi.org/10.1016/j.gloplacha.2014.06.004")</f>
        <v>http://dx.doi.org/10.1016/j.gloplacha.2014.06.004</v>
      </c>
      <c r="BG167" t="s">
        <v>74</v>
      </c>
      <c r="BH167" t="s">
        <v>74</v>
      </c>
      <c r="BI167">
        <v>13</v>
      </c>
      <c r="BJ167" t="s">
        <v>1427</v>
      </c>
      <c r="BK167" t="s">
        <v>102</v>
      </c>
      <c r="BL167" t="s">
        <v>1428</v>
      </c>
      <c r="BM167" t="s">
        <v>3556</v>
      </c>
      <c r="BN167" t="s">
        <v>74</v>
      </c>
      <c r="BO167" t="s">
        <v>3557</v>
      </c>
      <c r="BP167" t="s">
        <v>74</v>
      </c>
      <c r="BQ167" t="s">
        <v>74</v>
      </c>
      <c r="BR167" t="s">
        <v>105</v>
      </c>
      <c r="BS167" t="s">
        <v>3558</v>
      </c>
      <c r="BT167" t="str">
        <f>HYPERLINK("https%3A%2F%2Fwww.webofscience.com%2Fwos%2Fwoscc%2Ffull-record%2FWOS:000340221900009","View Full Record in Web of Science")</f>
        <v>View Full Record in Web of Science</v>
      </c>
    </row>
    <row r="168" spans="1:72" x14ac:dyDescent="0.15">
      <c r="A168" t="s">
        <v>72</v>
      </c>
      <c r="B168" t="s">
        <v>3559</v>
      </c>
      <c r="C168" t="s">
        <v>74</v>
      </c>
      <c r="D168" t="s">
        <v>74</v>
      </c>
      <c r="E168" t="s">
        <v>74</v>
      </c>
      <c r="F168" t="s">
        <v>3560</v>
      </c>
      <c r="G168" t="s">
        <v>74</v>
      </c>
      <c r="H168" t="s">
        <v>74</v>
      </c>
      <c r="I168" t="s">
        <v>3561</v>
      </c>
      <c r="J168" t="s">
        <v>77</v>
      </c>
      <c r="K168" t="s">
        <v>74</v>
      </c>
      <c r="L168" t="s">
        <v>74</v>
      </c>
      <c r="M168" t="s">
        <v>78</v>
      </c>
      <c r="N168" t="s">
        <v>79</v>
      </c>
      <c r="O168" t="s">
        <v>74</v>
      </c>
      <c r="P168" t="s">
        <v>74</v>
      </c>
      <c r="Q168" t="s">
        <v>74</v>
      </c>
      <c r="R168" t="s">
        <v>74</v>
      </c>
      <c r="S168" t="s">
        <v>74</v>
      </c>
      <c r="T168" t="s">
        <v>3562</v>
      </c>
      <c r="U168" t="s">
        <v>3563</v>
      </c>
      <c r="V168" t="s">
        <v>3564</v>
      </c>
      <c r="W168" t="s">
        <v>3565</v>
      </c>
      <c r="X168" t="s">
        <v>3566</v>
      </c>
      <c r="Y168" t="s">
        <v>3567</v>
      </c>
      <c r="Z168" t="s">
        <v>3568</v>
      </c>
      <c r="AA168" t="s">
        <v>3569</v>
      </c>
      <c r="AB168" t="s">
        <v>3570</v>
      </c>
      <c r="AC168" t="s">
        <v>3571</v>
      </c>
      <c r="AD168" t="s">
        <v>3572</v>
      </c>
      <c r="AE168" t="s">
        <v>3573</v>
      </c>
      <c r="AF168" t="s">
        <v>74</v>
      </c>
      <c r="AG168">
        <v>53</v>
      </c>
      <c r="AH168">
        <v>27</v>
      </c>
      <c r="AI168">
        <v>29</v>
      </c>
      <c r="AJ168">
        <v>0</v>
      </c>
      <c r="AK168">
        <v>173</v>
      </c>
      <c r="AL168" t="s">
        <v>92</v>
      </c>
      <c r="AM168" t="s">
        <v>93</v>
      </c>
      <c r="AN168" t="s">
        <v>94</v>
      </c>
      <c r="AO168" t="s">
        <v>95</v>
      </c>
      <c r="AP168" t="s">
        <v>96</v>
      </c>
      <c r="AQ168" t="s">
        <v>74</v>
      </c>
      <c r="AR168" t="s">
        <v>97</v>
      </c>
      <c r="AS168" t="s">
        <v>98</v>
      </c>
      <c r="AT168" t="s">
        <v>1791</v>
      </c>
      <c r="AU168">
        <v>2014</v>
      </c>
      <c r="AV168">
        <v>23</v>
      </c>
      <c r="AW168">
        <v>9</v>
      </c>
      <c r="AX168" t="s">
        <v>74</v>
      </c>
      <c r="AY168" t="s">
        <v>74</v>
      </c>
      <c r="AZ168" t="s">
        <v>74</v>
      </c>
      <c r="BA168" t="s">
        <v>74</v>
      </c>
      <c r="BB168">
        <v>1000</v>
      </c>
      <c r="BC168">
        <v>1008</v>
      </c>
      <c r="BD168" t="s">
        <v>74</v>
      </c>
      <c r="BE168" t="s">
        <v>3574</v>
      </c>
      <c r="BF168" t="str">
        <f>HYPERLINK("http://dx.doi.org/10.1111/geb.12185","http://dx.doi.org/10.1111/geb.12185")</f>
        <v>http://dx.doi.org/10.1111/geb.12185</v>
      </c>
      <c r="BG168" t="s">
        <v>74</v>
      </c>
      <c r="BH168" t="s">
        <v>74</v>
      </c>
      <c r="BI168">
        <v>9</v>
      </c>
      <c r="BJ168" t="s">
        <v>101</v>
      </c>
      <c r="BK168" t="s">
        <v>102</v>
      </c>
      <c r="BL168" t="s">
        <v>103</v>
      </c>
      <c r="BM168" t="s">
        <v>3575</v>
      </c>
      <c r="BN168" t="s">
        <v>74</v>
      </c>
      <c r="BO168" t="s">
        <v>359</v>
      </c>
      <c r="BP168" t="s">
        <v>74</v>
      </c>
      <c r="BQ168" t="s">
        <v>74</v>
      </c>
      <c r="BR168" t="s">
        <v>105</v>
      </c>
      <c r="BS168" t="s">
        <v>3576</v>
      </c>
      <c r="BT168" t="str">
        <f>HYPERLINK("https%3A%2F%2Fwww.webofscience.com%2Fwos%2Fwoscc%2Ffull-record%2FWOS:000340426000005","View Full Record in Web of Science")</f>
        <v>View Full Record in Web of Science</v>
      </c>
    </row>
    <row r="169" spans="1:72" x14ac:dyDescent="0.15">
      <c r="A169" t="s">
        <v>72</v>
      </c>
      <c r="B169" t="s">
        <v>3577</v>
      </c>
      <c r="C169" t="s">
        <v>74</v>
      </c>
      <c r="D169" t="s">
        <v>74</v>
      </c>
      <c r="E169" t="s">
        <v>74</v>
      </c>
      <c r="F169" t="s">
        <v>3578</v>
      </c>
      <c r="G169" t="s">
        <v>74</v>
      </c>
      <c r="H169" t="s">
        <v>74</v>
      </c>
      <c r="I169" t="s">
        <v>3579</v>
      </c>
      <c r="J169" t="s">
        <v>939</v>
      </c>
      <c r="K169" t="s">
        <v>74</v>
      </c>
      <c r="L169" t="s">
        <v>74</v>
      </c>
      <c r="M169" t="s">
        <v>78</v>
      </c>
      <c r="N169" t="s">
        <v>79</v>
      </c>
      <c r="O169" t="s">
        <v>74</v>
      </c>
      <c r="P169" t="s">
        <v>74</v>
      </c>
      <c r="Q169" t="s">
        <v>74</v>
      </c>
      <c r="R169" t="s">
        <v>74</v>
      </c>
      <c r="S169" t="s">
        <v>74</v>
      </c>
      <c r="T169" t="s">
        <v>3580</v>
      </c>
      <c r="U169" t="s">
        <v>3581</v>
      </c>
      <c r="V169" t="s">
        <v>3582</v>
      </c>
      <c r="W169" t="s">
        <v>3583</v>
      </c>
      <c r="X169" t="s">
        <v>3584</v>
      </c>
      <c r="Y169" t="s">
        <v>3585</v>
      </c>
      <c r="Z169" t="s">
        <v>3586</v>
      </c>
      <c r="AA169" t="s">
        <v>3587</v>
      </c>
      <c r="AB169" t="s">
        <v>3588</v>
      </c>
      <c r="AC169" t="s">
        <v>3589</v>
      </c>
      <c r="AD169" t="s">
        <v>3590</v>
      </c>
      <c r="AE169" t="s">
        <v>3591</v>
      </c>
      <c r="AF169" t="s">
        <v>74</v>
      </c>
      <c r="AG169">
        <v>28</v>
      </c>
      <c r="AH169">
        <v>7</v>
      </c>
      <c r="AI169">
        <v>7</v>
      </c>
      <c r="AJ169">
        <v>2</v>
      </c>
      <c r="AK169">
        <v>39</v>
      </c>
      <c r="AL169" t="s">
        <v>952</v>
      </c>
      <c r="AM169" t="s">
        <v>953</v>
      </c>
      <c r="AN169" t="s">
        <v>954</v>
      </c>
      <c r="AO169" t="s">
        <v>955</v>
      </c>
      <c r="AP169" t="s">
        <v>956</v>
      </c>
      <c r="AQ169" t="s">
        <v>74</v>
      </c>
      <c r="AR169" t="s">
        <v>957</v>
      </c>
      <c r="AS169" t="s">
        <v>958</v>
      </c>
      <c r="AT169" t="s">
        <v>1791</v>
      </c>
      <c r="AU169">
        <v>2014</v>
      </c>
      <c r="AV169">
        <v>52</v>
      </c>
      <c r="AW169">
        <v>9</v>
      </c>
      <c r="AX169" t="s">
        <v>74</v>
      </c>
      <c r="AY169" t="s">
        <v>74</v>
      </c>
      <c r="AZ169" t="s">
        <v>74</v>
      </c>
      <c r="BA169" t="s">
        <v>74</v>
      </c>
      <c r="BB169">
        <v>5790</v>
      </c>
      <c r="BC169">
        <v>5797</v>
      </c>
      <c r="BD169" t="s">
        <v>74</v>
      </c>
      <c r="BE169" t="s">
        <v>3592</v>
      </c>
      <c r="BF169" t="str">
        <f>HYPERLINK("http://dx.doi.org/10.1109/TGRS.2013.2292815","http://dx.doi.org/10.1109/TGRS.2013.2292815")</f>
        <v>http://dx.doi.org/10.1109/TGRS.2013.2292815</v>
      </c>
      <c r="BG169" t="s">
        <v>74</v>
      </c>
      <c r="BH169" t="s">
        <v>74</v>
      </c>
      <c r="BI169">
        <v>8</v>
      </c>
      <c r="BJ169" t="s">
        <v>960</v>
      </c>
      <c r="BK169" t="s">
        <v>102</v>
      </c>
      <c r="BL169" t="s">
        <v>961</v>
      </c>
      <c r="BM169" t="s">
        <v>3593</v>
      </c>
      <c r="BN169" t="s">
        <v>74</v>
      </c>
      <c r="BO169" t="s">
        <v>262</v>
      </c>
      <c r="BP169" t="s">
        <v>74</v>
      </c>
      <c r="BQ169" t="s">
        <v>74</v>
      </c>
      <c r="BR169" t="s">
        <v>105</v>
      </c>
      <c r="BS169" t="s">
        <v>3594</v>
      </c>
      <c r="BT169" t="str">
        <f>HYPERLINK("https%3A%2F%2Fwww.webofscience.com%2Fwos%2Fwoscc%2Ffull-record%2FWOS:000337171900046","View Full Record in Web of Science")</f>
        <v>View Full Record in Web of Science</v>
      </c>
    </row>
    <row r="170" spans="1:72" x14ac:dyDescent="0.15">
      <c r="A170" t="s">
        <v>72</v>
      </c>
      <c r="B170" t="s">
        <v>3595</v>
      </c>
      <c r="C170" t="s">
        <v>74</v>
      </c>
      <c r="D170" t="s">
        <v>74</v>
      </c>
      <c r="E170" t="s">
        <v>74</v>
      </c>
      <c r="F170" t="s">
        <v>3596</v>
      </c>
      <c r="G170" t="s">
        <v>74</v>
      </c>
      <c r="H170" t="s">
        <v>74</v>
      </c>
      <c r="I170" t="s">
        <v>3597</v>
      </c>
      <c r="J170" t="s">
        <v>3598</v>
      </c>
      <c r="K170" t="s">
        <v>74</v>
      </c>
      <c r="L170" t="s">
        <v>74</v>
      </c>
      <c r="M170" t="s">
        <v>78</v>
      </c>
      <c r="N170" t="s">
        <v>79</v>
      </c>
      <c r="O170" t="s">
        <v>74</v>
      </c>
      <c r="P170" t="s">
        <v>74</v>
      </c>
      <c r="Q170" t="s">
        <v>74</v>
      </c>
      <c r="R170" t="s">
        <v>74</v>
      </c>
      <c r="S170" t="s">
        <v>74</v>
      </c>
      <c r="T170" t="s">
        <v>3599</v>
      </c>
      <c r="U170" t="s">
        <v>3600</v>
      </c>
      <c r="V170" t="s">
        <v>3601</v>
      </c>
      <c r="W170" t="s">
        <v>3602</v>
      </c>
      <c r="X170" t="s">
        <v>3603</v>
      </c>
      <c r="Y170" t="s">
        <v>3604</v>
      </c>
      <c r="Z170" t="s">
        <v>3605</v>
      </c>
      <c r="AA170" t="s">
        <v>3606</v>
      </c>
      <c r="AB170" t="s">
        <v>3607</v>
      </c>
      <c r="AC170" t="s">
        <v>74</v>
      </c>
      <c r="AD170" t="s">
        <v>74</v>
      </c>
      <c r="AE170" t="s">
        <v>74</v>
      </c>
      <c r="AF170" t="s">
        <v>74</v>
      </c>
      <c r="AG170">
        <v>64</v>
      </c>
      <c r="AH170">
        <v>49</v>
      </c>
      <c r="AI170">
        <v>57</v>
      </c>
      <c r="AJ170">
        <v>0</v>
      </c>
      <c r="AK170">
        <v>128</v>
      </c>
      <c r="AL170" t="s">
        <v>1764</v>
      </c>
      <c r="AM170" t="s">
        <v>1765</v>
      </c>
      <c r="AN170" t="s">
        <v>3608</v>
      </c>
      <c r="AO170" t="s">
        <v>3609</v>
      </c>
      <c r="AP170" t="s">
        <v>3610</v>
      </c>
      <c r="AQ170" t="s">
        <v>74</v>
      </c>
      <c r="AR170" t="s">
        <v>3611</v>
      </c>
      <c r="AS170" t="s">
        <v>3612</v>
      </c>
      <c r="AT170" t="s">
        <v>1791</v>
      </c>
      <c r="AU170">
        <v>2014</v>
      </c>
      <c r="AV170">
        <v>58</v>
      </c>
      <c r="AW170">
        <v>3</v>
      </c>
      <c r="AX170" t="s">
        <v>74</v>
      </c>
      <c r="AY170" t="s">
        <v>74</v>
      </c>
      <c r="AZ170" t="s">
        <v>74</v>
      </c>
      <c r="BA170" t="s">
        <v>74</v>
      </c>
      <c r="BB170">
        <v>161</v>
      </c>
      <c r="BC170">
        <v>175</v>
      </c>
      <c r="BD170" t="s">
        <v>74</v>
      </c>
      <c r="BE170" t="s">
        <v>3613</v>
      </c>
      <c r="BF170" t="str">
        <f>HYPERLINK("http://dx.doi.org/10.1080/07924259.2013.875951","http://dx.doi.org/10.1080/07924259.2013.875951")</f>
        <v>http://dx.doi.org/10.1080/07924259.2013.875951</v>
      </c>
      <c r="BG170" t="s">
        <v>74</v>
      </c>
      <c r="BH170" t="s">
        <v>74</v>
      </c>
      <c r="BI170">
        <v>15</v>
      </c>
      <c r="BJ170" t="s">
        <v>3614</v>
      </c>
      <c r="BK170" t="s">
        <v>102</v>
      </c>
      <c r="BL170" t="s">
        <v>3614</v>
      </c>
      <c r="BM170" t="s">
        <v>3615</v>
      </c>
      <c r="BN170" t="s">
        <v>74</v>
      </c>
      <c r="BO170" t="s">
        <v>3475</v>
      </c>
      <c r="BP170" t="s">
        <v>74</v>
      </c>
      <c r="BQ170" t="s">
        <v>74</v>
      </c>
      <c r="BR170" t="s">
        <v>105</v>
      </c>
      <c r="BS170" t="s">
        <v>3616</v>
      </c>
      <c r="BT170" t="str">
        <f>HYPERLINK("https%3A%2F%2Fwww.webofscience.com%2Fwos%2Fwoscc%2Ffull-record%2FWOS:000338105700001","View Full Record in Web of Science")</f>
        <v>View Full Record in Web of Science</v>
      </c>
    </row>
    <row r="171" spans="1:72" x14ac:dyDescent="0.15">
      <c r="A171" t="s">
        <v>72</v>
      </c>
      <c r="B171" t="s">
        <v>3617</v>
      </c>
      <c r="C171" t="s">
        <v>74</v>
      </c>
      <c r="D171" t="s">
        <v>74</v>
      </c>
      <c r="E171" t="s">
        <v>74</v>
      </c>
      <c r="F171" t="s">
        <v>3618</v>
      </c>
      <c r="G171" t="s">
        <v>74</v>
      </c>
      <c r="H171" t="s">
        <v>74</v>
      </c>
      <c r="I171" t="s">
        <v>3619</v>
      </c>
      <c r="J171" t="s">
        <v>3093</v>
      </c>
      <c r="K171" t="s">
        <v>74</v>
      </c>
      <c r="L171" t="s">
        <v>74</v>
      </c>
      <c r="M171" t="s">
        <v>78</v>
      </c>
      <c r="N171" t="s">
        <v>79</v>
      </c>
      <c r="O171" t="s">
        <v>74</v>
      </c>
      <c r="P171" t="s">
        <v>74</v>
      </c>
      <c r="Q171" t="s">
        <v>74</v>
      </c>
      <c r="R171" t="s">
        <v>74</v>
      </c>
      <c r="S171" t="s">
        <v>74</v>
      </c>
      <c r="T171" t="s">
        <v>3620</v>
      </c>
      <c r="U171" t="s">
        <v>3621</v>
      </c>
      <c r="V171" t="s">
        <v>3622</v>
      </c>
      <c r="W171" t="s">
        <v>3623</v>
      </c>
      <c r="X171" t="s">
        <v>3624</v>
      </c>
      <c r="Y171" t="s">
        <v>3625</v>
      </c>
      <c r="Z171" t="s">
        <v>3626</v>
      </c>
      <c r="AA171" t="s">
        <v>3627</v>
      </c>
      <c r="AB171" t="s">
        <v>3628</v>
      </c>
      <c r="AC171" t="s">
        <v>3629</v>
      </c>
      <c r="AD171" t="s">
        <v>3630</v>
      </c>
      <c r="AE171" t="s">
        <v>3631</v>
      </c>
      <c r="AF171" t="s">
        <v>74</v>
      </c>
      <c r="AG171">
        <v>70</v>
      </c>
      <c r="AH171">
        <v>47</v>
      </c>
      <c r="AI171">
        <v>51</v>
      </c>
      <c r="AJ171">
        <v>1</v>
      </c>
      <c r="AK171">
        <v>108</v>
      </c>
      <c r="AL171" t="s">
        <v>171</v>
      </c>
      <c r="AM171" t="s">
        <v>93</v>
      </c>
      <c r="AN171" t="s">
        <v>94</v>
      </c>
      <c r="AO171" t="s">
        <v>3105</v>
      </c>
      <c r="AP171" t="s">
        <v>3106</v>
      </c>
      <c r="AQ171" t="s">
        <v>74</v>
      </c>
      <c r="AR171" t="s">
        <v>3107</v>
      </c>
      <c r="AS171" t="s">
        <v>3108</v>
      </c>
      <c r="AT171" t="s">
        <v>1791</v>
      </c>
      <c r="AU171">
        <v>2014</v>
      </c>
      <c r="AV171">
        <v>83</v>
      </c>
      <c r="AW171">
        <v>5</v>
      </c>
      <c r="AX171" t="s">
        <v>74</v>
      </c>
      <c r="AY171" t="s">
        <v>74</v>
      </c>
      <c r="AZ171" t="s">
        <v>74</v>
      </c>
      <c r="BA171" t="s">
        <v>74</v>
      </c>
      <c r="BB171">
        <v>1057</v>
      </c>
      <c r="BC171">
        <v>1067</v>
      </c>
      <c r="BD171" t="s">
        <v>74</v>
      </c>
      <c r="BE171" t="s">
        <v>3632</v>
      </c>
      <c r="BF171" t="str">
        <f>HYPERLINK("http://dx.doi.org/10.1111/1365-2656.12229","http://dx.doi.org/10.1111/1365-2656.12229")</f>
        <v>http://dx.doi.org/10.1111/1365-2656.12229</v>
      </c>
      <c r="BG171" t="s">
        <v>74</v>
      </c>
      <c r="BH171" t="s">
        <v>74</v>
      </c>
      <c r="BI171">
        <v>11</v>
      </c>
      <c r="BJ171" t="s">
        <v>3110</v>
      </c>
      <c r="BK171" t="s">
        <v>102</v>
      </c>
      <c r="BL171" t="s">
        <v>3111</v>
      </c>
      <c r="BM171" t="s">
        <v>3112</v>
      </c>
      <c r="BN171">
        <v>24846695</v>
      </c>
      <c r="BO171" t="s">
        <v>1529</v>
      </c>
      <c r="BP171" t="s">
        <v>74</v>
      </c>
      <c r="BQ171" t="s">
        <v>74</v>
      </c>
      <c r="BR171" t="s">
        <v>105</v>
      </c>
      <c r="BS171" t="s">
        <v>3633</v>
      </c>
      <c r="BT171" t="str">
        <f>HYPERLINK("https%3A%2F%2Fwww.webofscience.com%2Fwos%2Fwoscc%2Ffull-record%2FWOS:000340877700007","View Full Record in Web of Science")</f>
        <v>View Full Record in Web of Science</v>
      </c>
    </row>
    <row r="172" spans="1:72" x14ac:dyDescent="0.15">
      <c r="A172" t="s">
        <v>72</v>
      </c>
      <c r="B172" t="s">
        <v>3634</v>
      </c>
      <c r="C172" t="s">
        <v>74</v>
      </c>
      <c r="D172" t="s">
        <v>74</v>
      </c>
      <c r="E172" t="s">
        <v>74</v>
      </c>
      <c r="F172" t="s">
        <v>3635</v>
      </c>
      <c r="G172" t="s">
        <v>74</v>
      </c>
      <c r="H172" t="s">
        <v>74</v>
      </c>
      <c r="I172" t="s">
        <v>3636</v>
      </c>
      <c r="J172" t="s">
        <v>3637</v>
      </c>
      <c r="K172" t="s">
        <v>74</v>
      </c>
      <c r="L172" t="s">
        <v>74</v>
      </c>
      <c r="M172" t="s">
        <v>78</v>
      </c>
      <c r="N172" t="s">
        <v>79</v>
      </c>
      <c r="O172" t="s">
        <v>74</v>
      </c>
      <c r="P172" t="s">
        <v>74</v>
      </c>
      <c r="Q172" t="s">
        <v>74</v>
      </c>
      <c r="R172" t="s">
        <v>74</v>
      </c>
      <c r="S172" t="s">
        <v>74</v>
      </c>
      <c r="T172" t="s">
        <v>3638</v>
      </c>
      <c r="U172" t="s">
        <v>3639</v>
      </c>
      <c r="V172" t="s">
        <v>3640</v>
      </c>
      <c r="W172" t="s">
        <v>3641</v>
      </c>
      <c r="X172" t="s">
        <v>3642</v>
      </c>
      <c r="Y172" t="s">
        <v>3643</v>
      </c>
      <c r="Z172" t="s">
        <v>3644</v>
      </c>
      <c r="AA172" t="s">
        <v>3645</v>
      </c>
      <c r="AB172" t="s">
        <v>3646</v>
      </c>
      <c r="AC172" t="s">
        <v>3647</v>
      </c>
      <c r="AD172" t="s">
        <v>3648</v>
      </c>
      <c r="AE172" t="s">
        <v>3649</v>
      </c>
      <c r="AF172" t="s">
        <v>74</v>
      </c>
      <c r="AG172">
        <v>80</v>
      </c>
      <c r="AH172">
        <v>24</v>
      </c>
      <c r="AI172">
        <v>27</v>
      </c>
      <c r="AJ172">
        <v>1</v>
      </c>
      <c r="AK172">
        <v>47</v>
      </c>
      <c r="AL172" t="s">
        <v>1117</v>
      </c>
      <c r="AM172" t="s">
        <v>1118</v>
      </c>
      <c r="AN172" t="s">
        <v>1119</v>
      </c>
      <c r="AO172" t="s">
        <v>3650</v>
      </c>
      <c r="AP172" t="s">
        <v>3651</v>
      </c>
      <c r="AQ172" t="s">
        <v>74</v>
      </c>
      <c r="AR172" t="s">
        <v>3652</v>
      </c>
      <c r="AS172" t="s">
        <v>3653</v>
      </c>
      <c r="AT172" t="s">
        <v>1791</v>
      </c>
      <c r="AU172">
        <v>2014</v>
      </c>
      <c r="AV172">
        <v>39</v>
      </c>
      <c r="AW172">
        <v>4</v>
      </c>
      <c r="AX172" t="s">
        <v>74</v>
      </c>
      <c r="AY172" t="s">
        <v>74</v>
      </c>
      <c r="AZ172" t="s">
        <v>74</v>
      </c>
      <c r="BA172" t="s">
        <v>74</v>
      </c>
      <c r="BB172">
        <v>643</v>
      </c>
      <c r="BC172">
        <v>657</v>
      </c>
      <c r="BD172" t="s">
        <v>74</v>
      </c>
      <c r="BE172" t="s">
        <v>3654</v>
      </c>
      <c r="BF172" t="str">
        <f>HYPERLINK("http://dx.doi.org/10.1007/s12038-014-9458-4","http://dx.doi.org/10.1007/s12038-014-9458-4")</f>
        <v>http://dx.doi.org/10.1007/s12038-014-9458-4</v>
      </c>
      <c r="BG172" t="s">
        <v>74</v>
      </c>
      <c r="BH172" t="s">
        <v>74</v>
      </c>
      <c r="BI172">
        <v>15</v>
      </c>
      <c r="BJ172" t="s">
        <v>1300</v>
      </c>
      <c r="BK172" t="s">
        <v>102</v>
      </c>
      <c r="BL172" t="s">
        <v>1301</v>
      </c>
      <c r="BM172" t="s">
        <v>3655</v>
      </c>
      <c r="BN172">
        <v>25116619</v>
      </c>
      <c r="BO172" t="s">
        <v>74</v>
      </c>
      <c r="BP172" t="s">
        <v>74</v>
      </c>
      <c r="BQ172" t="s">
        <v>74</v>
      </c>
      <c r="BR172" t="s">
        <v>105</v>
      </c>
      <c r="BS172" t="s">
        <v>3656</v>
      </c>
      <c r="BT172" t="str">
        <f>HYPERLINK("https%3A%2F%2Fwww.webofscience.com%2Fwos%2Fwoscc%2Ffull-record%2FWOS:000340690100013","View Full Record in Web of Science")</f>
        <v>View Full Record in Web of Science</v>
      </c>
    </row>
    <row r="173" spans="1:72" x14ac:dyDescent="0.15">
      <c r="A173" t="s">
        <v>72</v>
      </c>
      <c r="B173" t="s">
        <v>3657</v>
      </c>
      <c r="C173" t="s">
        <v>74</v>
      </c>
      <c r="D173" t="s">
        <v>74</v>
      </c>
      <c r="E173" t="s">
        <v>74</v>
      </c>
      <c r="F173" t="s">
        <v>3658</v>
      </c>
      <c r="G173" t="s">
        <v>74</v>
      </c>
      <c r="H173" t="s">
        <v>74</v>
      </c>
      <c r="I173" t="s">
        <v>3659</v>
      </c>
      <c r="J173" t="s">
        <v>267</v>
      </c>
      <c r="K173" t="s">
        <v>74</v>
      </c>
      <c r="L173" t="s">
        <v>74</v>
      </c>
      <c r="M173" t="s">
        <v>78</v>
      </c>
      <c r="N173" t="s">
        <v>79</v>
      </c>
      <c r="O173" t="s">
        <v>74</v>
      </c>
      <c r="P173" t="s">
        <v>74</v>
      </c>
      <c r="Q173" t="s">
        <v>74</v>
      </c>
      <c r="R173" t="s">
        <v>74</v>
      </c>
      <c r="S173" t="s">
        <v>74</v>
      </c>
      <c r="T173" t="s">
        <v>74</v>
      </c>
      <c r="U173" t="s">
        <v>3660</v>
      </c>
      <c r="V173" t="s">
        <v>3661</v>
      </c>
      <c r="W173" t="s">
        <v>3662</v>
      </c>
      <c r="X173" t="s">
        <v>3663</v>
      </c>
      <c r="Y173" t="s">
        <v>3664</v>
      </c>
      <c r="Z173" t="s">
        <v>3665</v>
      </c>
      <c r="AA173" t="s">
        <v>3666</v>
      </c>
      <c r="AB173" t="s">
        <v>3667</v>
      </c>
      <c r="AC173" t="s">
        <v>3668</v>
      </c>
      <c r="AD173" t="s">
        <v>3669</v>
      </c>
      <c r="AE173" t="s">
        <v>3670</v>
      </c>
      <c r="AF173" t="s">
        <v>74</v>
      </c>
      <c r="AG173">
        <v>38</v>
      </c>
      <c r="AH173">
        <v>116</v>
      </c>
      <c r="AI173">
        <v>123</v>
      </c>
      <c r="AJ173">
        <v>3</v>
      </c>
      <c r="AK173">
        <v>40</v>
      </c>
      <c r="AL173" t="s">
        <v>280</v>
      </c>
      <c r="AM173" t="s">
        <v>281</v>
      </c>
      <c r="AN173" t="s">
        <v>282</v>
      </c>
      <c r="AO173" t="s">
        <v>283</v>
      </c>
      <c r="AP173" t="s">
        <v>284</v>
      </c>
      <c r="AQ173" t="s">
        <v>74</v>
      </c>
      <c r="AR173" t="s">
        <v>285</v>
      </c>
      <c r="AS173" t="s">
        <v>286</v>
      </c>
      <c r="AT173" t="s">
        <v>2460</v>
      </c>
      <c r="AU173">
        <v>2014</v>
      </c>
      <c r="AV173">
        <v>27</v>
      </c>
      <c r="AW173">
        <v>17</v>
      </c>
      <c r="AX173" t="s">
        <v>74</v>
      </c>
      <c r="AY173" t="s">
        <v>74</v>
      </c>
      <c r="AZ173" t="s">
        <v>74</v>
      </c>
      <c r="BA173" t="s">
        <v>74</v>
      </c>
      <c r="BB173">
        <v>6737</v>
      </c>
      <c r="BC173">
        <v>6753</v>
      </c>
      <c r="BD173" t="s">
        <v>74</v>
      </c>
      <c r="BE173" t="s">
        <v>3671</v>
      </c>
      <c r="BF173" t="str">
        <f>HYPERLINK("http://dx.doi.org/10.1175/JCLI-D-14-00022.1","http://dx.doi.org/10.1175/JCLI-D-14-00022.1")</f>
        <v>http://dx.doi.org/10.1175/JCLI-D-14-00022.1</v>
      </c>
      <c r="BG173" t="s">
        <v>74</v>
      </c>
      <c r="BH173" t="s">
        <v>74</v>
      </c>
      <c r="BI173">
        <v>17</v>
      </c>
      <c r="BJ173" t="s">
        <v>177</v>
      </c>
      <c r="BK173" t="s">
        <v>102</v>
      </c>
      <c r="BL173" t="s">
        <v>177</v>
      </c>
      <c r="BM173" t="s">
        <v>3672</v>
      </c>
      <c r="BN173" t="s">
        <v>74</v>
      </c>
      <c r="BO173" t="s">
        <v>289</v>
      </c>
      <c r="BP173" t="s">
        <v>74</v>
      </c>
      <c r="BQ173" t="s">
        <v>74</v>
      </c>
      <c r="BR173" t="s">
        <v>105</v>
      </c>
      <c r="BS173" t="s">
        <v>3673</v>
      </c>
      <c r="BT173" t="str">
        <f>HYPERLINK("https%3A%2F%2Fwww.webofscience.com%2Fwos%2Fwoscc%2Ffull-record%2FWOS:000341281800023","View Full Record in Web of Science")</f>
        <v>View Full Record in Web of Science</v>
      </c>
    </row>
    <row r="174" spans="1:72" x14ac:dyDescent="0.15">
      <c r="A174" t="s">
        <v>72</v>
      </c>
      <c r="B174" t="s">
        <v>3674</v>
      </c>
      <c r="C174" t="s">
        <v>74</v>
      </c>
      <c r="D174" t="s">
        <v>74</v>
      </c>
      <c r="E174" t="s">
        <v>74</v>
      </c>
      <c r="F174" t="s">
        <v>3675</v>
      </c>
      <c r="G174" t="s">
        <v>74</v>
      </c>
      <c r="H174" t="s">
        <v>74</v>
      </c>
      <c r="I174" t="s">
        <v>3676</v>
      </c>
      <c r="J174" t="s">
        <v>3677</v>
      </c>
      <c r="K174" t="s">
        <v>74</v>
      </c>
      <c r="L174" t="s">
        <v>74</v>
      </c>
      <c r="M174" t="s">
        <v>78</v>
      </c>
      <c r="N174" t="s">
        <v>79</v>
      </c>
      <c r="O174" t="s">
        <v>74</v>
      </c>
      <c r="P174" t="s">
        <v>74</v>
      </c>
      <c r="Q174" t="s">
        <v>74</v>
      </c>
      <c r="R174" t="s">
        <v>74</v>
      </c>
      <c r="S174" t="s">
        <v>74</v>
      </c>
      <c r="T174" t="s">
        <v>3678</v>
      </c>
      <c r="U174" t="s">
        <v>3679</v>
      </c>
      <c r="V174" t="s">
        <v>3680</v>
      </c>
      <c r="W174" t="s">
        <v>3681</v>
      </c>
      <c r="X174" t="s">
        <v>3682</v>
      </c>
      <c r="Y174" t="s">
        <v>3683</v>
      </c>
      <c r="Z174" t="s">
        <v>3684</v>
      </c>
      <c r="AA174" t="s">
        <v>74</v>
      </c>
      <c r="AB174" t="s">
        <v>74</v>
      </c>
      <c r="AC174" t="s">
        <v>3685</v>
      </c>
      <c r="AD174" t="s">
        <v>3686</v>
      </c>
      <c r="AE174" t="s">
        <v>3687</v>
      </c>
      <c r="AF174" t="s">
        <v>74</v>
      </c>
      <c r="AG174">
        <v>79</v>
      </c>
      <c r="AH174">
        <v>50</v>
      </c>
      <c r="AI174">
        <v>58</v>
      </c>
      <c r="AJ174">
        <v>1</v>
      </c>
      <c r="AK174">
        <v>87</v>
      </c>
      <c r="AL174" t="s">
        <v>1292</v>
      </c>
      <c r="AM174" t="s">
        <v>1293</v>
      </c>
      <c r="AN174" t="s">
        <v>1294</v>
      </c>
      <c r="AO174" t="s">
        <v>3688</v>
      </c>
      <c r="AP174" t="s">
        <v>3689</v>
      </c>
      <c r="AQ174" t="s">
        <v>74</v>
      </c>
      <c r="AR174" t="s">
        <v>3690</v>
      </c>
      <c r="AS174" t="s">
        <v>3691</v>
      </c>
      <c r="AT174" t="s">
        <v>1791</v>
      </c>
      <c r="AU174">
        <v>2014</v>
      </c>
      <c r="AV174">
        <v>217</v>
      </c>
      <c r="AW174">
        <v>18</v>
      </c>
      <c r="AX174" t="s">
        <v>74</v>
      </c>
      <c r="AY174" t="s">
        <v>74</v>
      </c>
      <c r="AZ174" t="s">
        <v>74</v>
      </c>
      <c r="BA174" t="s">
        <v>74</v>
      </c>
      <c r="BB174">
        <v>3301</v>
      </c>
      <c r="BC174">
        <v>3310</v>
      </c>
      <c r="BD174" t="s">
        <v>74</v>
      </c>
      <c r="BE174" t="s">
        <v>3692</v>
      </c>
      <c r="BF174" t="str">
        <f>HYPERLINK("http://dx.doi.org/10.1242/jeb.108431","http://dx.doi.org/10.1242/jeb.108431")</f>
        <v>http://dx.doi.org/10.1242/jeb.108431</v>
      </c>
      <c r="BG174" t="s">
        <v>74</v>
      </c>
      <c r="BH174" t="s">
        <v>74</v>
      </c>
      <c r="BI174">
        <v>10</v>
      </c>
      <c r="BJ174" t="s">
        <v>1300</v>
      </c>
      <c r="BK174" t="s">
        <v>102</v>
      </c>
      <c r="BL174" t="s">
        <v>1301</v>
      </c>
      <c r="BM174" t="s">
        <v>3693</v>
      </c>
      <c r="BN174">
        <v>25013114</v>
      </c>
      <c r="BO174" t="s">
        <v>2037</v>
      </c>
      <c r="BP174" t="s">
        <v>74</v>
      </c>
      <c r="BQ174" t="s">
        <v>74</v>
      </c>
      <c r="BR174" t="s">
        <v>105</v>
      </c>
      <c r="BS174" t="s">
        <v>3694</v>
      </c>
      <c r="BT174" t="str">
        <f>HYPERLINK("https%3A%2F%2Fwww.webofscience.com%2Fwos%2Fwoscc%2Ffull-record%2FWOS:000342506100021","View Full Record in Web of Science")</f>
        <v>View Full Record in Web of Science</v>
      </c>
    </row>
    <row r="175" spans="1:72" x14ac:dyDescent="0.15">
      <c r="A175" t="s">
        <v>72</v>
      </c>
      <c r="B175" t="s">
        <v>3695</v>
      </c>
      <c r="C175" t="s">
        <v>74</v>
      </c>
      <c r="D175" t="s">
        <v>74</v>
      </c>
      <c r="E175" t="s">
        <v>74</v>
      </c>
      <c r="F175" t="s">
        <v>3696</v>
      </c>
      <c r="G175" t="s">
        <v>74</v>
      </c>
      <c r="H175" t="s">
        <v>74</v>
      </c>
      <c r="I175" t="s">
        <v>3697</v>
      </c>
      <c r="J175" t="s">
        <v>914</v>
      </c>
      <c r="K175" t="s">
        <v>74</v>
      </c>
      <c r="L175" t="s">
        <v>74</v>
      </c>
      <c r="M175" t="s">
        <v>78</v>
      </c>
      <c r="N175" t="s">
        <v>79</v>
      </c>
      <c r="O175" t="s">
        <v>74</v>
      </c>
      <c r="P175" t="s">
        <v>74</v>
      </c>
      <c r="Q175" t="s">
        <v>74</v>
      </c>
      <c r="R175" t="s">
        <v>74</v>
      </c>
      <c r="S175" t="s">
        <v>74</v>
      </c>
      <c r="T175" t="s">
        <v>3698</v>
      </c>
      <c r="U175" t="s">
        <v>3699</v>
      </c>
      <c r="V175" t="s">
        <v>3700</v>
      </c>
      <c r="W175" t="s">
        <v>3701</v>
      </c>
      <c r="X175" t="s">
        <v>3702</v>
      </c>
      <c r="Y175" t="s">
        <v>3703</v>
      </c>
      <c r="Z175" t="s">
        <v>3704</v>
      </c>
      <c r="AA175" t="s">
        <v>3705</v>
      </c>
      <c r="AB175" t="s">
        <v>3706</v>
      </c>
      <c r="AC175" t="s">
        <v>3707</v>
      </c>
      <c r="AD175" t="s">
        <v>3708</v>
      </c>
      <c r="AE175" t="s">
        <v>3709</v>
      </c>
      <c r="AF175" t="s">
        <v>74</v>
      </c>
      <c r="AG175">
        <v>52</v>
      </c>
      <c r="AH175">
        <v>13</v>
      </c>
      <c r="AI175">
        <v>14</v>
      </c>
      <c r="AJ175">
        <v>1</v>
      </c>
      <c r="AK175">
        <v>30</v>
      </c>
      <c r="AL175" t="s">
        <v>753</v>
      </c>
      <c r="AM175" t="s">
        <v>124</v>
      </c>
      <c r="AN175" t="s">
        <v>754</v>
      </c>
      <c r="AO175" t="s">
        <v>927</v>
      </c>
      <c r="AP175" t="s">
        <v>928</v>
      </c>
      <c r="AQ175" t="s">
        <v>74</v>
      </c>
      <c r="AR175" t="s">
        <v>929</v>
      </c>
      <c r="AS175" t="s">
        <v>930</v>
      </c>
      <c r="AT175" t="s">
        <v>1791</v>
      </c>
      <c r="AU175">
        <v>2014</v>
      </c>
      <c r="AV175">
        <v>458</v>
      </c>
      <c r="AW175" t="s">
        <v>74</v>
      </c>
      <c r="AX175" t="s">
        <v>74</v>
      </c>
      <c r="AY175" t="s">
        <v>74</v>
      </c>
      <c r="AZ175" t="s">
        <v>74</v>
      </c>
      <c r="BA175" t="s">
        <v>74</v>
      </c>
      <c r="BB175">
        <v>34</v>
      </c>
      <c r="BC175">
        <v>38</v>
      </c>
      <c r="BD175" t="s">
        <v>74</v>
      </c>
      <c r="BE175" t="s">
        <v>3710</v>
      </c>
      <c r="BF175" t="str">
        <f>HYPERLINK("http://dx.doi.org/10.1016/j.jembe.2014.04.012","http://dx.doi.org/10.1016/j.jembe.2014.04.012")</f>
        <v>http://dx.doi.org/10.1016/j.jembe.2014.04.012</v>
      </c>
      <c r="BG175" t="s">
        <v>74</v>
      </c>
      <c r="BH175" t="s">
        <v>74</v>
      </c>
      <c r="BI175">
        <v>5</v>
      </c>
      <c r="BJ175" t="s">
        <v>932</v>
      </c>
      <c r="BK175" t="s">
        <v>102</v>
      </c>
      <c r="BL175" t="s">
        <v>933</v>
      </c>
      <c r="BM175" t="s">
        <v>3711</v>
      </c>
      <c r="BN175" t="s">
        <v>74</v>
      </c>
      <c r="BO175" t="s">
        <v>74</v>
      </c>
      <c r="BP175" t="s">
        <v>74</v>
      </c>
      <c r="BQ175" t="s">
        <v>74</v>
      </c>
      <c r="BR175" t="s">
        <v>105</v>
      </c>
      <c r="BS175" t="s">
        <v>3712</v>
      </c>
      <c r="BT175" t="str">
        <f>HYPERLINK("https%3A%2F%2Fwww.webofscience.com%2Fwos%2Fwoscc%2Ffull-record%2FWOS:000338402000006","View Full Record in Web of Science")</f>
        <v>View Full Record in Web of Science</v>
      </c>
    </row>
    <row r="176" spans="1:72" x14ac:dyDescent="0.15">
      <c r="A176" t="s">
        <v>72</v>
      </c>
      <c r="B176" t="s">
        <v>3713</v>
      </c>
      <c r="C176" t="s">
        <v>74</v>
      </c>
      <c r="D176" t="s">
        <v>74</v>
      </c>
      <c r="E176" t="s">
        <v>74</v>
      </c>
      <c r="F176" t="s">
        <v>3714</v>
      </c>
      <c r="G176" t="s">
        <v>74</v>
      </c>
      <c r="H176" t="s">
        <v>74</v>
      </c>
      <c r="I176" t="s">
        <v>3715</v>
      </c>
      <c r="J176" t="s">
        <v>3117</v>
      </c>
      <c r="K176" t="s">
        <v>74</v>
      </c>
      <c r="L176" t="s">
        <v>74</v>
      </c>
      <c r="M176" t="s">
        <v>78</v>
      </c>
      <c r="N176" t="s">
        <v>79</v>
      </c>
      <c r="O176" t="s">
        <v>74</v>
      </c>
      <c r="P176" t="s">
        <v>74</v>
      </c>
      <c r="Q176" t="s">
        <v>74</v>
      </c>
      <c r="R176" t="s">
        <v>74</v>
      </c>
      <c r="S176" t="s">
        <v>74</v>
      </c>
      <c r="T176" t="s">
        <v>3716</v>
      </c>
      <c r="U176" t="s">
        <v>3717</v>
      </c>
      <c r="V176" t="s">
        <v>3718</v>
      </c>
      <c r="W176" t="s">
        <v>3719</v>
      </c>
      <c r="X176" t="s">
        <v>3720</v>
      </c>
      <c r="Y176" t="s">
        <v>3721</v>
      </c>
      <c r="Z176" t="s">
        <v>3722</v>
      </c>
      <c r="AA176" t="s">
        <v>74</v>
      </c>
      <c r="AB176" t="s">
        <v>74</v>
      </c>
      <c r="AC176" t="s">
        <v>3723</v>
      </c>
      <c r="AD176" t="s">
        <v>3724</v>
      </c>
      <c r="AE176" t="s">
        <v>3725</v>
      </c>
      <c r="AF176" t="s">
        <v>74</v>
      </c>
      <c r="AG176">
        <v>26</v>
      </c>
      <c r="AH176">
        <v>4</v>
      </c>
      <c r="AI176">
        <v>5</v>
      </c>
      <c r="AJ176">
        <v>0</v>
      </c>
      <c r="AK176">
        <v>29</v>
      </c>
      <c r="AL176" t="s">
        <v>224</v>
      </c>
      <c r="AM176" t="s">
        <v>576</v>
      </c>
      <c r="AN176" t="s">
        <v>778</v>
      </c>
      <c r="AO176" t="s">
        <v>3129</v>
      </c>
      <c r="AP176" t="s">
        <v>3130</v>
      </c>
      <c r="AQ176" t="s">
        <v>74</v>
      </c>
      <c r="AR176" t="s">
        <v>3131</v>
      </c>
      <c r="AS176" t="s">
        <v>3132</v>
      </c>
      <c r="AT176" t="s">
        <v>1791</v>
      </c>
      <c r="AU176">
        <v>2014</v>
      </c>
      <c r="AV176">
        <v>88</v>
      </c>
      <c r="AW176">
        <v>9</v>
      </c>
      <c r="AX176" t="s">
        <v>74</v>
      </c>
      <c r="AY176" t="s">
        <v>74</v>
      </c>
      <c r="AZ176" t="s">
        <v>74</v>
      </c>
      <c r="BA176" t="s">
        <v>74</v>
      </c>
      <c r="BB176">
        <v>901</v>
      </c>
      <c r="BC176">
        <v>914</v>
      </c>
      <c r="BD176" t="s">
        <v>74</v>
      </c>
      <c r="BE176" t="s">
        <v>3726</v>
      </c>
      <c r="BF176" t="str">
        <f>HYPERLINK("http://dx.doi.org/10.1007/s00190-014-0730-z","http://dx.doi.org/10.1007/s00190-014-0730-z")</f>
        <v>http://dx.doi.org/10.1007/s00190-014-0730-z</v>
      </c>
      <c r="BG176" t="s">
        <v>74</v>
      </c>
      <c r="BH176" t="s">
        <v>74</v>
      </c>
      <c r="BI176">
        <v>14</v>
      </c>
      <c r="BJ176" t="s">
        <v>3134</v>
      </c>
      <c r="BK176" t="s">
        <v>102</v>
      </c>
      <c r="BL176" t="s">
        <v>3134</v>
      </c>
      <c r="BM176" t="s">
        <v>3135</v>
      </c>
      <c r="BN176" t="s">
        <v>74</v>
      </c>
      <c r="BO176" t="s">
        <v>74</v>
      </c>
      <c r="BP176" t="s">
        <v>74</v>
      </c>
      <c r="BQ176" t="s">
        <v>74</v>
      </c>
      <c r="BR176" t="s">
        <v>105</v>
      </c>
      <c r="BS176" t="s">
        <v>3727</v>
      </c>
      <c r="BT176" t="str">
        <f>HYPERLINK("https%3A%2F%2Fwww.webofscience.com%2Fwos%2Fwoscc%2Ffull-record%2FWOS:000340588500006","View Full Record in Web of Science")</f>
        <v>View Full Record in Web of Science</v>
      </c>
    </row>
    <row r="177" spans="1:72" x14ac:dyDescent="0.15">
      <c r="A177" t="s">
        <v>72</v>
      </c>
      <c r="B177" t="s">
        <v>3728</v>
      </c>
      <c r="C177" t="s">
        <v>74</v>
      </c>
      <c r="D177" t="s">
        <v>74</v>
      </c>
      <c r="E177" t="s">
        <v>74</v>
      </c>
      <c r="F177" t="s">
        <v>3729</v>
      </c>
      <c r="G177" t="s">
        <v>74</v>
      </c>
      <c r="H177" t="s">
        <v>74</v>
      </c>
      <c r="I177" t="s">
        <v>3730</v>
      </c>
      <c r="J177" t="s">
        <v>1951</v>
      </c>
      <c r="K177" t="s">
        <v>74</v>
      </c>
      <c r="L177" t="s">
        <v>74</v>
      </c>
      <c r="M177" t="s">
        <v>78</v>
      </c>
      <c r="N177" t="s">
        <v>79</v>
      </c>
      <c r="O177" t="s">
        <v>74</v>
      </c>
      <c r="P177" t="s">
        <v>74</v>
      </c>
      <c r="Q177" t="s">
        <v>74</v>
      </c>
      <c r="R177" t="s">
        <v>74</v>
      </c>
      <c r="S177" t="s">
        <v>74</v>
      </c>
      <c r="T177" t="s">
        <v>3731</v>
      </c>
      <c r="U177" t="s">
        <v>3732</v>
      </c>
      <c r="V177" t="s">
        <v>3733</v>
      </c>
      <c r="W177" t="s">
        <v>3734</v>
      </c>
      <c r="X177" t="s">
        <v>3735</v>
      </c>
      <c r="Y177" t="s">
        <v>3736</v>
      </c>
      <c r="Z177" t="s">
        <v>3737</v>
      </c>
      <c r="AA177" t="s">
        <v>3738</v>
      </c>
      <c r="AB177" t="s">
        <v>3739</v>
      </c>
      <c r="AC177" t="s">
        <v>3740</v>
      </c>
      <c r="AD177" t="s">
        <v>3741</v>
      </c>
      <c r="AE177" t="s">
        <v>3742</v>
      </c>
      <c r="AF177" t="s">
        <v>74</v>
      </c>
      <c r="AG177">
        <v>78</v>
      </c>
      <c r="AH177">
        <v>9</v>
      </c>
      <c r="AI177">
        <v>9</v>
      </c>
      <c r="AJ177">
        <v>1</v>
      </c>
      <c r="AK177">
        <v>13</v>
      </c>
      <c r="AL177" t="s">
        <v>331</v>
      </c>
      <c r="AM177" t="s">
        <v>332</v>
      </c>
      <c r="AN177" t="s">
        <v>333</v>
      </c>
      <c r="AO177" t="s">
        <v>1963</v>
      </c>
      <c r="AP177" t="s">
        <v>1964</v>
      </c>
      <c r="AQ177" t="s">
        <v>74</v>
      </c>
      <c r="AR177" t="s">
        <v>1965</v>
      </c>
      <c r="AS177" t="s">
        <v>1966</v>
      </c>
      <c r="AT177" t="s">
        <v>1791</v>
      </c>
      <c r="AU177">
        <v>2014</v>
      </c>
      <c r="AV177">
        <v>119</v>
      </c>
      <c r="AW177">
        <v>9</v>
      </c>
      <c r="AX177" t="s">
        <v>74</v>
      </c>
      <c r="AY177" t="s">
        <v>74</v>
      </c>
      <c r="AZ177" t="s">
        <v>74</v>
      </c>
      <c r="BA177" t="s">
        <v>74</v>
      </c>
      <c r="BB177">
        <v>5654</v>
      </c>
      <c r="BC177">
        <v>5675</v>
      </c>
      <c r="BD177" t="s">
        <v>74</v>
      </c>
      <c r="BE177" t="s">
        <v>3743</v>
      </c>
      <c r="BF177" t="str">
        <f>HYPERLINK("http://dx.doi.org/10.1002/2014JC009812","http://dx.doi.org/10.1002/2014JC009812")</f>
        <v>http://dx.doi.org/10.1002/2014JC009812</v>
      </c>
      <c r="BG177" t="s">
        <v>74</v>
      </c>
      <c r="BH177" t="s">
        <v>74</v>
      </c>
      <c r="BI177">
        <v>22</v>
      </c>
      <c r="BJ177" t="s">
        <v>152</v>
      </c>
      <c r="BK177" t="s">
        <v>102</v>
      </c>
      <c r="BL177" t="s">
        <v>152</v>
      </c>
      <c r="BM177" t="s">
        <v>1968</v>
      </c>
      <c r="BN177" t="s">
        <v>74</v>
      </c>
      <c r="BO177" t="s">
        <v>179</v>
      </c>
      <c r="BP177" t="s">
        <v>74</v>
      </c>
      <c r="BQ177" t="s">
        <v>74</v>
      </c>
      <c r="BR177" t="s">
        <v>105</v>
      </c>
      <c r="BS177" t="s">
        <v>3744</v>
      </c>
      <c r="BT177" t="str">
        <f>HYPERLINK("https%3A%2F%2Fwww.webofscience.com%2Fwos%2Fwoscc%2Ffull-record%2FWOS:000343879200005","View Full Record in Web of Science")</f>
        <v>View Full Record in Web of Science</v>
      </c>
    </row>
    <row r="178" spans="1:72" x14ac:dyDescent="0.15">
      <c r="A178" t="s">
        <v>72</v>
      </c>
      <c r="B178" t="s">
        <v>3745</v>
      </c>
      <c r="C178" t="s">
        <v>74</v>
      </c>
      <c r="D178" t="s">
        <v>74</v>
      </c>
      <c r="E178" t="s">
        <v>74</v>
      </c>
      <c r="F178" t="s">
        <v>3746</v>
      </c>
      <c r="G178" t="s">
        <v>74</v>
      </c>
      <c r="H178" t="s">
        <v>74</v>
      </c>
      <c r="I178" t="s">
        <v>3747</v>
      </c>
      <c r="J178" t="s">
        <v>1951</v>
      </c>
      <c r="K178" t="s">
        <v>74</v>
      </c>
      <c r="L178" t="s">
        <v>74</v>
      </c>
      <c r="M178" t="s">
        <v>78</v>
      </c>
      <c r="N178" t="s">
        <v>79</v>
      </c>
      <c r="O178" t="s">
        <v>74</v>
      </c>
      <c r="P178" t="s">
        <v>74</v>
      </c>
      <c r="Q178" t="s">
        <v>74</v>
      </c>
      <c r="R178" t="s">
        <v>74</v>
      </c>
      <c r="S178" t="s">
        <v>74</v>
      </c>
      <c r="T178" t="s">
        <v>3748</v>
      </c>
      <c r="U178" t="s">
        <v>3749</v>
      </c>
      <c r="V178" t="s">
        <v>3750</v>
      </c>
      <c r="W178" t="s">
        <v>3751</v>
      </c>
      <c r="X178" t="s">
        <v>3752</v>
      </c>
      <c r="Y178" t="s">
        <v>3753</v>
      </c>
      <c r="Z178" t="s">
        <v>3754</v>
      </c>
      <c r="AA178" t="s">
        <v>3755</v>
      </c>
      <c r="AB178" t="s">
        <v>3756</v>
      </c>
      <c r="AC178" t="s">
        <v>3757</v>
      </c>
      <c r="AD178" t="s">
        <v>3758</v>
      </c>
      <c r="AE178" t="s">
        <v>3759</v>
      </c>
      <c r="AF178" t="s">
        <v>74</v>
      </c>
      <c r="AG178">
        <v>41</v>
      </c>
      <c r="AH178">
        <v>24</v>
      </c>
      <c r="AI178">
        <v>25</v>
      </c>
      <c r="AJ178">
        <v>1</v>
      </c>
      <c r="AK178">
        <v>11</v>
      </c>
      <c r="AL178" t="s">
        <v>331</v>
      </c>
      <c r="AM178" t="s">
        <v>332</v>
      </c>
      <c r="AN178" t="s">
        <v>333</v>
      </c>
      <c r="AO178" t="s">
        <v>1963</v>
      </c>
      <c r="AP178" t="s">
        <v>1964</v>
      </c>
      <c r="AQ178" t="s">
        <v>74</v>
      </c>
      <c r="AR178" t="s">
        <v>1965</v>
      </c>
      <c r="AS178" t="s">
        <v>1966</v>
      </c>
      <c r="AT178" t="s">
        <v>1791</v>
      </c>
      <c r="AU178">
        <v>2014</v>
      </c>
      <c r="AV178">
        <v>119</v>
      </c>
      <c r="AW178">
        <v>9</v>
      </c>
      <c r="AX178" t="s">
        <v>74</v>
      </c>
      <c r="AY178" t="s">
        <v>74</v>
      </c>
      <c r="AZ178" t="s">
        <v>74</v>
      </c>
      <c r="BA178" t="s">
        <v>74</v>
      </c>
      <c r="BB178">
        <v>5797</v>
      </c>
      <c r="BC178">
        <v>5814</v>
      </c>
      <c r="BD178" t="s">
        <v>74</v>
      </c>
      <c r="BE178" t="s">
        <v>3760</v>
      </c>
      <c r="BF178" t="str">
        <f>HYPERLINK("http://dx.doi.org/10.1002/2014JC010225","http://dx.doi.org/10.1002/2014JC010225")</f>
        <v>http://dx.doi.org/10.1002/2014JC010225</v>
      </c>
      <c r="BG178" t="s">
        <v>74</v>
      </c>
      <c r="BH178" t="s">
        <v>74</v>
      </c>
      <c r="BI178">
        <v>18</v>
      </c>
      <c r="BJ178" t="s">
        <v>152</v>
      </c>
      <c r="BK178" t="s">
        <v>102</v>
      </c>
      <c r="BL178" t="s">
        <v>152</v>
      </c>
      <c r="BM178" t="s">
        <v>1968</v>
      </c>
      <c r="BN178" t="s">
        <v>74</v>
      </c>
      <c r="BO178" t="s">
        <v>341</v>
      </c>
      <c r="BP178" t="s">
        <v>74</v>
      </c>
      <c r="BQ178" t="s">
        <v>74</v>
      </c>
      <c r="BR178" t="s">
        <v>105</v>
      </c>
      <c r="BS178" t="s">
        <v>3761</v>
      </c>
      <c r="BT178" t="str">
        <f>HYPERLINK("https%3A%2F%2Fwww.webofscience.com%2Fwos%2Fwoscc%2Ffull-record%2FWOS:000343879200013","View Full Record in Web of Science")</f>
        <v>View Full Record in Web of Science</v>
      </c>
    </row>
    <row r="179" spans="1:72" x14ac:dyDescent="0.15">
      <c r="A179" t="s">
        <v>72</v>
      </c>
      <c r="B179" t="s">
        <v>3762</v>
      </c>
      <c r="C179" t="s">
        <v>74</v>
      </c>
      <c r="D179" t="s">
        <v>74</v>
      </c>
      <c r="E179" t="s">
        <v>74</v>
      </c>
      <c r="F179" t="s">
        <v>3763</v>
      </c>
      <c r="G179" t="s">
        <v>74</v>
      </c>
      <c r="H179" t="s">
        <v>74</v>
      </c>
      <c r="I179" t="s">
        <v>3764</v>
      </c>
      <c r="J179" t="s">
        <v>318</v>
      </c>
      <c r="K179" t="s">
        <v>74</v>
      </c>
      <c r="L179" t="s">
        <v>74</v>
      </c>
      <c r="M179" t="s">
        <v>78</v>
      </c>
      <c r="N179" t="s">
        <v>79</v>
      </c>
      <c r="O179" t="s">
        <v>74</v>
      </c>
      <c r="P179" t="s">
        <v>74</v>
      </c>
      <c r="Q179" t="s">
        <v>74</v>
      </c>
      <c r="R179" t="s">
        <v>74</v>
      </c>
      <c r="S179" t="s">
        <v>74</v>
      </c>
      <c r="T179" t="s">
        <v>74</v>
      </c>
      <c r="U179" t="s">
        <v>3765</v>
      </c>
      <c r="V179" t="s">
        <v>3766</v>
      </c>
      <c r="W179" t="s">
        <v>3767</v>
      </c>
      <c r="X179" t="s">
        <v>1022</v>
      </c>
      <c r="Y179" t="s">
        <v>3768</v>
      </c>
      <c r="Z179" t="s">
        <v>3769</v>
      </c>
      <c r="AA179" t="s">
        <v>3770</v>
      </c>
      <c r="AB179" t="s">
        <v>3771</v>
      </c>
      <c r="AC179" t="s">
        <v>3772</v>
      </c>
      <c r="AD179" t="s">
        <v>3773</v>
      </c>
      <c r="AE179" t="s">
        <v>3774</v>
      </c>
      <c r="AF179" t="s">
        <v>74</v>
      </c>
      <c r="AG179">
        <v>108</v>
      </c>
      <c r="AH179">
        <v>28</v>
      </c>
      <c r="AI179">
        <v>28</v>
      </c>
      <c r="AJ179">
        <v>0</v>
      </c>
      <c r="AK179">
        <v>8</v>
      </c>
      <c r="AL179" t="s">
        <v>331</v>
      </c>
      <c r="AM179" t="s">
        <v>332</v>
      </c>
      <c r="AN179" t="s">
        <v>333</v>
      </c>
      <c r="AO179" t="s">
        <v>334</v>
      </c>
      <c r="AP179" t="s">
        <v>335</v>
      </c>
      <c r="AQ179" t="s">
        <v>74</v>
      </c>
      <c r="AR179" t="s">
        <v>336</v>
      </c>
      <c r="AS179" t="s">
        <v>337</v>
      </c>
      <c r="AT179" t="s">
        <v>1791</v>
      </c>
      <c r="AU179">
        <v>2014</v>
      </c>
      <c r="AV179">
        <v>119</v>
      </c>
      <c r="AW179">
        <v>9</v>
      </c>
      <c r="AX179" t="s">
        <v>74</v>
      </c>
      <c r="AY179" t="s">
        <v>74</v>
      </c>
      <c r="AZ179" t="s">
        <v>74</v>
      </c>
      <c r="BA179" t="s">
        <v>74</v>
      </c>
      <c r="BB179" t="s">
        <v>74</v>
      </c>
      <c r="BC179" t="s">
        <v>74</v>
      </c>
      <c r="BD179" t="s">
        <v>74</v>
      </c>
      <c r="BE179" t="s">
        <v>3775</v>
      </c>
      <c r="BF179" t="str">
        <f>HYPERLINK("http://dx.doi.org/10.1002/2014JA020092","http://dx.doi.org/10.1002/2014JA020092")</f>
        <v>http://dx.doi.org/10.1002/2014JA020092</v>
      </c>
      <c r="BG179" t="s">
        <v>74</v>
      </c>
      <c r="BH179" t="s">
        <v>74</v>
      </c>
      <c r="BI179">
        <v>20</v>
      </c>
      <c r="BJ179" t="s">
        <v>339</v>
      </c>
      <c r="BK179" t="s">
        <v>102</v>
      </c>
      <c r="BL179" t="s">
        <v>339</v>
      </c>
      <c r="BM179" t="s">
        <v>3776</v>
      </c>
      <c r="BN179" t="s">
        <v>74</v>
      </c>
      <c r="BO179" t="s">
        <v>341</v>
      </c>
      <c r="BP179" t="s">
        <v>74</v>
      </c>
      <c r="BQ179" t="s">
        <v>74</v>
      </c>
      <c r="BR179" t="s">
        <v>105</v>
      </c>
      <c r="BS179" t="s">
        <v>3777</v>
      </c>
      <c r="BT179" t="str">
        <f>HYPERLINK("https%3A%2F%2Fwww.webofscience.com%2Fwos%2Fwoscc%2Ffull-record%2FWOS:000344810200030","View Full Record in Web of Science")</f>
        <v>View Full Record in Web of Science</v>
      </c>
    </row>
    <row r="180" spans="1:72" x14ac:dyDescent="0.15">
      <c r="A180" t="s">
        <v>72</v>
      </c>
      <c r="B180" t="s">
        <v>3778</v>
      </c>
      <c r="C180" t="s">
        <v>74</v>
      </c>
      <c r="D180" t="s">
        <v>74</v>
      </c>
      <c r="E180" t="s">
        <v>74</v>
      </c>
      <c r="F180" t="s">
        <v>3779</v>
      </c>
      <c r="G180" t="s">
        <v>74</v>
      </c>
      <c r="H180" t="s">
        <v>74</v>
      </c>
      <c r="I180" t="s">
        <v>3780</v>
      </c>
      <c r="J180" t="s">
        <v>318</v>
      </c>
      <c r="K180" t="s">
        <v>74</v>
      </c>
      <c r="L180" t="s">
        <v>74</v>
      </c>
      <c r="M180" t="s">
        <v>78</v>
      </c>
      <c r="N180" t="s">
        <v>79</v>
      </c>
      <c r="O180" t="s">
        <v>74</v>
      </c>
      <c r="P180" t="s">
        <v>74</v>
      </c>
      <c r="Q180" t="s">
        <v>74</v>
      </c>
      <c r="R180" t="s">
        <v>74</v>
      </c>
      <c r="S180" t="s">
        <v>74</v>
      </c>
      <c r="T180" t="s">
        <v>74</v>
      </c>
      <c r="U180" t="s">
        <v>3781</v>
      </c>
      <c r="V180" t="s">
        <v>3782</v>
      </c>
      <c r="W180" t="s">
        <v>3783</v>
      </c>
      <c r="X180" t="s">
        <v>3784</v>
      </c>
      <c r="Y180" t="s">
        <v>3785</v>
      </c>
      <c r="Z180" t="s">
        <v>3786</v>
      </c>
      <c r="AA180" t="s">
        <v>3787</v>
      </c>
      <c r="AB180" t="s">
        <v>3788</v>
      </c>
      <c r="AC180" t="s">
        <v>3789</v>
      </c>
      <c r="AD180" t="s">
        <v>3790</v>
      </c>
      <c r="AE180" t="s">
        <v>3791</v>
      </c>
      <c r="AF180" t="s">
        <v>74</v>
      </c>
      <c r="AG180">
        <v>41</v>
      </c>
      <c r="AH180">
        <v>9</v>
      </c>
      <c r="AI180">
        <v>9</v>
      </c>
      <c r="AJ180">
        <v>0</v>
      </c>
      <c r="AK180">
        <v>6</v>
      </c>
      <c r="AL180" t="s">
        <v>331</v>
      </c>
      <c r="AM180" t="s">
        <v>332</v>
      </c>
      <c r="AN180" t="s">
        <v>333</v>
      </c>
      <c r="AO180" t="s">
        <v>334</v>
      </c>
      <c r="AP180" t="s">
        <v>335</v>
      </c>
      <c r="AQ180" t="s">
        <v>74</v>
      </c>
      <c r="AR180" t="s">
        <v>336</v>
      </c>
      <c r="AS180" t="s">
        <v>337</v>
      </c>
      <c r="AT180" t="s">
        <v>1791</v>
      </c>
      <c r="AU180">
        <v>2014</v>
      </c>
      <c r="AV180">
        <v>119</v>
      </c>
      <c r="AW180">
        <v>9</v>
      </c>
      <c r="AX180" t="s">
        <v>74</v>
      </c>
      <c r="AY180" t="s">
        <v>74</v>
      </c>
      <c r="AZ180" t="s">
        <v>74</v>
      </c>
      <c r="BA180" t="s">
        <v>74</v>
      </c>
      <c r="BB180" t="s">
        <v>74</v>
      </c>
      <c r="BC180" t="s">
        <v>74</v>
      </c>
      <c r="BD180" t="s">
        <v>74</v>
      </c>
      <c r="BE180" t="s">
        <v>3792</v>
      </c>
      <c r="BF180" t="str">
        <f>HYPERLINK("http://dx.doi.org/10.1002/2014JA019881","http://dx.doi.org/10.1002/2014JA019881")</f>
        <v>http://dx.doi.org/10.1002/2014JA019881</v>
      </c>
      <c r="BG180" t="s">
        <v>74</v>
      </c>
      <c r="BH180" t="s">
        <v>74</v>
      </c>
      <c r="BI180">
        <v>17</v>
      </c>
      <c r="BJ180" t="s">
        <v>339</v>
      </c>
      <c r="BK180" t="s">
        <v>102</v>
      </c>
      <c r="BL180" t="s">
        <v>339</v>
      </c>
      <c r="BM180" t="s">
        <v>3776</v>
      </c>
      <c r="BN180" t="s">
        <v>74</v>
      </c>
      <c r="BO180" t="s">
        <v>179</v>
      </c>
      <c r="BP180" t="s">
        <v>74</v>
      </c>
      <c r="BQ180" t="s">
        <v>74</v>
      </c>
      <c r="BR180" t="s">
        <v>105</v>
      </c>
      <c r="BS180" t="s">
        <v>3793</v>
      </c>
      <c r="BT180" t="str">
        <f>HYPERLINK("https%3A%2F%2Fwww.webofscience.com%2Fwos%2Fwoscc%2Ffull-record%2FWOS:000344810200050","View Full Record in Web of Science")</f>
        <v>View Full Record in Web of Science</v>
      </c>
    </row>
    <row r="181" spans="1:72" x14ac:dyDescent="0.15">
      <c r="A181" t="s">
        <v>72</v>
      </c>
      <c r="B181" t="s">
        <v>3794</v>
      </c>
      <c r="C181" t="s">
        <v>74</v>
      </c>
      <c r="D181" t="s">
        <v>74</v>
      </c>
      <c r="E181" t="s">
        <v>74</v>
      </c>
      <c r="F181" t="s">
        <v>3795</v>
      </c>
      <c r="G181" t="s">
        <v>74</v>
      </c>
      <c r="H181" t="s">
        <v>74</v>
      </c>
      <c r="I181" t="s">
        <v>3796</v>
      </c>
      <c r="J181" t="s">
        <v>318</v>
      </c>
      <c r="K181" t="s">
        <v>74</v>
      </c>
      <c r="L181" t="s">
        <v>74</v>
      </c>
      <c r="M181" t="s">
        <v>78</v>
      </c>
      <c r="N181" t="s">
        <v>79</v>
      </c>
      <c r="O181" t="s">
        <v>74</v>
      </c>
      <c r="P181" t="s">
        <v>74</v>
      </c>
      <c r="Q181" t="s">
        <v>74</v>
      </c>
      <c r="R181" t="s">
        <v>74</v>
      </c>
      <c r="S181" t="s">
        <v>74</v>
      </c>
      <c r="T181" t="s">
        <v>74</v>
      </c>
      <c r="U181" t="s">
        <v>3797</v>
      </c>
      <c r="V181" t="s">
        <v>3798</v>
      </c>
      <c r="W181" t="s">
        <v>3799</v>
      </c>
      <c r="X181" t="s">
        <v>3800</v>
      </c>
      <c r="Y181" t="s">
        <v>3801</v>
      </c>
      <c r="Z181" t="s">
        <v>3802</v>
      </c>
      <c r="AA181" t="s">
        <v>3803</v>
      </c>
      <c r="AB181" t="s">
        <v>3804</v>
      </c>
      <c r="AC181" t="s">
        <v>3805</v>
      </c>
      <c r="AD181" t="s">
        <v>3806</v>
      </c>
      <c r="AE181" t="s">
        <v>3807</v>
      </c>
      <c r="AF181" t="s">
        <v>74</v>
      </c>
      <c r="AG181">
        <v>63</v>
      </c>
      <c r="AH181">
        <v>29</v>
      </c>
      <c r="AI181">
        <v>30</v>
      </c>
      <c r="AJ181">
        <v>0</v>
      </c>
      <c r="AK181">
        <v>14</v>
      </c>
      <c r="AL181" t="s">
        <v>331</v>
      </c>
      <c r="AM181" t="s">
        <v>332</v>
      </c>
      <c r="AN181" t="s">
        <v>333</v>
      </c>
      <c r="AO181" t="s">
        <v>334</v>
      </c>
      <c r="AP181" t="s">
        <v>335</v>
      </c>
      <c r="AQ181" t="s">
        <v>74</v>
      </c>
      <c r="AR181" t="s">
        <v>336</v>
      </c>
      <c r="AS181" t="s">
        <v>337</v>
      </c>
      <c r="AT181" t="s">
        <v>1791</v>
      </c>
      <c r="AU181">
        <v>2014</v>
      </c>
      <c r="AV181">
        <v>119</v>
      </c>
      <c r="AW181">
        <v>9</v>
      </c>
      <c r="AX181" t="s">
        <v>74</v>
      </c>
      <c r="AY181" t="s">
        <v>74</v>
      </c>
      <c r="AZ181" t="s">
        <v>74</v>
      </c>
      <c r="BA181" t="s">
        <v>74</v>
      </c>
      <c r="BB181" t="s">
        <v>74</v>
      </c>
      <c r="BC181" t="s">
        <v>74</v>
      </c>
      <c r="BD181" t="s">
        <v>74</v>
      </c>
      <c r="BE181" t="s">
        <v>3808</v>
      </c>
      <c r="BF181" t="str">
        <f>HYPERLINK("http://dx.doi.org/10.1002/2014JA019955","http://dx.doi.org/10.1002/2014JA019955")</f>
        <v>http://dx.doi.org/10.1002/2014JA019955</v>
      </c>
      <c r="BG181" t="s">
        <v>74</v>
      </c>
      <c r="BH181" t="s">
        <v>74</v>
      </c>
      <c r="BI181">
        <v>22</v>
      </c>
      <c r="BJ181" t="s">
        <v>339</v>
      </c>
      <c r="BK181" t="s">
        <v>102</v>
      </c>
      <c r="BL181" t="s">
        <v>339</v>
      </c>
      <c r="BM181" t="s">
        <v>3776</v>
      </c>
      <c r="BN181" t="s">
        <v>74</v>
      </c>
      <c r="BO181" t="s">
        <v>467</v>
      </c>
      <c r="BP181" t="s">
        <v>74</v>
      </c>
      <c r="BQ181" t="s">
        <v>74</v>
      </c>
      <c r="BR181" t="s">
        <v>105</v>
      </c>
      <c r="BS181" t="s">
        <v>3809</v>
      </c>
      <c r="BT181" t="str">
        <f>HYPERLINK("https%3A%2F%2Fwww.webofscience.com%2Fwos%2Fwoscc%2Ffull-record%2FWOS:000344810200021","View Full Record in Web of Science")</f>
        <v>View Full Record in Web of Science</v>
      </c>
    </row>
    <row r="182" spans="1:72" x14ac:dyDescent="0.15">
      <c r="A182" t="s">
        <v>72</v>
      </c>
      <c r="B182" t="s">
        <v>3810</v>
      </c>
      <c r="C182" t="s">
        <v>74</v>
      </c>
      <c r="D182" t="s">
        <v>74</v>
      </c>
      <c r="E182" t="s">
        <v>74</v>
      </c>
      <c r="F182" t="s">
        <v>3811</v>
      </c>
      <c r="G182" t="s">
        <v>74</v>
      </c>
      <c r="H182" t="s">
        <v>74</v>
      </c>
      <c r="I182" t="s">
        <v>3812</v>
      </c>
      <c r="J182" t="s">
        <v>318</v>
      </c>
      <c r="K182" t="s">
        <v>74</v>
      </c>
      <c r="L182" t="s">
        <v>74</v>
      </c>
      <c r="M182" t="s">
        <v>78</v>
      </c>
      <c r="N182" t="s">
        <v>79</v>
      </c>
      <c r="O182" t="s">
        <v>74</v>
      </c>
      <c r="P182" t="s">
        <v>74</v>
      </c>
      <c r="Q182" t="s">
        <v>74</v>
      </c>
      <c r="R182" t="s">
        <v>74</v>
      </c>
      <c r="S182" t="s">
        <v>74</v>
      </c>
      <c r="T182" t="s">
        <v>74</v>
      </c>
      <c r="U182" t="s">
        <v>3813</v>
      </c>
      <c r="V182" t="s">
        <v>3814</v>
      </c>
      <c r="W182" t="s">
        <v>3815</v>
      </c>
      <c r="X182" t="s">
        <v>3816</v>
      </c>
      <c r="Y182" t="s">
        <v>3817</v>
      </c>
      <c r="Z182" t="s">
        <v>3818</v>
      </c>
      <c r="AA182" t="s">
        <v>3819</v>
      </c>
      <c r="AB182" t="s">
        <v>3820</v>
      </c>
      <c r="AC182" t="s">
        <v>3821</v>
      </c>
      <c r="AD182" t="s">
        <v>3822</v>
      </c>
      <c r="AE182" t="s">
        <v>3823</v>
      </c>
      <c r="AF182" t="s">
        <v>74</v>
      </c>
      <c r="AG182">
        <v>64</v>
      </c>
      <c r="AH182">
        <v>22</v>
      </c>
      <c r="AI182">
        <v>26</v>
      </c>
      <c r="AJ182">
        <v>0</v>
      </c>
      <c r="AK182">
        <v>11</v>
      </c>
      <c r="AL182" t="s">
        <v>331</v>
      </c>
      <c r="AM182" t="s">
        <v>332</v>
      </c>
      <c r="AN182" t="s">
        <v>333</v>
      </c>
      <c r="AO182" t="s">
        <v>334</v>
      </c>
      <c r="AP182" t="s">
        <v>335</v>
      </c>
      <c r="AQ182" t="s">
        <v>74</v>
      </c>
      <c r="AR182" t="s">
        <v>336</v>
      </c>
      <c r="AS182" t="s">
        <v>337</v>
      </c>
      <c r="AT182" t="s">
        <v>1791</v>
      </c>
      <c r="AU182">
        <v>2014</v>
      </c>
      <c r="AV182">
        <v>119</v>
      </c>
      <c r="AW182">
        <v>9</v>
      </c>
      <c r="AX182" t="s">
        <v>74</v>
      </c>
      <c r="AY182" t="s">
        <v>74</v>
      </c>
      <c r="AZ182" t="s">
        <v>74</v>
      </c>
      <c r="BA182" t="s">
        <v>74</v>
      </c>
      <c r="BB182" t="s">
        <v>74</v>
      </c>
      <c r="BC182" t="s">
        <v>74</v>
      </c>
      <c r="BD182" t="s">
        <v>74</v>
      </c>
      <c r="BE182" t="s">
        <v>3824</v>
      </c>
      <c r="BF182" t="str">
        <f>HYPERLINK("http://dx.doi.org/10.1002/2014JA020127","http://dx.doi.org/10.1002/2014JA020127")</f>
        <v>http://dx.doi.org/10.1002/2014JA020127</v>
      </c>
      <c r="BG182" t="s">
        <v>74</v>
      </c>
      <c r="BH182" t="s">
        <v>74</v>
      </c>
      <c r="BI182">
        <v>21</v>
      </c>
      <c r="BJ182" t="s">
        <v>339</v>
      </c>
      <c r="BK182" t="s">
        <v>102</v>
      </c>
      <c r="BL182" t="s">
        <v>339</v>
      </c>
      <c r="BM182" t="s">
        <v>3776</v>
      </c>
      <c r="BN182" t="s">
        <v>74</v>
      </c>
      <c r="BO182" t="s">
        <v>467</v>
      </c>
      <c r="BP182" t="s">
        <v>74</v>
      </c>
      <c r="BQ182" t="s">
        <v>74</v>
      </c>
      <c r="BR182" t="s">
        <v>105</v>
      </c>
      <c r="BS182" t="s">
        <v>3825</v>
      </c>
      <c r="BT182" t="str">
        <f>HYPERLINK("https%3A%2F%2Fwww.webofscience.com%2Fwos%2Fwoscc%2Ffull-record%2FWOS:000344810200041","View Full Record in Web of Science")</f>
        <v>View Full Record in Web of Science</v>
      </c>
    </row>
    <row r="183" spans="1:72" x14ac:dyDescent="0.15">
      <c r="A183" t="s">
        <v>72</v>
      </c>
      <c r="B183" t="s">
        <v>3826</v>
      </c>
      <c r="C183" t="s">
        <v>74</v>
      </c>
      <c r="D183" t="s">
        <v>74</v>
      </c>
      <c r="E183" t="s">
        <v>74</v>
      </c>
      <c r="F183" t="s">
        <v>3827</v>
      </c>
      <c r="G183" t="s">
        <v>74</v>
      </c>
      <c r="H183" t="s">
        <v>74</v>
      </c>
      <c r="I183" t="s">
        <v>3828</v>
      </c>
      <c r="J183" t="s">
        <v>3829</v>
      </c>
      <c r="K183" t="s">
        <v>74</v>
      </c>
      <c r="L183" t="s">
        <v>74</v>
      </c>
      <c r="M183" t="s">
        <v>78</v>
      </c>
      <c r="N183" t="s">
        <v>1516</v>
      </c>
      <c r="O183" t="s">
        <v>74</v>
      </c>
      <c r="P183" t="s">
        <v>74</v>
      </c>
      <c r="Q183" t="s">
        <v>74</v>
      </c>
      <c r="R183" t="s">
        <v>74</v>
      </c>
      <c r="S183" t="s">
        <v>74</v>
      </c>
      <c r="T183" t="s">
        <v>74</v>
      </c>
      <c r="U183" t="s">
        <v>74</v>
      </c>
      <c r="V183" t="s">
        <v>74</v>
      </c>
      <c r="W183" t="s">
        <v>3830</v>
      </c>
      <c r="X183" t="s">
        <v>3831</v>
      </c>
      <c r="Y183" t="s">
        <v>3832</v>
      </c>
      <c r="Z183" t="s">
        <v>74</v>
      </c>
      <c r="AA183" t="s">
        <v>3833</v>
      </c>
      <c r="AB183" t="s">
        <v>3834</v>
      </c>
      <c r="AC183" t="s">
        <v>3835</v>
      </c>
      <c r="AD183" t="s">
        <v>3836</v>
      </c>
      <c r="AE183" t="s">
        <v>74</v>
      </c>
      <c r="AF183" t="s">
        <v>74</v>
      </c>
      <c r="AG183">
        <v>10</v>
      </c>
      <c r="AH183">
        <v>0</v>
      </c>
      <c r="AI183">
        <v>0</v>
      </c>
      <c r="AJ183">
        <v>0</v>
      </c>
      <c r="AK183">
        <v>3</v>
      </c>
      <c r="AL183" t="s">
        <v>3837</v>
      </c>
      <c r="AM183" t="s">
        <v>3838</v>
      </c>
      <c r="AN183" t="s">
        <v>3839</v>
      </c>
      <c r="AO183" t="s">
        <v>3840</v>
      </c>
      <c r="AP183" t="s">
        <v>74</v>
      </c>
      <c r="AQ183" t="s">
        <v>74</v>
      </c>
      <c r="AR183" t="s">
        <v>3841</v>
      </c>
      <c r="AS183" t="s">
        <v>3842</v>
      </c>
      <c r="AT183" t="s">
        <v>1791</v>
      </c>
      <c r="AU183">
        <v>2014</v>
      </c>
      <c r="AV183">
        <v>33</v>
      </c>
      <c r="AW183" t="s">
        <v>74</v>
      </c>
      <c r="AX183">
        <v>2</v>
      </c>
      <c r="AY183" t="s">
        <v>74</v>
      </c>
      <c r="AZ183" t="s">
        <v>74</v>
      </c>
      <c r="BA183" t="s">
        <v>74</v>
      </c>
      <c r="BB183">
        <v>109</v>
      </c>
      <c r="BC183">
        <v>110</v>
      </c>
      <c r="BD183" t="s">
        <v>74</v>
      </c>
      <c r="BE183" t="s">
        <v>3843</v>
      </c>
      <c r="BF183" t="str">
        <f>HYPERLINK("http://dx.doi.org/10.1144/jmpaleo2014-018","http://dx.doi.org/10.1144/jmpaleo2014-018")</f>
        <v>http://dx.doi.org/10.1144/jmpaleo2014-018</v>
      </c>
      <c r="BG183" t="s">
        <v>74</v>
      </c>
      <c r="BH183" t="s">
        <v>74</v>
      </c>
      <c r="BI183">
        <v>2</v>
      </c>
      <c r="BJ183" t="s">
        <v>2604</v>
      </c>
      <c r="BK183" t="s">
        <v>102</v>
      </c>
      <c r="BL183" t="s">
        <v>2604</v>
      </c>
      <c r="BM183" t="s">
        <v>3844</v>
      </c>
      <c r="BN183" t="s">
        <v>74</v>
      </c>
      <c r="BO183" t="s">
        <v>289</v>
      </c>
      <c r="BP183" t="s">
        <v>74</v>
      </c>
      <c r="BQ183" t="s">
        <v>74</v>
      </c>
      <c r="BR183" t="s">
        <v>105</v>
      </c>
      <c r="BS183" t="s">
        <v>3845</v>
      </c>
      <c r="BT183" t="str">
        <f>HYPERLINK("https%3A%2F%2Fwww.webofscience.com%2Fwos%2Fwoscc%2Ffull-record%2FWOS:000343130100001","View Full Record in Web of Science")</f>
        <v>View Full Record in Web of Science</v>
      </c>
    </row>
    <row r="184" spans="1:72" x14ac:dyDescent="0.15">
      <c r="A184" t="s">
        <v>72</v>
      </c>
      <c r="B184" t="s">
        <v>3846</v>
      </c>
      <c r="C184" t="s">
        <v>74</v>
      </c>
      <c r="D184" t="s">
        <v>74</v>
      </c>
      <c r="E184" t="s">
        <v>74</v>
      </c>
      <c r="F184" t="s">
        <v>3847</v>
      </c>
      <c r="G184" t="s">
        <v>74</v>
      </c>
      <c r="H184" t="s">
        <v>74</v>
      </c>
      <c r="I184" t="s">
        <v>3848</v>
      </c>
      <c r="J184" t="s">
        <v>3829</v>
      </c>
      <c r="K184" t="s">
        <v>74</v>
      </c>
      <c r="L184" t="s">
        <v>74</v>
      </c>
      <c r="M184" t="s">
        <v>78</v>
      </c>
      <c r="N184" t="s">
        <v>79</v>
      </c>
      <c r="O184" t="s">
        <v>74</v>
      </c>
      <c r="P184" t="s">
        <v>74</v>
      </c>
      <c r="Q184" t="s">
        <v>74</v>
      </c>
      <c r="R184" t="s">
        <v>74</v>
      </c>
      <c r="S184" t="s">
        <v>74</v>
      </c>
      <c r="T184" t="s">
        <v>3849</v>
      </c>
      <c r="U184" t="s">
        <v>3850</v>
      </c>
      <c r="V184" t="s">
        <v>3851</v>
      </c>
      <c r="W184" t="s">
        <v>3852</v>
      </c>
      <c r="X184" t="s">
        <v>1022</v>
      </c>
      <c r="Y184" t="s">
        <v>3853</v>
      </c>
      <c r="Z184" t="s">
        <v>3854</v>
      </c>
      <c r="AA184" t="s">
        <v>74</v>
      </c>
      <c r="AB184" t="s">
        <v>74</v>
      </c>
      <c r="AC184" t="s">
        <v>3855</v>
      </c>
      <c r="AD184" t="s">
        <v>1068</v>
      </c>
      <c r="AE184" t="s">
        <v>3856</v>
      </c>
      <c r="AF184" t="s">
        <v>74</v>
      </c>
      <c r="AG184">
        <v>33</v>
      </c>
      <c r="AH184">
        <v>13</v>
      </c>
      <c r="AI184">
        <v>15</v>
      </c>
      <c r="AJ184">
        <v>0</v>
      </c>
      <c r="AK184">
        <v>8</v>
      </c>
      <c r="AL184" t="s">
        <v>3857</v>
      </c>
      <c r="AM184" t="s">
        <v>3858</v>
      </c>
      <c r="AN184" t="s">
        <v>3859</v>
      </c>
      <c r="AO184" t="s">
        <v>3840</v>
      </c>
      <c r="AP184" t="s">
        <v>3860</v>
      </c>
      <c r="AQ184" t="s">
        <v>74</v>
      </c>
      <c r="AR184" t="s">
        <v>3841</v>
      </c>
      <c r="AS184" t="s">
        <v>3842</v>
      </c>
      <c r="AT184" t="s">
        <v>1791</v>
      </c>
      <c r="AU184">
        <v>2014</v>
      </c>
      <c r="AV184">
        <v>33</v>
      </c>
      <c r="AW184" t="s">
        <v>74</v>
      </c>
      <c r="AX184">
        <v>2</v>
      </c>
      <c r="AY184" t="s">
        <v>74</v>
      </c>
      <c r="AZ184" t="s">
        <v>74</v>
      </c>
      <c r="BA184" t="s">
        <v>74</v>
      </c>
      <c r="BB184">
        <v>131</v>
      </c>
      <c r="BC184">
        <v>142</v>
      </c>
      <c r="BD184" t="s">
        <v>74</v>
      </c>
      <c r="BE184" t="s">
        <v>3861</v>
      </c>
      <c r="BF184" t="str">
        <f>HYPERLINK("http://dx.doi.org/10.1144/jmpaleo2013-025","http://dx.doi.org/10.1144/jmpaleo2013-025")</f>
        <v>http://dx.doi.org/10.1144/jmpaleo2013-025</v>
      </c>
      <c r="BG184" t="s">
        <v>74</v>
      </c>
      <c r="BH184" t="s">
        <v>74</v>
      </c>
      <c r="BI184">
        <v>12</v>
      </c>
      <c r="BJ184" t="s">
        <v>2604</v>
      </c>
      <c r="BK184" t="s">
        <v>102</v>
      </c>
      <c r="BL184" t="s">
        <v>2604</v>
      </c>
      <c r="BM184" t="s">
        <v>3844</v>
      </c>
      <c r="BN184" t="s">
        <v>74</v>
      </c>
      <c r="BO184" t="s">
        <v>2919</v>
      </c>
      <c r="BP184" t="s">
        <v>74</v>
      </c>
      <c r="BQ184" t="s">
        <v>74</v>
      </c>
      <c r="BR184" t="s">
        <v>105</v>
      </c>
      <c r="BS184" t="s">
        <v>3862</v>
      </c>
      <c r="BT184" t="str">
        <f>HYPERLINK("https%3A%2F%2Fwww.webofscience.com%2Fwos%2Fwoscc%2Ffull-record%2FWOS:000343130100004","View Full Record in Web of Science")</f>
        <v>View Full Record in Web of Science</v>
      </c>
    </row>
    <row r="185" spans="1:72" x14ac:dyDescent="0.15">
      <c r="A185" t="s">
        <v>72</v>
      </c>
      <c r="B185" t="s">
        <v>3863</v>
      </c>
      <c r="C185" t="s">
        <v>74</v>
      </c>
      <c r="D185" t="s">
        <v>74</v>
      </c>
      <c r="E185" t="s">
        <v>74</v>
      </c>
      <c r="F185" t="s">
        <v>3864</v>
      </c>
      <c r="G185" t="s">
        <v>74</v>
      </c>
      <c r="H185" t="s">
        <v>74</v>
      </c>
      <c r="I185" t="s">
        <v>3865</v>
      </c>
      <c r="J185" t="s">
        <v>3829</v>
      </c>
      <c r="K185" t="s">
        <v>74</v>
      </c>
      <c r="L185" t="s">
        <v>74</v>
      </c>
      <c r="M185" t="s">
        <v>78</v>
      </c>
      <c r="N185" t="s">
        <v>79</v>
      </c>
      <c r="O185" t="s">
        <v>74</v>
      </c>
      <c r="P185" t="s">
        <v>74</v>
      </c>
      <c r="Q185" t="s">
        <v>74</v>
      </c>
      <c r="R185" t="s">
        <v>74</v>
      </c>
      <c r="S185" t="s">
        <v>74</v>
      </c>
      <c r="T185" t="s">
        <v>3866</v>
      </c>
      <c r="U185" t="s">
        <v>3867</v>
      </c>
      <c r="V185" t="s">
        <v>3868</v>
      </c>
      <c r="W185" t="s">
        <v>3869</v>
      </c>
      <c r="X185" t="s">
        <v>3870</v>
      </c>
      <c r="Y185" t="s">
        <v>3871</v>
      </c>
      <c r="Z185" t="s">
        <v>3872</v>
      </c>
      <c r="AA185" t="s">
        <v>3873</v>
      </c>
      <c r="AB185" t="s">
        <v>3874</v>
      </c>
      <c r="AC185" t="s">
        <v>3875</v>
      </c>
      <c r="AD185" t="s">
        <v>3876</v>
      </c>
      <c r="AE185" t="s">
        <v>3877</v>
      </c>
      <c r="AF185" t="s">
        <v>74</v>
      </c>
      <c r="AG185">
        <v>62</v>
      </c>
      <c r="AH185">
        <v>19</v>
      </c>
      <c r="AI185">
        <v>23</v>
      </c>
      <c r="AJ185">
        <v>0</v>
      </c>
      <c r="AK185">
        <v>7</v>
      </c>
      <c r="AL185" t="s">
        <v>3857</v>
      </c>
      <c r="AM185" t="s">
        <v>3858</v>
      </c>
      <c r="AN185" t="s">
        <v>3859</v>
      </c>
      <c r="AO185" t="s">
        <v>3840</v>
      </c>
      <c r="AP185" t="s">
        <v>3860</v>
      </c>
      <c r="AQ185" t="s">
        <v>74</v>
      </c>
      <c r="AR185" t="s">
        <v>3841</v>
      </c>
      <c r="AS185" t="s">
        <v>3842</v>
      </c>
      <c r="AT185" t="s">
        <v>1791</v>
      </c>
      <c r="AU185">
        <v>2014</v>
      </c>
      <c r="AV185">
        <v>33</v>
      </c>
      <c r="AW185" t="s">
        <v>74</v>
      </c>
      <c r="AX185">
        <v>2</v>
      </c>
      <c r="AY185" t="s">
        <v>74</v>
      </c>
      <c r="AZ185" t="s">
        <v>74</v>
      </c>
      <c r="BA185" t="s">
        <v>74</v>
      </c>
      <c r="BB185">
        <v>179</v>
      </c>
      <c r="BC185">
        <v>192</v>
      </c>
      <c r="BD185" t="s">
        <v>74</v>
      </c>
      <c r="BE185" t="s">
        <v>3878</v>
      </c>
      <c r="BF185" t="str">
        <f>HYPERLINK("http://dx.doi.org/10.1144/jmpaleo2014-012","http://dx.doi.org/10.1144/jmpaleo2014-012")</f>
        <v>http://dx.doi.org/10.1144/jmpaleo2014-012</v>
      </c>
      <c r="BG185" t="s">
        <v>74</v>
      </c>
      <c r="BH185" t="s">
        <v>74</v>
      </c>
      <c r="BI185">
        <v>14</v>
      </c>
      <c r="BJ185" t="s">
        <v>2604</v>
      </c>
      <c r="BK185" t="s">
        <v>102</v>
      </c>
      <c r="BL185" t="s">
        <v>2604</v>
      </c>
      <c r="BM185" t="s">
        <v>3844</v>
      </c>
      <c r="BN185" t="s">
        <v>74</v>
      </c>
      <c r="BO185" t="s">
        <v>289</v>
      </c>
      <c r="BP185" t="s">
        <v>74</v>
      </c>
      <c r="BQ185" t="s">
        <v>74</v>
      </c>
      <c r="BR185" t="s">
        <v>105</v>
      </c>
      <c r="BS185" t="s">
        <v>3879</v>
      </c>
      <c r="BT185" t="str">
        <f>HYPERLINK("https%3A%2F%2Fwww.webofscience.com%2Fwos%2Fwoscc%2Ffull-record%2FWOS:000343130100008","View Full Record in Web of Science")</f>
        <v>View Full Record in Web of Science</v>
      </c>
    </row>
    <row r="186" spans="1:72" x14ac:dyDescent="0.15">
      <c r="A186" t="s">
        <v>72</v>
      </c>
      <c r="B186" t="s">
        <v>3880</v>
      </c>
      <c r="C186" t="s">
        <v>74</v>
      </c>
      <c r="D186" t="s">
        <v>74</v>
      </c>
      <c r="E186" t="s">
        <v>74</v>
      </c>
      <c r="F186" t="s">
        <v>3881</v>
      </c>
      <c r="G186" t="s">
        <v>74</v>
      </c>
      <c r="H186" t="s">
        <v>74</v>
      </c>
      <c r="I186" t="s">
        <v>3882</v>
      </c>
      <c r="J186" t="s">
        <v>2494</v>
      </c>
      <c r="K186" t="s">
        <v>74</v>
      </c>
      <c r="L186" t="s">
        <v>74</v>
      </c>
      <c r="M186" t="s">
        <v>78</v>
      </c>
      <c r="N186" t="s">
        <v>79</v>
      </c>
      <c r="O186" t="s">
        <v>74</v>
      </c>
      <c r="P186" t="s">
        <v>74</v>
      </c>
      <c r="Q186" t="s">
        <v>74</v>
      </c>
      <c r="R186" t="s">
        <v>74</v>
      </c>
      <c r="S186" t="s">
        <v>74</v>
      </c>
      <c r="T186" t="s">
        <v>3883</v>
      </c>
      <c r="U186" t="s">
        <v>3884</v>
      </c>
      <c r="V186" t="s">
        <v>3885</v>
      </c>
      <c r="W186" t="s">
        <v>3886</v>
      </c>
      <c r="X186" t="s">
        <v>3887</v>
      </c>
      <c r="Y186" t="s">
        <v>3888</v>
      </c>
      <c r="Z186" t="s">
        <v>3889</v>
      </c>
      <c r="AA186" t="s">
        <v>3890</v>
      </c>
      <c r="AB186" t="s">
        <v>3891</v>
      </c>
      <c r="AC186" t="s">
        <v>3892</v>
      </c>
      <c r="AD186" t="s">
        <v>3893</v>
      </c>
      <c r="AE186" t="s">
        <v>3894</v>
      </c>
      <c r="AF186" t="s">
        <v>74</v>
      </c>
      <c r="AG186">
        <v>84</v>
      </c>
      <c r="AH186">
        <v>54</v>
      </c>
      <c r="AI186">
        <v>56</v>
      </c>
      <c r="AJ186">
        <v>0</v>
      </c>
      <c r="AK186">
        <v>92</v>
      </c>
      <c r="AL186" t="s">
        <v>418</v>
      </c>
      <c r="AM186" t="s">
        <v>251</v>
      </c>
      <c r="AN186" t="s">
        <v>419</v>
      </c>
      <c r="AO186" t="s">
        <v>2506</v>
      </c>
      <c r="AP186" t="s">
        <v>2507</v>
      </c>
      <c r="AQ186" t="s">
        <v>74</v>
      </c>
      <c r="AR186" t="s">
        <v>2508</v>
      </c>
      <c r="AS186" t="s">
        <v>2509</v>
      </c>
      <c r="AT186" t="s">
        <v>1860</v>
      </c>
      <c r="AU186">
        <v>2014</v>
      </c>
      <c r="AV186">
        <v>36</v>
      </c>
      <c r="AW186">
        <v>5</v>
      </c>
      <c r="AX186" t="s">
        <v>74</v>
      </c>
      <c r="AY186" t="s">
        <v>74</v>
      </c>
      <c r="AZ186" t="s">
        <v>74</v>
      </c>
      <c r="BA186" t="s">
        <v>74</v>
      </c>
      <c r="BB186">
        <v>1279</v>
      </c>
      <c r="BC186">
        <v>1297</v>
      </c>
      <c r="BD186" t="s">
        <v>74</v>
      </c>
      <c r="BE186" t="s">
        <v>3895</v>
      </c>
      <c r="BF186" t="str">
        <f>HYPERLINK("http://dx.doi.org/10.1093/plankt/fbu059","http://dx.doi.org/10.1093/plankt/fbu059")</f>
        <v>http://dx.doi.org/10.1093/plankt/fbu059</v>
      </c>
      <c r="BG186" t="s">
        <v>74</v>
      </c>
      <c r="BH186" t="s">
        <v>74</v>
      </c>
      <c r="BI186">
        <v>19</v>
      </c>
      <c r="BJ186" t="s">
        <v>2511</v>
      </c>
      <c r="BK186" t="s">
        <v>102</v>
      </c>
      <c r="BL186" t="s">
        <v>2511</v>
      </c>
      <c r="BM186" t="s">
        <v>2512</v>
      </c>
      <c r="BN186">
        <v>25221372</v>
      </c>
      <c r="BO186" t="s">
        <v>3896</v>
      </c>
      <c r="BP186" t="s">
        <v>74</v>
      </c>
      <c r="BQ186" t="s">
        <v>74</v>
      </c>
      <c r="BR186" t="s">
        <v>105</v>
      </c>
      <c r="BS186" t="s">
        <v>3897</v>
      </c>
      <c r="BT186" t="str">
        <f>HYPERLINK("https%3A%2F%2Fwww.webofscience.com%2Fwos%2Fwoscc%2Ffull-record%2FWOS:000342235000010","View Full Record in Web of Science")</f>
        <v>View Full Record in Web of Science</v>
      </c>
    </row>
    <row r="187" spans="1:72" x14ac:dyDescent="0.15">
      <c r="A187" t="s">
        <v>72</v>
      </c>
      <c r="B187" t="s">
        <v>3898</v>
      </c>
      <c r="C187" t="s">
        <v>74</v>
      </c>
      <c r="D187" t="s">
        <v>74</v>
      </c>
      <c r="E187" t="s">
        <v>74</v>
      </c>
      <c r="F187" t="s">
        <v>3899</v>
      </c>
      <c r="G187" t="s">
        <v>74</v>
      </c>
      <c r="H187" t="s">
        <v>74</v>
      </c>
      <c r="I187" t="s">
        <v>3900</v>
      </c>
      <c r="J187" t="s">
        <v>3901</v>
      </c>
      <c r="K187" t="s">
        <v>74</v>
      </c>
      <c r="L187" t="s">
        <v>74</v>
      </c>
      <c r="M187" t="s">
        <v>78</v>
      </c>
      <c r="N187" t="s">
        <v>79</v>
      </c>
      <c r="O187" t="s">
        <v>74</v>
      </c>
      <c r="P187" t="s">
        <v>74</v>
      </c>
      <c r="Q187" t="s">
        <v>74</v>
      </c>
      <c r="R187" t="s">
        <v>74</v>
      </c>
      <c r="S187" t="s">
        <v>74</v>
      </c>
      <c r="T187" t="s">
        <v>3902</v>
      </c>
      <c r="U187" t="s">
        <v>3903</v>
      </c>
      <c r="V187" t="s">
        <v>3904</v>
      </c>
      <c r="W187" t="s">
        <v>3905</v>
      </c>
      <c r="X187" t="s">
        <v>3906</v>
      </c>
      <c r="Y187" t="s">
        <v>3907</v>
      </c>
      <c r="Z187" t="s">
        <v>3908</v>
      </c>
      <c r="AA187" t="s">
        <v>3909</v>
      </c>
      <c r="AB187" t="s">
        <v>3910</v>
      </c>
      <c r="AC187" t="s">
        <v>3911</v>
      </c>
      <c r="AD187" t="s">
        <v>3836</v>
      </c>
      <c r="AE187" t="s">
        <v>74</v>
      </c>
      <c r="AF187" t="s">
        <v>74</v>
      </c>
      <c r="AG187">
        <v>79</v>
      </c>
      <c r="AH187">
        <v>42</v>
      </c>
      <c r="AI187">
        <v>44</v>
      </c>
      <c r="AJ187">
        <v>0</v>
      </c>
      <c r="AK187">
        <v>69</v>
      </c>
      <c r="AL187" t="s">
        <v>601</v>
      </c>
      <c r="AM187" t="s">
        <v>251</v>
      </c>
      <c r="AN187" t="s">
        <v>602</v>
      </c>
      <c r="AO187" t="s">
        <v>3912</v>
      </c>
      <c r="AP187" t="s">
        <v>3913</v>
      </c>
      <c r="AQ187" t="s">
        <v>74</v>
      </c>
      <c r="AR187" t="s">
        <v>3914</v>
      </c>
      <c r="AS187" t="s">
        <v>3915</v>
      </c>
      <c r="AT187" t="s">
        <v>1791</v>
      </c>
      <c r="AU187">
        <v>2014</v>
      </c>
      <c r="AV187">
        <v>48</v>
      </c>
      <c r="AW187" t="s">
        <v>74</v>
      </c>
      <c r="AX187" t="s">
        <v>74</v>
      </c>
      <c r="AY187" t="s">
        <v>74</v>
      </c>
      <c r="AZ187" t="s">
        <v>74</v>
      </c>
      <c r="BA187" t="s">
        <v>74</v>
      </c>
      <c r="BB187">
        <v>1</v>
      </c>
      <c r="BC187">
        <v>13</v>
      </c>
      <c r="BD187" t="s">
        <v>74</v>
      </c>
      <c r="BE187" t="s">
        <v>3916</v>
      </c>
      <c r="BF187" t="str">
        <f>HYPERLINK("http://dx.doi.org/10.1016/j.marpol.2014.02.019","http://dx.doi.org/10.1016/j.marpol.2014.02.019")</f>
        <v>http://dx.doi.org/10.1016/j.marpol.2014.02.019</v>
      </c>
      <c r="BG187" t="s">
        <v>74</v>
      </c>
      <c r="BH187" t="s">
        <v>74</v>
      </c>
      <c r="BI187">
        <v>13</v>
      </c>
      <c r="BJ187" t="s">
        <v>3917</v>
      </c>
      <c r="BK187" t="s">
        <v>2238</v>
      </c>
      <c r="BL187" t="s">
        <v>3918</v>
      </c>
      <c r="BM187" t="s">
        <v>3919</v>
      </c>
      <c r="BN187" t="s">
        <v>74</v>
      </c>
      <c r="BO187" t="s">
        <v>3920</v>
      </c>
      <c r="BP187" t="s">
        <v>74</v>
      </c>
      <c r="BQ187" t="s">
        <v>74</v>
      </c>
      <c r="BR187" t="s">
        <v>105</v>
      </c>
      <c r="BS187" t="s">
        <v>3921</v>
      </c>
      <c r="BT187" t="str">
        <f>HYPERLINK("https%3A%2F%2Fwww.webofscience.com%2Fwos%2Fwoscc%2Ffull-record%2FWOS:000336697000001","View Full Record in Web of Science")</f>
        <v>View Full Record in Web of Science</v>
      </c>
    </row>
    <row r="188" spans="1:72" x14ac:dyDescent="0.15">
      <c r="A188" t="s">
        <v>72</v>
      </c>
      <c r="B188" t="s">
        <v>3922</v>
      </c>
      <c r="C188" t="s">
        <v>74</v>
      </c>
      <c r="D188" t="s">
        <v>74</v>
      </c>
      <c r="E188" t="s">
        <v>74</v>
      </c>
      <c r="F188" t="s">
        <v>3923</v>
      </c>
      <c r="G188" t="s">
        <v>74</v>
      </c>
      <c r="H188" t="s">
        <v>74</v>
      </c>
      <c r="I188" t="s">
        <v>3924</v>
      </c>
      <c r="J188" t="s">
        <v>1842</v>
      </c>
      <c r="K188" t="s">
        <v>74</v>
      </c>
      <c r="L188" t="s">
        <v>74</v>
      </c>
      <c r="M188" t="s">
        <v>78</v>
      </c>
      <c r="N188" t="s">
        <v>79</v>
      </c>
      <c r="O188" t="s">
        <v>74</v>
      </c>
      <c r="P188" t="s">
        <v>74</v>
      </c>
      <c r="Q188" t="s">
        <v>74</v>
      </c>
      <c r="R188" t="s">
        <v>74</v>
      </c>
      <c r="S188" t="s">
        <v>74</v>
      </c>
      <c r="T188" t="s">
        <v>3925</v>
      </c>
      <c r="U188" t="s">
        <v>3926</v>
      </c>
      <c r="V188" t="s">
        <v>3927</v>
      </c>
      <c r="W188" t="s">
        <v>3928</v>
      </c>
      <c r="X188" t="s">
        <v>3929</v>
      </c>
      <c r="Y188" t="s">
        <v>3930</v>
      </c>
      <c r="Z188" t="s">
        <v>3931</v>
      </c>
      <c r="AA188" t="s">
        <v>74</v>
      </c>
      <c r="AB188" t="s">
        <v>3932</v>
      </c>
      <c r="AC188" t="s">
        <v>3933</v>
      </c>
      <c r="AD188" t="s">
        <v>3934</v>
      </c>
      <c r="AE188" t="s">
        <v>3935</v>
      </c>
      <c r="AF188" t="s">
        <v>74</v>
      </c>
      <c r="AG188">
        <v>30</v>
      </c>
      <c r="AH188">
        <v>11</v>
      </c>
      <c r="AI188">
        <v>11</v>
      </c>
      <c r="AJ188">
        <v>1</v>
      </c>
      <c r="AK188">
        <v>15</v>
      </c>
      <c r="AL188" t="s">
        <v>1853</v>
      </c>
      <c r="AM188" t="s">
        <v>1854</v>
      </c>
      <c r="AN188" t="s">
        <v>1855</v>
      </c>
      <c r="AO188" t="s">
        <v>1856</v>
      </c>
      <c r="AP188" t="s">
        <v>1857</v>
      </c>
      <c r="AQ188" t="s">
        <v>74</v>
      </c>
      <c r="AR188" t="s">
        <v>1858</v>
      </c>
      <c r="AS188" t="s">
        <v>1859</v>
      </c>
      <c r="AT188" t="s">
        <v>1860</v>
      </c>
      <c r="AU188">
        <v>2014</v>
      </c>
      <c r="AV188">
        <v>48</v>
      </c>
      <c r="AW188">
        <v>5</v>
      </c>
      <c r="AX188" t="s">
        <v>74</v>
      </c>
      <c r="AY188" t="s">
        <v>74</v>
      </c>
      <c r="AZ188" t="s">
        <v>74</v>
      </c>
      <c r="BA188" t="s">
        <v>74</v>
      </c>
      <c r="BB188">
        <v>8</v>
      </c>
      <c r="BC188">
        <v>17</v>
      </c>
      <c r="BD188" t="s">
        <v>74</v>
      </c>
      <c r="BE188" t="s">
        <v>3936</v>
      </c>
      <c r="BF188" t="str">
        <f>HYPERLINK("http://dx.doi.org/10.4031/MTSJ.48.5.6","http://dx.doi.org/10.4031/MTSJ.48.5.6")</f>
        <v>http://dx.doi.org/10.4031/MTSJ.48.5.6</v>
      </c>
      <c r="BG188" t="s">
        <v>74</v>
      </c>
      <c r="BH188" t="s">
        <v>74</v>
      </c>
      <c r="BI188">
        <v>10</v>
      </c>
      <c r="BJ188" t="s">
        <v>1862</v>
      </c>
      <c r="BK188" t="s">
        <v>102</v>
      </c>
      <c r="BL188" t="s">
        <v>1863</v>
      </c>
      <c r="BM188" t="s">
        <v>1864</v>
      </c>
      <c r="BN188" t="s">
        <v>74</v>
      </c>
      <c r="BO188" t="s">
        <v>289</v>
      </c>
      <c r="BP188" t="s">
        <v>74</v>
      </c>
      <c r="BQ188" t="s">
        <v>74</v>
      </c>
      <c r="BR188" t="s">
        <v>105</v>
      </c>
      <c r="BS188" t="s">
        <v>3937</v>
      </c>
      <c r="BT188" t="str">
        <f>HYPERLINK("https%3A%2F%2Fwww.webofscience.com%2Fwos%2Fwoscc%2Ffull-record%2FWOS:000345057300002","View Full Record in Web of Science")</f>
        <v>View Full Record in Web of Science</v>
      </c>
    </row>
    <row r="189" spans="1:72" x14ac:dyDescent="0.15">
      <c r="A189" t="s">
        <v>72</v>
      </c>
      <c r="B189" t="s">
        <v>3938</v>
      </c>
      <c r="C189" t="s">
        <v>74</v>
      </c>
      <c r="D189" t="s">
        <v>74</v>
      </c>
      <c r="E189" t="s">
        <v>74</v>
      </c>
      <c r="F189" t="s">
        <v>3939</v>
      </c>
      <c r="G189" t="s">
        <v>74</v>
      </c>
      <c r="H189" t="s">
        <v>74</v>
      </c>
      <c r="I189" t="s">
        <v>3940</v>
      </c>
      <c r="J189" t="s">
        <v>1842</v>
      </c>
      <c r="K189" t="s">
        <v>74</v>
      </c>
      <c r="L189" t="s">
        <v>74</v>
      </c>
      <c r="M189" t="s">
        <v>78</v>
      </c>
      <c r="N189" t="s">
        <v>1516</v>
      </c>
      <c r="O189" t="s">
        <v>74</v>
      </c>
      <c r="P189" t="s">
        <v>74</v>
      </c>
      <c r="Q189" t="s">
        <v>74</v>
      </c>
      <c r="R189" t="s">
        <v>74</v>
      </c>
      <c r="S189" t="s">
        <v>74</v>
      </c>
      <c r="T189" t="s">
        <v>74</v>
      </c>
      <c r="U189" t="s">
        <v>74</v>
      </c>
      <c r="V189" t="s">
        <v>74</v>
      </c>
      <c r="W189" t="s">
        <v>3941</v>
      </c>
      <c r="X189" t="s">
        <v>74</v>
      </c>
      <c r="Y189" t="s">
        <v>3942</v>
      </c>
      <c r="Z189" t="s">
        <v>3943</v>
      </c>
      <c r="AA189" t="s">
        <v>74</v>
      </c>
      <c r="AB189" t="s">
        <v>74</v>
      </c>
      <c r="AC189" t="s">
        <v>74</v>
      </c>
      <c r="AD189" t="s">
        <v>74</v>
      </c>
      <c r="AE189" t="s">
        <v>74</v>
      </c>
      <c r="AF189" t="s">
        <v>74</v>
      </c>
      <c r="AG189">
        <v>5</v>
      </c>
      <c r="AH189">
        <v>0</v>
      </c>
      <c r="AI189">
        <v>0</v>
      </c>
      <c r="AJ189">
        <v>0</v>
      </c>
      <c r="AK189">
        <v>1</v>
      </c>
      <c r="AL189" t="s">
        <v>1853</v>
      </c>
      <c r="AM189" t="s">
        <v>1854</v>
      </c>
      <c r="AN189" t="s">
        <v>1855</v>
      </c>
      <c r="AO189" t="s">
        <v>1856</v>
      </c>
      <c r="AP189" t="s">
        <v>1857</v>
      </c>
      <c r="AQ189" t="s">
        <v>74</v>
      </c>
      <c r="AR189" t="s">
        <v>1858</v>
      </c>
      <c r="AS189" t="s">
        <v>1859</v>
      </c>
      <c r="AT189" t="s">
        <v>1860</v>
      </c>
      <c r="AU189">
        <v>2014</v>
      </c>
      <c r="AV189">
        <v>48</v>
      </c>
      <c r="AW189">
        <v>5</v>
      </c>
      <c r="AX189" t="s">
        <v>74</v>
      </c>
      <c r="AY189" t="s">
        <v>74</v>
      </c>
      <c r="AZ189" t="s">
        <v>74</v>
      </c>
      <c r="BA189" t="s">
        <v>74</v>
      </c>
      <c r="BB189">
        <v>92</v>
      </c>
      <c r="BC189">
        <v>96</v>
      </c>
      <c r="BD189" t="s">
        <v>74</v>
      </c>
      <c r="BE189" t="s">
        <v>3944</v>
      </c>
      <c r="BF189" t="str">
        <f>HYPERLINK("http://dx.doi.org/10.4031/MTSJ.48.5.9","http://dx.doi.org/10.4031/MTSJ.48.5.9")</f>
        <v>http://dx.doi.org/10.4031/MTSJ.48.5.9</v>
      </c>
      <c r="BG189" t="s">
        <v>74</v>
      </c>
      <c r="BH189" t="s">
        <v>74</v>
      </c>
      <c r="BI189">
        <v>5</v>
      </c>
      <c r="BJ189" t="s">
        <v>1862</v>
      </c>
      <c r="BK189" t="s">
        <v>102</v>
      </c>
      <c r="BL189" t="s">
        <v>1863</v>
      </c>
      <c r="BM189" t="s">
        <v>1864</v>
      </c>
      <c r="BN189" t="s">
        <v>74</v>
      </c>
      <c r="BO189" t="s">
        <v>289</v>
      </c>
      <c r="BP189" t="s">
        <v>74</v>
      </c>
      <c r="BQ189" t="s">
        <v>74</v>
      </c>
      <c r="BR189" t="s">
        <v>105</v>
      </c>
      <c r="BS189" t="s">
        <v>3945</v>
      </c>
      <c r="BT189" t="str">
        <f>HYPERLINK("https%3A%2F%2Fwww.webofscience.com%2Fwos%2Fwoscc%2Ffull-record%2FWOS:000345057300012","View Full Record in Web of Science")</f>
        <v>View Full Record in Web of Science</v>
      </c>
    </row>
    <row r="190" spans="1:72" x14ac:dyDescent="0.15">
      <c r="A190" t="s">
        <v>72</v>
      </c>
      <c r="B190" t="s">
        <v>3946</v>
      </c>
      <c r="C190" t="s">
        <v>74</v>
      </c>
      <c r="D190" t="s">
        <v>74</v>
      </c>
      <c r="E190" t="s">
        <v>74</v>
      </c>
      <c r="F190" t="s">
        <v>3947</v>
      </c>
      <c r="G190" t="s">
        <v>74</v>
      </c>
      <c r="H190" t="s">
        <v>74</v>
      </c>
      <c r="I190" t="s">
        <v>3948</v>
      </c>
      <c r="J190" t="s">
        <v>2382</v>
      </c>
      <c r="K190" t="s">
        <v>74</v>
      </c>
      <c r="L190" t="s">
        <v>74</v>
      </c>
      <c r="M190" t="s">
        <v>78</v>
      </c>
      <c r="N190" t="s">
        <v>79</v>
      </c>
      <c r="O190" t="s">
        <v>74</v>
      </c>
      <c r="P190" t="s">
        <v>74</v>
      </c>
      <c r="Q190" t="s">
        <v>74</v>
      </c>
      <c r="R190" t="s">
        <v>74</v>
      </c>
      <c r="S190" t="s">
        <v>74</v>
      </c>
      <c r="T190" t="s">
        <v>74</v>
      </c>
      <c r="U190" t="s">
        <v>3949</v>
      </c>
      <c r="V190" t="s">
        <v>3950</v>
      </c>
      <c r="W190" t="s">
        <v>3951</v>
      </c>
      <c r="X190" t="s">
        <v>3952</v>
      </c>
      <c r="Y190" t="s">
        <v>3953</v>
      </c>
      <c r="Z190" t="s">
        <v>3954</v>
      </c>
      <c r="AA190" t="s">
        <v>3955</v>
      </c>
      <c r="AB190" t="s">
        <v>3956</v>
      </c>
      <c r="AC190" t="s">
        <v>3957</v>
      </c>
      <c r="AD190" t="s">
        <v>3958</v>
      </c>
      <c r="AE190" t="s">
        <v>74</v>
      </c>
      <c r="AF190" t="s">
        <v>74</v>
      </c>
      <c r="AG190">
        <v>25</v>
      </c>
      <c r="AH190">
        <v>25</v>
      </c>
      <c r="AI190">
        <v>27</v>
      </c>
      <c r="AJ190">
        <v>1</v>
      </c>
      <c r="AK190">
        <v>27</v>
      </c>
      <c r="AL190" t="s">
        <v>171</v>
      </c>
      <c r="AM190" t="s">
        <v>93</v>
      </c>
      <c r="AN190" t="s">
        <v>94</v>
      </c>
      <c r="AO190" t="s">
        <v>2391</v>
      </c>
      <c r="AP190" t="s">
        <v>2392</v>
      </c>
      <c r="AQ190" t="s">
        <v>74</v>
      </c>
      <c r="AR190" t="s">
        <v>2393</v>
      </c>
      <c r="AS190" t="s">
        <v>2394</v>
      </c>
      <c r="AT190" t="s">
        <v>1791</v>
      </c>
      <c r="AU190">
        <v>2014</v>
      </c>
      <c r="AV190">
        <v>49</v>
      </c>
      <c r="AW190">
        <v>9</v>
      </c>
      <c r="AX190" t="s">
        <v>74</v>
      </c>
      <c r="AY190" t="s">
        <v>74</v>
      </c>
      <c r="AZ190" t="s">
        <v>258</v>
      </c>
      <c r="BA190" t="s">
        <v>74</v>
      </c>
      <c r="BB190">
        <v>1720</v>
      </c>
      <c r="BC190">
        <v>1733</v>
      </c>
      <c r="BD190" t="s">
        <v>74</v>
      </c>
      <c r="BE190" t="s">
        <v>3959</v>
      </c>
      <c r="BF190" t="str">
        <f>HYPERLINK("http://dx.doi.org/10.1111/maps.12221","http://dx.doi.org/10.1111/maps.12221")</f>
        <v>http://dx.doi.org/10.1111/maps.12221</v>
      </c>
      <c r="BG190" t="s">
        <v>74</v>
      </c>
      <c r="BH190" t="s">
        <v>74</v>
      </c>
      <c r="BI190">
        <v>14</v>
      </c>
      <c r="BJ190" t="s">
        <v>425</v>
      </c>
      <c r="BK190" t="s">
        <v>102</v>
      </c>
      <c r="BL190" t="s">
        <v>425</v>
      </c>
      <c r="BM190" t="s">
        <v>3960</v>
      </c>
      <c r="BN190" t="s">
        <v>74</v>
      </c>
      <c r="BO190" t="s">
        <v>179</v>
      </c>
      <c r="BP190" t="s">
        <v>74</v>
      </c>
      <c r="BQ190" t="s">
        <v>74</v>
      </c>
      <c r="BR190" t="s">
        <v>105</v>
      </c>
      <c r="BS190" t="s">
        <v>3961</v>
      </c>
      <c r="BT190" t="str">
        <f>HYPERLINK("https%3A%2F%2Fwww.webofscience.com%2Fwos%2Fwoscc%2Ffull-record%2FWOS:000342912100012","View Full Record in Web of Science")</f>
        <v>View Full Record in Web of Science</v>
      </c>
    </row>
    <row r="191" spans="1:72" x14ac:dyDescent="0.15">
      <c r="A191" t="s">
        <v>72</v>
      </c>
      <c r="B191" t="s">
        <v>3962</v>
      </c>
      <c r="C191" t="s">
        <v>74</v>
      </c>
      <c r="D191" t="s">
        <v>74</v>
      </c>
      <c r="E191" t="s">
        <v>74</v>
      </c>
      <c r="F191" t="s">
        <v>3963</v>
      </c>
      <c r="G191" t="s">
        <v>74</v>
      </c>
      <c r="H191" t="s">
        <v>74</v>
      </c>
      <c r="I191" t="s">
        <v>3964</v>
      </c>
      <c r="J191" t="s">
        <v>3965</v>
      </c>
      <c r="K191" t="s">
        <v>74</v>
      </c>
      <c r="L191" t="s">
        <v>74</v>
      </c>
      <c r="M191" t="s">
        <v>78</v>
      </c>
      <c r="N191" t="s">
        <v>79</v>
      </c>
      <c r="O191" t="s">
        <v>74</v>
      </c>
      <c r="P191" t="s">
        <v>74</v>
      </c>
      <c r="Q191" t="s">
        <v>74</v>
      </c>
      <c r="R191" t="s">
        <v>74</v>
      </c>
      <c r="S191" t="s">
        <v>74</v>
      </c>
      <c r="T191" t="s">
        <v>3966</v>
      </c>
      <c r="U191" t="s">
        <v>3967</v>
      </c>
      <c r="V191" t="s">
        <v>3968</v>
      </c>
      <c r="W191" t="s">
        <v>3969</v>
      </c>
      <c r="X191" t="s">
        <v>3970</v>
      </c>
      <c r="Y191" t="s">
        <v>3971</v>
      </c>
      <c r="Z191" t="s">
        <v>3972</v>
      </c>
      <c r="AA191" t="s">
        <v>3973</v>
      </c>
      <c r="AB191" t="s">
        <v>3974</v>
      </c>
      <c r="AC191" t="s">
        <v>3975</v>
      </c>
      <c r="AD191" t="s">
        <v>3976</v>
      </c>
      <c r="AE191" t="s">
        <v>3977</v>
      </c>
      <c r="AF191" t="s">
        <v>74</v>
      </c>
      <c r="AG191">
        <v>60</v>
      </c>
      <c r="AH191">
        <v>119</v>
      </c>
      <c r="AI191">
        <v>136</v>
      </c>
      <c r="AJ191">
        <v>3</v>
      </c>
      <c r="AK191">
        <v>64</v>
      </c>
      <c r="AL191" t="s">
        <v>171</v>
      </c>
      <c r="AM191" t="s">
        <v>93</v>
      </c>
      <c r="AN191" t="s">
        <v>94</v>
      </c>
      <c r="AO191" t="s">
        <v>3978</v>
      </c>
      <c r="AP191" t="s">
        <v>3979</v>
      </c>
      <c r="AQ191" t="s">
        <v>74</v>
      </c>
      <c r="AR191" t="s">
        <v>3980</v>
      </c>
      <c r="AS191" t="s">
        <v>3981</v>
      </c>
      <c r="AT191" t="s">
        <v>1791</v>
      </c>
      <c r="AU191">
        <v>2014</v>
      </c>
      <c r="AV191">
        <v>14</v>
      </c>
      <c r="AW191">
        <v>5</v>
      </c>
      <c r="AX191" t="s">
        <v>74</v>
      </c>
      <c r="AY191" t="s">
        <v>74</v>
      </c>
      <c r="AZ191" t="s">
        <v>74</v>
      </c>
      <c r="BA191" t="s">
        <v>74</v>
      </c>
      <c r="BB191">
        <v>976</v>
      </c>
      <c r="BC191">
        <v>987</v>
      </c>
      <c r="BD191" t="s">
        <v>74</v>
      </c>
      <c r="BE191" t="s">
        <v>3982</v>
      </c>
      <c r="BF191" t="str">
        <f>HYPERLINK("http://dx.doi.org/10.1111/1755-0998.12247","http://dx.doi.org/10.1111/1755-0998.12247")</f>
        <v>http://dx.doi.org/10.1111/1755-0998.12247</v>
      </c>
      <c r="BG191" t="s">
        <v>74</v>
      </c>
      <c r="BH191" t="s">
        <v>74</v>
      </c>
      <c r="BI191">
        <v>12</v>
      </c>
      <c r="BJ191" t="s">
        <v>3983</v>
      </c>
      <c r="BK191" t="s">
        <v>102</v>
      </c>
      <c r="BL191" t="s">
        <v>3984</v>
      </c>
      <c r="BM191" t="s">
        <v>3985</v>
      </c>
      <c r="BN191">
        <v>24606053</v>
      </c>
      <c r="BO191" t="s">
        <v>1274</v>
      </c>
      <c r="BP191" t="s">
        <v>74</v>
      </c>
      <c r="BQ191" t="s">
        <v>74</v>
      </c>
      <c r="BR191" t="s">
        <v>105</v>
      </c>
      <c r="BS191" t="s">
        <v>3986</v>
      </c>
      <c r="BT191" t="str">
        <f>HYPERLINK("https%3A%2F%2Fwww.webofscience.com%2Fwos%2Fwoscc%2Ffull-record%2FWOS:000340425100009","View Full Record in Web of Science")</f>
        <v>View Full Record in Web of Science</v>
      </c>
    </row>
    <row r="192" spans="1:72" x14ac:dyDescent="0.15">
      <c r="A192" t="s">
        <v>72</v>
      </c>
      <c r="B192" t="s">
        <v>3987</v>
      </c>
      <c r="C192" t="s">
        <v>74</v>
      </c>
      <c r="D192" t="s">
        <v>74</v>
      </c>
      <c r="E192" t="s">
        <v>74</v>
      </c>
      <c r="F192" t="s">
        <v>3988</v>
      </c>
      <c r="G192" t="s">
        <v>74</v>
      </c>
      <c r="H192" t="s">
        <v>74</v>
      </c>
      <c r="I192" t="s">
        <v>3989</v>
      </c>
      <c r="J192" t="s">
        <v>641</v>
      </c>
      <c r="K192" t="s">
        <v>74</v>
      </c>
      <c r="L192" t="s">
        <v>74</v>
      </c>
      <c r="M192" t="s">
        <v>78</v>
      </c>
      <c r="N192" t="s">
        <v>79</v>
      </c>
      <c r="O192" t="s">
        <v>74</v>
      </c>
      <c r="P192" t="s">
        <v>74</v>
      </c>
      <c r="Q192" t="s">
        <v>74</v>
      </c>
      <c r="R192" t="s">
        <v>74</v>
      </c>
      <c r="S192" t="s">
        <v>74</v>
      </c>
      <c r="T192" t="s">
        <v>74</v>
      </c>
      <c r="U192" t="s">
        <v>3990</v>
      </c>
      <c r="V192" t="s">
        <v>3991</v>
      </c>
      <c r="W192" t="s">
        <v>3992</v>
      </c>
      <c r="X192" t="s">
        <v>3993</v>
      </c>
      <c r="Y192" t="s">
        <v>3994</v>
      </c>
      <c r="Z192" t="s">
        <v>3995</v>
      </c>
      <c r="AA192" t="s">
        <v>3996</v>
      </c>
      <c r="AB192" t="s">
        <v>3997</v>
      </c>
      <c r="AC192" t="s">
        <v>3998</v>
      </c>
      <c r="AD192" t="s">
        <v>3999</v>
      </c>
      <c r="AE192" t="s">
        <v>4000</v>
      </c>
      <c r="AF192" t="s">
        <v>74</v>
      </c>
      <c r="AG192">
        <v>64</v>
      </c>
      <c r="AH192">
        <v>146</v>
      </c>
      <c r="AI192">
        <v>161</v>
      </c>
      <c r="AJ192">
        <v>0</v>
      </c>
      <c r="AK192">
        <v>43</v>
      </c>
      <c r="AL192" t="s">
        <v>653</v>
      </c>
      <c r="AM192" t="s">
        <v>654</v>
      </c>
      <c r="AN192" t="s">
        <v>655</v>
      </c>
      <c r="AO192" t="s">
        <v>656</v>
      </c>
      <c r="AP192" t="s">
        <v>74</v>
      </c>
      <c r="AQ192" t="s">
        <v>74</v>
      </c>
      <c r="AR192" t="s">
        <v>657</v>
      </c>
      <c r="AS192" t="s">
        <v>658</v>
      </c>
      <c r="AT192" t="s">
        <v>1791</v>
      </c>
      <c r="AU192">
        <v>2014</v>
      </c>
      <c r="AV192">
        <v>5</v>
      </c>
      <c r="AW192" t="s">
        <v>74</v>
      </c>
      <c r="AX192" t="s">
        <v>74</v>
      </c>
      <c r="AY192" t="s">
        <v>74</v>
      </c>
      <c r="AZ192" t="s">
        <v>74</v>
      </c>
      <c r="BA192" t="s">
        <v>74</v>
      </c>
      <c r="BB192" t="s">
        <v>74</v>
      </c>
      <c r="BC192" t="s">
        <v>74</v>
      </c>
      <c r="BD192">
        <v>5107</v>
      </c>
      <c r="BE192" t="s">
        <v>4001</v>
      </c>
      <c r="BF192" t="str">
        <f>HYPERLINK("http://dx.doi.org/10.1038/ncomms6107","http://dx.doi.org/10.1038/ncomms6107")</f>
        <v>http://dx.doi.org/10.1038/ncomms6107</v>
      </c>
      <c r="BG192" t="s">
        <v>74</v>
      </c>
      <c r="BH192" t="s">
        <v>74</v>
      </c>
      <c r="BI192">
        <v>10</v>
      </c>
      <c r="BJ192" t="s">
        <v>660</v>
      </c>
      <c r="BK192" t="s">
        <v>102</v>
      </c>
      <c r="BL192" t="s">
        <v>661</v>
      </c>
      <c r="BM192" t="s">
        <v>4002</v>
      </c>
      <c r="BN192">
        <v>25263015</v>
      </c>
      <c r="BO192" t="s">
        <v>4003</v>
      </c>
      <c r="BP192" t="s">
        <v>74</v>
      </c>
      <c r="BQ192" t="s">
        <v>74</v>
      </c>
      <c r="BR192" t="s">
        <v>105</v>
      </c>
      <c r="BS192" t="s">
        <v>4004</v>
      </c>
      <c r="BT192" t="str">
        <f>HYPERLINK("https%3A%2F%2Fwww.webofscience.com%2Fwos%2Fwoscc%2Ffull-record%2FWOS:000343030300001","View Full Record in Web of Science")</f>
        <v>View Full Record in Web of Science</v>
      </c>
    </row>
    <row r="193" spans="1:72" x14ac:dyDescent="0.15">
      <c r="A193" t="s">
        <v>72</v>
      </c>
      <c r="B193" t="s">
        <v>4005</v>
      </c>
      <c r="C193" t="s">
        <v>74</v>
      </c>
      <c r="D193" t="s">
        <v>74</v>
      </c>
      <c r="E193" t="s">
        <v>74</v>
      </c>
      <c r="F193" t="s">
        <v>4006</v>
      </c>
      <c r="G193" t="s">
        <v>74</v>
      </c>
      <c r="H193" t="s">
        <v>74</v>
      </c>
      <c r="I193" t="s">
        <v>4007</v>
      </c>
      <c r="J193" t="s">
        <v>4008</v>
      </c>
      <c r="K193" t="s">
        <v>74</v>
      </c>
      <c r="L193" t="s">
        <v>74</v>
      </c>
      <c r="M193" t="s">
        <v>78</v>
      </c>
      <c r="N193" t="s">
        <v>79</v>
      </c>
      <c r="O193" t="s">
        <v>74</v>
      </c>
      <c r="P193" t="s">
        <v>74</v>
      </c>
      <c r="Q193" t="s">
        <v>74</v>
      </c>
      <c r="R193" t="s">
        <v>74</v>
      </c>
      <c r="S193" t="s">
        <v>74</v>
      </c>
      <c r="T193" t="s">
        <v>4009</v>
      </c>
      <c r="U193" t="s">
        <v>4010</v>
      </c>
      <c r="V193" t="s">
        <v>4011</v>
      </c>
      <c r="W193" t="s">
        <v>4012</v>
      </c>
      <c r="X193" t="s">
        <v>4013</v>
      </c>
      <c r="Y193" t="s">
        <v>4014</v>
      </c>
      <c r="Z193" t="s">
        <v>4015</v>
      </c>
      <c r="AA193" t="s">
        <v>4016</v>
      </c>
      <c r="AB193" t="s">
        <v>4017</v>
      </c>
      <c r="AC193" t="s">
        <v>4018</v>
      </c>
      <c r="AD193" t="s">
        <v>4019</v>
      </c>
      <c r="AE193" t="s">
        <v>4020</v>
      </c>
      <c r="AF193" t="s">
        <v>74</v>
      </c>
      <c r="AG193">
        <v>52</v>
      </c>
      <c r="AH193">
        <v>88</v>
      </c>
      <c r="AI193">
        <v>99</v>
      </c>
      <c r="AJ193">
        <v>1</v>
      </c>
      <c r="AK193">
        <v>71</v>
      </c>
      <c r="AL193" t="s">
        <v>331</v>
      </c>
      <c r="AM193" t="s">
        <v>332</v>
      </c>
      <c r="AN193" t="s">
        <v>333</v>
      </c>
      <c r="AO193" t="s">
        <v>4021</v>
      </c>
      <c r="AP193" t="s">
        <v>4022</v>
      </c>
      <c r="AQ193" t="s">
        <v>74</v>
      </c>
      <c r="AR193" t="s">
        <v>4008</v>
      </c>
      <c r="AS193" t="s">
        <v>4023</v>
      </c>
      <c r="AT193" t="s">
        <v>1791</v>
      </c>
      <c r="AU193">
        <v>2014</v>
      </c>
      <c r="AV193">
        <v>29</v>
      </c>
      <c r="AW193">
        <v>9</v>
      </c>
      <c r="AX193" t="s">
        <v>74</v>
      </c>
      <c r="AY193" t="s">
        <v>74</v>
      </c>
      <c r="AZ193" t="s">
        <v>74</v>
      </c>
      <c r="BA193" t="s">
        <v>74</v>
      </c>
      <c r="BB193">
        <v>845</v>
      </c>
      <c r="BC193">
        <v>853</v>
      </c>
      <c r="BD193" t="s">
        <v>74</v>
      </c>
      <c r="BE193" t="s">
        <v>4024</v>
      </c>
      <c r="BF193" t="str">
        <f>HYPERLINK("http://dx.doi.org/10.1002/2014PA002653","http://dx.doi.org/10.1002/2014PA002653")</f>
        <v>http://dx.doi.org/10.1002/2014PA002653</v>
      </c>
      <c r="BG193" t="s">
        <v>74</v>
      </c>
      <c r="BH193" t="s">
        <v>74</v>
      </c>
      <c r="BI193">
        <v>9</v>
      </c>
      <c r="BJ193" t="s">
        <v>4025</v>
      </c>
      <c r="BK193" t="s">
        <v>102</v>
      </c>
      <c r="BL193" t="s">
        <v>4026</v>
      </c>
      <c r="BM193" t="s">
        <v>4027</v>
      </c>
      <c r="BN193" t="s">
        <v>74</v>
      </c>
      <c r="BO193" t="s">
        <v>4028</v>
      </c>
      <c r="BP193" t="s">
        <v>74</v>
      </c>
      <c r="BQ193" t="s">
        <v>74</v>
      </c>
      <c r="BR193" t="s">
        <v>105</v>
      </c>
      <c r="BS193" t="s">
        <v>4029</v>
      </c>
      <c r="BT193" t="str">
        <f>HYPERLINK("https%3A%2F%2Fwww.webofscience.com%2Fwos%2Fwoscc%2Ffull-record%2FWOS:000343875500002","View Full Record in Web of Science")</f>
        <v>View Full Record in Web of Science</v>
      </c>
    </row>
    <row r="194" spans="1:72" x14ac:dyDescent="0.15">
      <c r="A194" t="s">
        <v>72</v>
      </c>
      <c r="B194" t="s">
        <v>4030</v>
      </c>
      <c r="C194" t="s">
        <v>74</v>
      </c>
      <c r="D194" t="s">
        <v>74</v>
      </c>
      <c r="E194" t="s">
        <v>74</v>
      </c>
      <c r="F194" t="s">
        <v>4031</v>
      </c>
      <c r="G194" t="s">
        <v>74</v>
      </c>
      <c r="H194" t="s">
        <v>74</v>
      </c>
      <c r="I194" t="s">
        <v>4032</v>
      </c>
      <c r="J194" t="s">
        <v>765</v>
      </c>
      <c r="K194" t="s">
        <v>74</v>
      </c>
      <c r="L194" t="s">
        <v>74</v>
      </c>
      <c r="M194" t="s">
        <v>78</v>
      </c>
      <c r="N194" t="s">
        <v>79</v>
      </c>
      <c r="O194" t="s">
        <v>74</v>
      </c>
      <c r="P194" t="s">
        <v>74</v>
      </c>
      <c r="Q194" t="s">
        <v>74</v>
      </c>
      <c r="R194" t="s">
        <v>74</v>
      </c>
      <c r="S194" t="s">
        <v>74</v>
      </c>
      <c r="T194" t="s">
        <v>4033</v>
      </c>
      <c r="U194" t="s">
        <v>4034</v>
      </c>
      <c r="V194" t="s">
        <v>4035</v>
      </c>
      <c r="W194" t="s">
        <v>4036</v>
      </c>
      <c r="X194" t="s">
        <v>4037</v>
      </c>
      <c r="Y194" t="s">
        <v>4038</v>
      </c>
      <c r="Z194" t="s">
        <v>4039</v>
      </c>
      <c r="AA194" t="s">
        <v>4040</v>
      </c>
      <c r="AB194" t="s">
        <v>4041</v>
      </c>
      <c r="AC194" t="s">
        <v>4042</v>
      </c>
      <c r="AD194" t="s">
        <v>4043</v>
      </c>
      <c r="AE194" t="s">
        <v>4044</v>
      </c>
      <c r="AF194" t="s">
        <v>74</v>
      </c>
      <c r="AG194">
        <v>48</v>
      </c>
      <c r="AH194">
        <v>31</v>
      </c>
      <c r="AI194">
        <v>32</v>
      </c>
      <c r="AJ194">
        <v>0</v>
      </c>
      <c r="AK194">
        <v>26</v>
      </c>
      <c r="AL194" t="s">
        <v>224</v>
      </c>
      <c r="AM194" t="s">
        <v>576</v>
      </c>
      <c r="AN194" t="s">
        <v>577</v>
      </c>
      <c r="AO194" t="s">
        <v>779</v>
      </c>
      <c r="AP194" t="s">
        <v>780</v>
      </c>
      <c r="AQ194" t="s">
        <v>74</v>
      </c>
      <c r="AR194" t="s">
        <v>781</v>
      </c>
      <c r="AS194" t="s">
        <v>782</v>
      </c>
      <c r="AT194" t="s">
        <v>1791</v>
      </c>
      <c r="AU194">
        <v>2014</v>
      </c>
      <c r="AV194">
        <v>37</v>
      </c>
      <c r="AW194">
        <v>9</v>
      </c>
      <c r="AX194" t="s">
        <v>74</v>
      </c>
      <c r="AY194" t="s">
        <v>74</v>
      </c>
      <c r="AZ194" t="s">
        <v>74</v>
      </c>
      <c r="BA194" t="s">
        <v>74</v>
      </c>
      <c r="BB194">
        <v>1221</v>
      </c>
      <c r="BC194">
        <v>1233</v>
      </c>
      <c r="BD194" t="s">
        <v>74</v>
      </c>
      <c r="BE194" t="s">
        <v>4045</v>
      </c>
      <c r="BF194" t="str">
        <f>HYPERLINK("http://dx.doi.org/10.1007/s00300-014-1514-x","http://dx.doi.org/10.1007/s00300-014-1514-x")</f>
        <v>http://dx.doi.org/10.1007/s00300-014-1514-x</v>
      </c>
      <c r="BG194" t="s">
        <v>74</v>
      </c>
      <c r="BH194" t="s">
        <v>74</v>
      </c>
      <c r="BI194">
        <v>13</v>
      </c>
      <c r="BJ194" t="s">
        <v>784</v>
      </c>
      <c r="BK194" t="s">
        <v>102</v>
      </c>
      <c r="BL194" t="s">
        <v>785</v>
      </c>
      <c r="BM194" t="s">
        <v>4046</v>
      </c>
      <c r="BN194" t="s">
        <v>74</v>
      </c>
      <c r="BO194" t="s">
        <v>74</v>
      </c>
      <c r="BP194" t="s">
        <v>74</v>
      </c>
      <c r="BQ194" t="s">
        <v>74</v>
      </c>
      <c r="BR194" t="s">
        <v>105</v>
      </c>
      <c r="BS194" t="s">
        <v>4047</v>
      </c>
      <c r="BT194" t="str">
        <f>HYPERLINK("https%3A%2F%2Fwww.webofscience.com%2Fwos%2Fwoscc%2Ffull-record%2FWOS:000339893400001","View Full Record in Web of Science")</f>
        <v>View Full Record in Web of Science</v>
      </c>
    </row>
    <row r="195" spans="1:72" x14ac:dyDescent="0.15">
      <c r="A195" t="s">
        <v>72</v>
      </c>
      <c r="B195" t="s">
        <v>4048</v>
      </c>
      <c r="C195" t="s">
        <v>74</v>
      </c>
      <c r="D195" t="s">
        <v>74</v>
      </c>
      <c r="E195" t="s">
        <v>74</v>
      </c>
      <c r="F195" t="s">
        <v>4049</v>
      </c>
      <c r="G195" t="s">
        <v>74</v>
      </c>
      <c r="H195" t="s">
        <v>74</v>
      </c>
      <c r="I195" t="s">
        <v>4050</v>
      </c>
      <c r="J195" t="s">
        <v>765</v>
      </c>
      <c r="K195" t="s">
        <v>74</v>
      </c>
      <c r="L195" t="s">
        <v>74</v>
      </c>
      <c r="M195" t="s">
        <v>78</v>
      </c>
      <c r="N195" t="s">
        <v>79</v>
      </c>
      <c r="O195" t="s">
        <v>74</v>
      </c>
      <c r="P195" t="s">
        <v>74</v>
      </c>
      <c r="Q195" t="s">
        <v>74</v>
      </c>
      <c r="R195" t="s">
        <v>74</v>
      </c>
      <c r="S195" t="s">
        <v>74</v>
      </c>
      <c r="T195" t="s">
        <v>4051</v>
      </c>
      <c r="U195" t="s">
        <v>4052</v>
      </c>
      <c r="V195" t="s">
        <v>4053</v>
      </c>
      <c r="W195" t="s">
        <v>4054</v>
      </c>
      <c r="X195" t="s">
        <v>4055</v>
      </c>
      <c r="Y195" t="s">
        <v>4056</v>
      </c>
      <c r="Z195" t="s">
        <v>4057</v>
      </c>
      <c r="AA195" t="s">
        <v>4058</v>
      </c>
      <c r="AB195" t="s">
        <v>4059</v>
      </c>
      <c r="AC195" t="s">
        <v>4060</v>
      </c>
      <c r="AD195" t="s">
        <v>4061</v>
      </c>
      <c r="AE195" t="s">
        <v>4062</v>
      </c>
      <c r="AF195" t="s">
        <v>74</v>
      </c>
      <c r="AG195">
        <v>104</v>
      </c>
      <c r="AH195">
        <v>44</v>
      </c>
      <c r="AI195">
        <v>49</v>
      </c>
      <c r="AJ195">
        <v>1</v>
      </c>
      <c r="AK195">
        <v>44</v>
      </c>
      <c r="AL195" t="s">
        <v>224</v>
      </c>
      <c r="AM195" t="s">
        <v>576</v>
      </c>
      <c r="AN195" t="s">
        <v>577</v>
      </c>
      <c r="AO195" t="s">
        <v>779</v>
      </c>
      <c r="AP195" t="s">
        <v>780</v>
      </c>
      <c r="AQ195" t="s">
        <v>74</v>
      </c>
      <c r="AR195" t="s">
        <v>781</v>
      </c>
      <c r="AS195" t="s">
        <v>782</v>
      </c>
      <c r="AT195" t="s">
        <v>1791</v>
      </c>
      <c r="AU195">
        <v>2014</v>
      </c>
      <c r="AV195">
        <v>37</v>
      </c>
      <c r="AW195">
        <v>9</v>
      </c>
      <c r="AX195" t="s">
        <v>74</v>
      </c>
      <c r="AY195" t="s">
        <v>74</v>
      </c>
      <c r="AZ195" t="s">
        <v>74</v>
      </c>
      <c r="BA195" t="s">
        <v>74</v>
      </c>
      <c r="BB195">
        <v>1343</v>
      </c>
      <c r="BC195">
        <v>1360</v>
      </c>
      <c r="BD195" t="s">
        <v>74</v>
      </c>
      <c r="BE195" t="s">
        <v>4063</v>
      </c>
      <c r="BF195" t="str">
        <f>HYPERLINK("http://dx.doi.org/10.1007/s00300-014-1526-6","http://dx.doi.org/10.1007/s00300-014-1526-6")</f>
        <v>http://dx.doi.org/10.1007/s00300-014-1526-6</v>
      </c>
      <c r="BG195" t="s">
        <v>74</v>
      </c>
      <c r="BH195" t="s">
        <v>74</v>
      </c>
      <c r="BI195">
        <v>18</v>
      </c>
      <c r="BJ195" t="s">
        <v>784</v>
      </c>
      <c r="BK195" t="s">
        <v>102</v>
      </c>
      <c r="BL195" t="s">
        <v>785</v>
      </c>
      <c r="BM195" t="s">
        <v>4046</v>
      </c>
      <c r="BN195" t="s">
        <v>74</v>
      </c>
      <c r="BO195" t="s">
        <v>1274</v>
      </c>
      <c r="BP195" t="s">
        <v>74</v>
      </c>
      <c r="BQ195" t="s">
        <v>74</v>
      </c>
      <c r="BR195" t="s">
        <v>105</v>
      </c>
      <c r="BS195" t="s">
        <v>4064</v>
      </c>
      <c r="BT195" t="str">
        <f>HYPERLINK("https%3A%2F%2Fwww.webofscience.com%2Fwos%2Fwoscc%2Ffull-record%2FWOS:000339893400011","View Full Record in Web of Science")</f>
        <v>View Full Record in Web of Science</v>
      </c>
    </row>
    <row r="196" spans="1:72" x14ac:dyDescent="0.15">
      <c r="A196" t="s">
        <v>72</v>
      </c>
      <c r="B196" t="s">
        <v>4065</v>
      </c>
      <c r="C196" t="s">
        <v>74</v>
      </c>
      <c r="D196" t="s">
        <v>74</v>
      </c>
      <c r="E196" t="s">
        <v>74</v>
      </c>
      <c r="F196" t="s">
        <v>4066</v>
      </c>
      <c r="G196" t="s">
        <v>74</v>
      </c>
      <c r="H196" t="s">
        <v>74</v>
      </c>
      <c r="I196" t="s">
        <v>4067</v>
      </c>
      <c r="J196" t="s">
        <v>765</v>
      </c>
      <c r="K196" t="s">
        <v>74</v>
      </c>
      <c r="L196" t="s">
        <v>74</v>
      </c>
      <c r="M196" t="s">
        <v>78</v>
      </c>
      <c r="N196" t="s">
        <v>79</v>
      </c>
      <c r="O196" t="s">
        <v>74</v>
      </c>
      <c r="P196" t="s">
        <v>74</v>
      </c>
      <c r="Q196" t="s">
        <v>74</v>
      </c>
      <c r="R196" t="s">
        <v>74</v>
      </c>
      <c r="S196" t="s">
        <v>74</v>
      </c>
      <c r="T196" t="s">
        <v>4068</v>
      </c>
      <c r="U196" t="s">
        <v>4069</v>
      </c>
      <c r="V196" t="s">
        <v>4070</v>
      </c>
      <c r="W196" t="s">
        <v>4071</v>
      </c>
      <c r="X196" t="s">
        <v>4072</v>
      </c>
      <c r="Y196" t="s">
        <v>4073</v>
      </c>
      <c r="Z196" t="s">
        <v>4074</v>
      </c>
      <c r="AA196" t="s">
        <v>4075</v>
      </c>
      <c r="AB196" t="s">
        <v>4076</v>
      </c>
      <c r="AC196" t="s">
        <v>4077</v>
      </c>
      <c r="AD196" t="s">
        <v>4078</v>
      </c>
      <c r="AE196" t="s">
        <v>4079</v>
      </c>
      <c r="AF196" t="s">
        <v>74</v>
      </c>
      <c r="AG196">
        <v>36</v>
      </c>
      <c r="AH196">
        <v>24</v>
      </c>
      <c r="AI196">
        <v>24</v>
      </c>
      <c r="AJ196">
        <v>2</v>
      </c>
      <c r="AK196">
        <v>45</v>
      </c>
      <c r="AL196" t="s">
        <v>224</v>
      </c>
      <c r="AM196" t="s">
        <v>576</v>
      </c>
      <c r="AN196" t="s">
        <v>778</v>
      </c>
      <c r="AO196" t="s">
        <v>779</v>
      </c>
      <c r="AP196" t="s">
        <v>780</v>
      </c>
      <c r="AQ196" t="s">
        <v>74</v>
      </c>
      <c r="AR196" t="s">
        <v>781</v>
      </c>
      <c r="AS196" t="s">
        <v>782</v>
      </c>
      <c r="AT196" t="s">
        <v>1791</v>
      </c>
      <c r="AU196">
        <v>2014</v>
      </c>
      <c r="AV196">
        <v>37</v>
      </c>
      <c r="AW196">
        <v>9</v>
      </c>
      <c r="AX196" t="s">
        <v>74</v>
      </c>
      <c r="AY196" t="s">
        <v>74</v>
      </c>
      <c r="AZ196" t="s">
        <v>74</v>
      </c>
      <c r="BA196" t="s">
        <v>74</v>
      </c>
      <c r="BB196">
        <v>1361</v>
      </c>
      <c r="BC196">
        <v>1367</v>
      </c>
      <c r="BD196" t="s">
        <v>74</v>
      </c>
      <c r="BE196" t="s">
        <v>4080</v>
      </c>
      <c r="BF196" t="str">
        <f>HYPERLINK("http://dx.doi.org/10.1007/s00300-014-1516-8","http://dx.doi.org/10.1007/s00300-014-1516-8")</f>
        <v>http://dx.doi.org/10.1007/s00300-014-1516-8</v>
      </c>
      <c r="BG196" t="s">
        <v>74</v>
      </c>
      <c r="BH196" t="s">
        <v>74</v>
      </c>
      <c r="BI196">
        <v>7</v>
      </c>
      <c r="BJ196" t="s">
        <v>784</v>
      </c>
      <c r="BK196" t="s">
        <v>102</v>
      </c>
      <c r="BL196" t="s">
        <v>785</v>
      </c>
      <c r="BM196" t="s">
        <v>4046</v>
      </c>
      <c r="BN196" t="s">
        <v>74</v>
      </c>
      <c r="BO196" t="s">
        <v>359</v>
      </c>
      <c r="BP196" t="s">
        <v>74</v>
      </c>
      <c r="BQ196" t="s">
        <v>74</v>
      </c>
      <c r="BR196" t="s">
        <v>105</v>
      </c>
      <c r="BS196" t="s">
        <v>4081</v>
      </c>
      <c r="BT196" t="str">
        <f>HYPERLINK("https%3A%2F%2Fwww.webofscience.com%2Fwos%2Fwoscc%2Ffull-record%2FWOS:000339893400012","View Full Record in Web of Science")</f>
        <v>View Full Record in Web of Science</v>
      </c>
    </row>
    <row r="197" spans="1:72" x14ac:dyDescent="0.15">
      <c r="A197" t="s">
        <v>72</v>
      </c>
      <c r="B197" t="s">
        <v>4082</v>
      </c>
      <c r="C197" t="s">
        <v>74</v>
      </c>
      <c r="D197" t="s">
        <v>74</v>
      </c>
      <c r="E197" t="s">
        <v>74</v>
      </c>
      <c r="F197" t="s">
        <v>4083</v>
      </c>
      <c r="G197" t="s">
        <v>74</v>
      </c>
      <c r="H197" t="s">
        <v>74</v>
      </c>
      <c r="I197" t="s">
        <v>4084</v>
      </c>
      <c r="J197" t="s">
        <v>2627</v>
      </c>
      <c r="K197" t="s">
        <v>74</v>
      </c>
      <c r="L197" t="s">
        <v>74</v>
      </c>
      <c r="M197" t="s">
        <v>78</v>
      </c>
      <c r="N197" t="s">
        <v>79</v>
      </c>
      <c r="O197" t="s">
        <v>74</v>
      </c>
      <c r="P197" t="s">
        <v>74</v>
      </c>
      <c r="Q197" t="s">
        <v>74</v>
      </c>
      <c r="R197" t="s">
        <v>74</v>
      </c>
      <c r="S197" t="s">
        <v>74</v>
      </c>
      <c r="T197" t="s">
        <v>4085</v>
      </c>
      <c r="U197" t="s">
        <v>4086</v>
      </c>
      <c r="V197" t="s">
        <v>4087</v>
      </c>
      <c r="W197" t="s">
        <v>4088</v>
      </c>
      <c r="X197" t="s">
        <v>4089</v>
      </c>
      <c r="Y197" t="s">
        <v>4090</v>
      </c>
      <c r="Z197" t="s">
        <v>4091</v>
      </c>
      <c r="AA197" t="s">
        <v>4092</v>
      </c>
      <c r="AB197" t="s">
        <v>4093</v>
      </c>
      <c r="AC197" t="s">
        <v>4094</v>
      </c>
      <c r="AD197" t="s">
        <v>4095</v>
      </c>
      <c r="AE197" t="s">
        <v>4096</v>
      </c>
      <c r="AF197" t="s">
        <v>74</v>
      </c>
      <c r="AG197">
        <v>47</v>
      </c>
      <c r="AH197">
        <v>45</v>
      </c>
      <c r="AI197">
        <v>46</v>
      </c>
      <c r="AJ197">
        <v>2</v>
      </c>
      <c r="AK197">
        <v>28</v>
      </c>
      <c r="AL197" t="s">
        <v>123</v>
      </c>
      <c r="AM197" t="s">
        <v>124</v>
      </c>
      <c r="AN197" t="s">
        <v>125</v>
      </c>
      <c r="AO197" t="s">
        <v>2640</v>
      </c>
      <c r="AP197" t="s">
        <v>2641</v>
      </c>
      <c r="AQ197" t="s">
        <v>74</v>
      </c>
      <c r="AR197" t="s">
        <v>2642</v>
      </c>
      <c r="AS197" t="s">
        <v>2643</v>
      </c>
      <c r="AT197" t="s">
        <v>1791</v>
      </c>
      <c r="AU197">
        <v>2014</v>
      </c>
      <c r="AV197">
        <v>8</v>
      </c>
      <c r="AW197">
        <v>3</v>
      </c>
      <c r="AX197" t="s">
        <v>74</v>
      </c>
      <c r="AY197" t="s">
        <v>74</v>
      </c>
      <c r="AZ197" t="s">
        <v>74</v>
      </c>
      <c r="BA197" t="s">
        <v>74</v>
      </c>
      <c r="BB197">
        <v>255</v>
      </c>
      <c r="BC197">
        <v>263</v>
      </c>
      <c r="BD197" t="s">
        <v>74</v>
      </c>
      <c r="BE197" t="s">
        <v>4097</v>
      </c>
      <c r="BF197" t="str">
        <f>HYPERLINK("http://dx.doi.org/10.1016/j.polar.2014.05.002","http://dx.doi.org/10.1016/j.polar.2014.05.002")</f>
        <v>http://dx.doi.org/10.1016/j.polar.2014.05.002</v>
      </c>
      <c r="BG197" t="s">
        <v>74</v>
      </c>
      <c r="BH197" t="s">
        <v>74</v>
      </c>
      <c r="BI197">
        <v>9</v>
      </c>
      <c r="BJ197" t="s">
        <v>2645</v>
      </c>
      <c r="BK197" t="s">
        <v>102</v>
      </c>
      <c r="BL197" t="s">
        <v>2132</v>
      </c>
      <c r="BM197" t="s">
        <v>2646</v>
      </c>
      <c r="BN197" t="s">
        <v>74</v>
      </c>
      <c r="BO197" t="s">
        <v>289</v>
      </c>
      <c r="BP197" t="s">
        <v>74</v>
      </c>
      <c r="BQ197" t="s">
        <v>74</v>
      </c>
      <c r="BR197" t="s">
        <v>105</v>
      </c>
      <c r="BS197" t="s">
        <v>4098</v>
      </c>
      <c r="BT197" t="str">
        <f>HYPERLINK("https%3A%2F%2Fwww.webofscience.com%2Fwos%2Fwoscc%2Ffull-record%2FWOS:000341793800005","View Full Record in Web of Science")</f>
        <v>View Full Record in Web of Science</v>
      </c>
    </row>
    <row r="198" spans="1:72" x14ac:dyDescent="0.15">
      <c r="A198" t="s">
        <v>72</v>
      </c>
      <c r="B198" t="s">
        <v>4099</v>
      </c>
      <c r="C198" t="s">
        <v>74</v>
      </c>
      <c r="D198" t="s">
        <v>74</v>
      </c>
      <c r="E198" t="s">
        <v>74</v>
      </c>
      <c r="F198" t="s">
        <v>4100</v>
      </c>
      <c r="G198" t="s">
        <v>74</v>
      </c>
      <c r="H198" t="s">
        <v>74</v>
      </c>
      <c r="I198" t="s">
        <v>4101</v>
      </c>
      <c r="J198" t="s">
        <v>4102</v>
      </c>
      <c r="K198" t="s">
        <v>74</v>
      </c>
      <c r="L198" t="s">
        <v>74</v>
      </c>
      <c r="M198" t="s">
        <v>78</v>
      </c>
      <c r="N198" t="s">
        <v>79</v>
      </c>
      <c r="O198" t="s">
        <v>74</v>
      </c>
      <c r="P198" t="s">
        <v>74</v>
      </c>
      <c r="Q198" t="s">
        <v>74</v>
      </c>
      <c r="R198" t="s">
        <v>74</v>
      </c>
      <c r="S198" t="s">
        <v>74</v>
      </c>
      <c r="T198" t="s">
        <v>74</v>
      </c>
      <c r="U198" t="s">
        <v>4103</v>
      </c>
      <c r="V198" t="s">
        <v>4104</v>
      </c>
      <c r="W198" t="s">
        <v>4105</v>
      </c>
      <c r="X198" t="s">
        <v>4106</v>
      </c>
      <c r="Y198" t="s">
        <v>4107</v>
      </c>
      <c r="Z198" t="s">
        <v>4108</v>
      </c>
      <c r="AA198" t="s">
        <v>74</v>
      </c>
      <c r="AB198" t="s">
        <v>4109</v>
      </c>
      <c r="AC198" t="s">
        <v>4110</v>
      </c>
      <c r="AD198" t="s">
        <v>4111</v>
      </c>
      <c r="AE198" t="s">
        <v>4112</v>
      </c>
      <c r="AF198" t="s">
        <v>74</v>
      </c>
      <c r="AG198">
        <v>17</v>
      </c>
      <c r="AH198">
        <v>39</v>
      </c>
      <c r="AI198">
        <v>43</v>
      </c>
      <c r="AJ198">
        <v>0</v>
      </c>
      <c r="AK198">
        <v>13</v>
      </c>
      <c r="AL198" t="s">
        <v>2284</v>
      </c>
      <c r="AM198" t="s">
        <v>2285</v>
      </c>
      <c r="AN198" t="s">
        <v>2286</v>
      </c>
      <c r="AO198" t="s">
        <v>4113</v>
      </c>
      <c r="AP198" t="s">
        <v>4114</v>
      </c>
      <c r="AQ198" t="s">
        <v>74</v>
      </c>
      <c r="AR198" t="s">
        <v>4115</v>
      </c>
      <c r="AS198" t="s">
        <v>4116</v>
      </c>
      <c r="AT198" t="s">
        <v>1791</v>
      </c>
      <c r="AU198">
        <v>2014</v>
      </c>
      <c r="AV198">
        <v>126</v>
      </c>
      <c r="AW198">
        <v>943</v>
      </c>
      <c r="AX198" t="s">
        <v>74</v>
      </c>
      <c r="AY198" t="s">
        <v>74</v>
      </c>
      <c r="AZ198" t="s">
        <v>74</v>
      </c>
      <c r="BA198" t="s">
        <v>74</v>
      </c>
      <c r="BB198">
        <v>868</v>
      </c>
      <c r="BC198">
        <v>881</v>
      </c>
      <c r="BD198" t="s">
        <v>74</v>
      </c>
      <c r="BE198" t="s">
        <v>4117</v>
      </c>
      <c r="BF198" t="str">
        <f>HYPERLINK("http://dx.doi.org/10.1086/678327","http://dx.doi.org/10.1086/678327")</f>
        <v>http://dx.doi.org/10.1086/678327</v>
      </c>
      <c r="BG198" t="s">
        <v>74</v>
      </c>
      <c r="BH198" t="s">
        <v>74</v>
      </c>
      <c r="BI198">
        <v>14</v>
      </c>
      <c r="BJ198" t="s">
        <v>339</v>
      </c>
      <c r="BK198" t="s">
        <v>102</v>
      </c>
      <c r="BL198" t="s">
        <v>339</v>
      </c>
      <c r="BM198" t="s">
        <v>4118</v>
      </c>
      <c r="BN198" t="s">
        <v>74</v>
      </c>
      <c r="BO198" t="s">
        <v>427</v>
      </c>
      <c r="BP198" t="s">
        <v>74</v>
      </c>
      <c r="BQ198" t="s">
        <v>74</v>
      </c>
      <c r="BR198" t="s">
        <v>105</v>
      </c>
      <c r="BS198" t="s">
        <v>4119</v>
      </c>
      <c r="BT198" t="str">
        <f>HYPERLINK("https%3A%2F%2Fwww.webofscience.com%2Fwos%2Fwoscc%2Ffull-record%2FWOS:000343073400007","View Full Record in Web of Science")</f>
        <v>View Full Record in Web of Science</v>
      </c>
    </row>
    <row r="199" spans="1:72" x14ac:dyDescent="0.15">
      <c r="A199" t="s">
        <v>72</v>
      </c>
      <c r="B199" t="s">
        <v>4120</v>
      </c>
      <c r="C199" t="s">
        <v>74</v>
      </c>
      <c r="D199" t="s">
        <v>74</v>
      </c>
      <c r="E199" t="s">
        <v>74</v>
      </c>
      <c r="F199" t="s">
        <v>4121</v>
      </c>
      <c r="G199" t="s">
        <v>74</v>
      </c>
      <c r="H199" t="s">
        <v>4122</v>
      </c>
      <c r="I199" t="s">
        <v>4123</v>
      </c>
      <c r="J199" t="s">
        <v>4124</v>
      </c>
      <c r="K199" t="s">
        <v>74</v>
      </c>
      <c r="L199" t="s">
        <v>74</v>
      </c>
      <c r="M199" t="s">
        <v>78</v>
      </c>
      <c r="N199" t="s">
        <v>79</v>
      </c>
      <c r="O199" t="s">
        <v>74</v>
      </c>
      <c r="P199" t="s">
        <v>74</v>
      </c>
      <c r="Q199" t="s">
        <v>74</v>
      </c>
      <c r="R199" t="s">
        <v>74</v>
      </c>
      <c r="S199" t="s">
        <v>74</v>
      </c>
      <c r="T199" t="s">
        <v>4125</v>
      </c>
      <c r="U199" t="s">
        <v>4126</v>
      </c>
      <c r="V199" t="s">
        <v>4127</v>
      </c>
      <c r="W199" t="s">
        <v>4128</v>
      </c>
      <c r="X199" t="s">
        <v>4129</v>
      </c>
      <c r="Y199" t="s">
        <v>4130</v>
      </c>
      <c r="Z199" t="s">
        <v>4131</v>
      </c>
      <c r="AA199" t="s">
        <v>4132</v>
      </c>
      <c r="AB199" t="s">
        <v>4133</v>
      </c>
      <c r="AC199" t="s">
        <v>4134</v>
      </c>
      <c r="AD199" t="s">
        <v>4135</v>
      </c>
      <c r="AE199" t="s">
        <v>4136</v>
      </c>
      <c r="AF199" t="s">
        <v>74</v>
      </c>
      <c r="AG199">
        <v>63</v>
      </c>
      <c r="AH199">
        <v>45</v>
      </c>
      <c r="AI199">
        <v>50</v>
      </c>
      <c r="AJ199">
        <v>0</v>
      </c>
      <c r="AK199">
        <v>27</v>
      </c>
      <c r="AL199" t="s">
        <v>2353</v>
      </c>
      <c r="AM199" t="s">
        <v>576</v>
      </c>
      <c r="AN199" t="s">
        <v>2354</v>
      </c>
      <c r="AO199" t="s">
        <v>4137</v>
      </c>
      <c r="AP199" t="s">
        <v>4138</v>
      </c>
      <c r="AQ199" t="s">
        <v>74</v>
      </c>
      <c r="AR199" t="s">
        <v>4139</v>
      </c>
      <c r="AS199" t="s">
        <v>4140</v>
      </c>
      <c r="AT199" t="s">
        <v>1791</v>
      </c>
      <c r="AU199">
        <v>2014</v>
      </c>
      <c r="AV199">
        <v>82</v>
      </c>
      <c r="AW199">
        <v>2</v>
      </c>
      <c r="AX199" t="s">
        <v>74</v>
      </c>
      <c r="AY199" t="s">
        <v>74</v>
      </c>
      <c r="AZ199" t="s">
        <v>74</v>
      </c>
      <c r="BA199" t="s">
        <v>74</v>
      </c>
      <c r="BB199">
        <v>441</v>
      </c>
      <c r="BC199">
        <v>449</v>
      </c>
      <c r="BD199" t="s">
        <v>74</v>
      </c>
      <c r="BE199" t="s">
        <v>4141</v>
      </c>
      <c r="BF199" t="str">
        <f>HYPERLINK("http://dx.doi.org/10.1016/j.yqres.2014.05.003","http://dx.doi.org/10.1016/j.yqres.2014.05.003")</f>
        <v>http://dx.doi.org/10.1016/j.yqres.2014.05.003</v>
      </c>
      <c r="BG199" t="s">
        <v>74</v>
      </c>
      <c r="BH199" t="s">
        <v>74</v>
      </c>
      <c r="BI199">
        <v>9</v>
      </c>
      <c r="BJ199" t="s">
        <v>1427</v>
      </c>
      <c r="BK199" t="s">
        <v>102</v>
      </c>
      <c r="BL199" t="s">
        <v>1428</v>
      </c>
      <c r="BM199" t="s">
        <v>4142</v>
      </c>
      <c r="BN199" t="s">
        <v>74</v>
      </c>
      <c r="BO199" t="s">
        <v>74</v>
      </c>
      <c r="BP199" t="s">
        <v>74</v>
      </c>
      <c r="BQ199" t="s">
        <v>74</v>
      </c>
      <c r="BR199" t="s">
        <v>105</v>
      </c>
      <c r="BS199" t="s">
        <v>4143</v>
      </c>
      <c r="BT199" t="str">
        <f>HYPERLINK("https%3A%2F%2Fwww.webofscience.com%2Fwos%2Fwoscc%2Ffull-record%2FWOS:000343076700014","View Full Record in Web of Science")</f>
        <v>View Full Record in Web of Science</v>
      </c>
    </row>
    <row r="200" spans="1:72" x14ac:dyDescent="0.15">
      <c r="A200" t="s">
        <v>72</v>
      </c>
      <c r="B200" t="s">
        <v>4144</v>
      </c>
      <c r="C200" t="s">
        <v>74</v>
      </c>
      <c r="D200" t="s">
        <v>74</v>
      </c>
      <c r="E200" t="s">
        <v>74</v>
      </c>
      <c r="F200" t="s">
        <v>4145</v>
      </c>
      <c r="G200" t="s">
        <v>74</v>
      </c>
      <c r="H200" t="s">
        <v>74</v>
      </c>
      <c r="I200" t="s">
        <v>4146</v>
      </c>
      <c r="J200" t="s">
        <v>1458</v>
      </c>
      <c r="K200" t="s">
        <v>74</v>
      </c>
      <c r="L200" t="s">
        <v>74</v>
      </c>
      <c r="M200" t="s">
        <v>78</v>
      </c>
      <c r="N200" t="s">
        <v>79</v>
      </c>
      <c r="O200" t="s">
        <v>74</v>
      </c>
      <c r="P200" t="s">
        <v>74</v>
      </c>
      <c r="Q200" t="s">
        <v>74</v>
      </c>
      <c r="R200" t="s">
        <v>74</v>
      </c>
      <c r="S200" t="s">
        <v>74</v>
      </c>
      <c r="T200" t="s">
        <v>4147</v>
      </c>
      <c r="U200" t="s">
        <v>4148</v>
      </c>
      <c r="V200" t="s">
        <v>4149</v>
      </c>
      <c r="W200" t="s">
        <v>4150</v>
      </c>
      <c r="X200" t="s">
        <v>4151</v>
      </c>
      <c r="Y200" t="s">
        <v>4152</v>
      </c>
      <c r="Z200" t="s">
        <v>4153</v>
      </c>
      <c r="AA200" t="s">
        <v>4154</v>
      </c>
      <c r="AB200" t="s">
        <v>4155</v>
      </c>
      <c r="AC200" t="s">
        <v>4156</v>
      </c>
      <c r="AD200" t="s">
        <v>4157</v>
      </c>
      <c r="AE200" t="s">
        <v>4158</v>
      </c>
      <c r="AF200" t="s">
        <v>74</v>
      </c>
      <c r="AG200">
        <v>148</v>
      </c>
      <c r="AH200">
        <v>153</v>
      </c>
      <c r="AI200">
        <v>157</v>
      </c>
      <c r="AJ200">
        <v>1</v>
      </c>
      <c r="AK200">
        <v>66</v>
      </c>
      <c r="AL200" t="s">
        <v>250</v>
      </c>
      <c r="AM200" t="s">
        <v>251</v>
      </c>
      <c r="AN200" t="s">
        <v>252</v>
      </c>
      <c r="AO200" t="s">
        <v>1471</v>
      </c>
      <c r="AP200" t="s">
        <v>1493</v>
      </c>
      <c r="AQ200" t="s">
        <v>74</v>
      </c>
      <c r="AR200" t="s">
        <v>1472</v>
      </c>
      <c r="AS200" t="s">
        <v>1473</v>
      </c>
      <c r="AT200" t="s">
        <v>2460</v>
      </c>
      <c r="AU200">
        <v>2014</v>
      </c>
      <c r="AV200">
        <v>99</v>
      </c>
      <c r="AW200" t="s">
        <v>74</v>
      </c>
      <c r="AX200" t="s">
        <v>74</v>
      </c>
      <c r="AY200" t="s">
        <v>74</v>
      </c>
      <c r="AZ200" t="s">
        <v>74</v>
      </c>
      <c r="BA200" t="s">
        <v>74</v>
      </c>
      <c r="BB200">
        <v>122</v>
      </c>
      <c r="BC200">
        <v>134</v>
      </c>
      <c r="BD200" t="s">
        <v>74</v>
      </c>
      <c r="BE200" t="s">
        <v>4159</v>
      </c>
      <c r="BF200" t="str">
        <f>HYPERLINK("http://dx.doi.org/10.1016/j.quascirev.2014.06.016","http://dx.doi.org/10.1016/j.quascirev.2014.06.016")</f>
        <v>http://dx.doi.org/10.1016/j.quascirev.2014.06.016</v>
      </c>
      <c r="BG200" t="s">
        <v>74</v>
      </c>
      <c r="BH200" t="s">
        <v>74</v>
      </c>
      <c r="BI200">
        <v>13</v>
      </c>
      <c r="BJ200" t="s">
        <v>1427</v>
      </c>
      <c r="BK200" t="s">
        <v>102</v>
      </c>
      <c r="BL200" t="s">
        <v>1428</v>
      </c>
      <c r="BM200" t="s">
        <v>3153</v>
      </c>
      <c r="BN200" t="s">
        <v>74</v>
      </c>
      <c r="BO200" t="s">
        <v>262</v>
      </c>
      <c r="BP200" t="s">
        <v>74</v>
      </c>
      <c r="BQ200" t="s">
        <v>74</v>
      </c>
      <c r="BR200" t="s">
        <v>105</v>
      </c>
      <c r="BS200" t="s">
        <v>4160</v>
      </c>
      <c r="BT200" t="str">
        <f>HYPERLINK("https%3A%2F%2Fwww.webofscience.com%2Fwos%2Fwoscc%2Ffull-record%2FWOS:000340980100010","View Full Record in Web of Science")</f>
        <v>View Full Record in Web of Science</v>
      </c>
    </row>
    <row r="201" spans="1:72" x14ac:dyDescent="0.15">
      <c r="A201" t="s">
        <v>72</v>
      </c>
      <c r="B201" t="s">
        <v>4161</v>
      </c>
      <c r="C201" t="s">
        <v>74</v>
      </c>
      <c r="D201" t="s">
        <v>74</v>
      </c>
      <c r="E201" t="s">
        <v>74</v>
      </c>
      <c r="F201" t="s">
        <v>4162</v>
      </c>
      <c r="G201" t="s">
        <v>74</v>
      </c>
      <c r="H201" t="s">
        <v>74</v>
      </c>
      <c r="I201" t="s">
        <v>4163</v>
      </c>
      <c r="J201" t="s">
        <v>1458</v>
      </c>
      <c r="K201" t="s">
        <v>74</v>
      </c>
      <c r="L201" t="s">
        <v>74</v>
      </c>
      <c r="M201" t="s">
        <v>78</v>
      </c>
      <c r="N201" t="s">
        <v>79</v>
      </c>
      <c r="O201" t="s">
        <v>74</v>
      </c>
      <c r="P201" t="s">
        <v>74</v>
      </c>
      <c r="Q201" t="s">
        <v>74</v>
      </c>
      <c r="R201" t="s">
        <v>74</v>
      </c>
      <c r="S201" t="s">
        <v>74</v>
      </c>
      <c r="T201" t="s">
        <v>4164</v>
      </c>
      <c r="U201" t="s">
        <v>4165</v>
      </c>
      <c r="V201" t="s">
        <v>4166</v>
      </c>
      <c r="W201" t="s">
        <v>4167</v>
      </c>
      <c r="X201" t="s">
        <v>4168</v>
      </c>
      <c r="Y201" t="s">
        <v>4169</v>
      </c>
      <c r="Z201" t="s">
        <v>4170</v>
      </c>
      <c r="AA201" t="s">
        <v>4171</v>
      </c>
      <c r="AB201" t="s">
        <v>4172</v>
      </c>
      <c r="AC201" t="s">
        <v>4173</v>
      </c>
      <c r="AD201" t="s">
        <v>4174</v>
      </c>
      <c r="AE201" t="s">
        <v>4175</v>
      </c>
      <c r="AF201" t="s">
        <v>74</v>
      </c>
      <c r="AG201">
        <v>106</v>
      </c>
      <c r="AH201">
        <v>46</v>
      </c>
      <c r="AI201">
        <v>48</v>
      </c>
      <c r="AJ201">
        <v>4</v>
      </c>
      <c r="AK201">
        <v>93</v>
      </c>
      <c r="AL201" t="s">
        <v>250</v>
      </c>
      <c r="AM201" t="s">
        <v>251</v>
      </c>
      <c r="AN201" t="s">
        <v>252</v>
      </c>
      <c r="AO201" t="s">
        <v>1471</v>
      </c>
      <c r="AP201" t="s">
        <v>74</v>
      </c>
      <c r="AQ201" t="s">
        <v>74</v>
      </c>
      <c r="AR201" t="s">
        <v>1472</v>
      </c>
      <c r="AS201" t="s">
        <v>1473</v>
      </c>
      <c r="AT201" t="s">
        <v>2460</v>
      </c>
      <c r="AU201">
        <v>2014</v>
      </c>
      <c r="AV201">
        <v>99</v>
      </c>
      <c r="AW201" t="s">
        <v>74</v>
      </c>
      <c r="AX201" t="s">
        <v>74</v>
      </c>
      <c r="AY201" t="s">
        <v>74</v>
      </c>
      <c r="AZ201" t="s">
        <v>74</v>
      </c>
      <c r="BA201" t="s">
        <v>74</v>
      </c>
      <c r="BB201">
        <v>224</v>
      </c>
      <c r="BC201">
        <v>243</v>
      </c>
      <c r="BD201" t="s">
        <v>74</v>
      </c>
      <c r="BE201" t="s">
        <v>4176</v>
      </c>
      <c r="BF201" t="str">
        <f>HYPERLINK("http://dx.doi.org/10.1016/j.quascirev.2014.06.031","http://dx.doi.org/10.1016/j.quascirev.2014.06.031")</f>
        <v>http://dx.doi.org/10.1016/j.quascirev.2014.06.031</v>
      </c>
      <c r="BG201" t="s">
        <v>74</v>
      </c>
      <c r="BH201" t="s">
        <v>74</v>
      </c>
      <c r="BI201">
        <v>20</v>
      </c>
      <c r="BJ201" t="s">
        <v>1427</v>
      </c>
      <c r="BK201" t="s">
        <v>102</v>
      </c>
      <c r="BL201" t="s">
        <v>1428</v>
      </c>
      <c r="BM201" t="s">
        <v>3153</v>
      </c>
      <c r="BN201" t="s">
        <v>74</v>
      </c>
      <c r="BO201" t="s">
        <v>74</v>
      </c>
      <c r="BP201" t="s">
        <v>74</v>
      </c>
      <c r="BQ201" t="s">
        <v>74</v>
      </c>
      <c r="BR201" t="s">
        <v>105</v>
      </c>
      <c r="BS201" t="s">
        <v>4177</v>
      </c>
      <c r="BT201" t="str">
        <f>HYPERLINK("https%3A%2F%2Fwww.webofscience.com%2Fwos%2Fwoscc%2Ffull-record%2FWOS:000340980100018","View Full Record in Web of Science")</f>
        <v>View Full Record in Web of Science</v>
      </c>
    </row>
    <row r="202" spans="1:72" x14ac:dyDescent="0.15">
      <c r="A202" t="s">
        <v>72</v>
      </c>
      <c r="B202" t="s">
        <v>4178</v>
      </c>
      <c r="C202" t="s">
        <v>74</v>
      </c>
      <c r="D202" t="s">
        <v>74</v>
      </c>
      <c r="E202" t="s">
        <v>74</v>
      </c>
      <c r="F202" t="s">
        <v>4179</v>
      </c>
      <c r="G202" t="s">
        <v>74</v>
      </c>
      <c r="H202" t="s">
        <v>74</v>
      </c>
      <c r="I202" t="s">
        <v>4180</v>
      </c>
      <c r="J202" t="s">
        <v>4181</v>
      </c>
      <c r="K202" t="s">
        <v>74</v>
      </c>
      <c r="L202" t="s">
        <v>74</v>
      </c>
      <c r="M202" t="s">
        <v>78</v>
      </c>
      <c r="N202" t="s">
        <v>185</v>
      </c>
      <c r="O202" t="s">
        <v>74</v>
      </c>
      <c r="P202" t="s">
        <v>74</v>
      </c>
      <c r="Q202" t="s">
        <v>74</v>
      </c>
      <c r="R202" t="s">
        <v>74</v>
      </c>
      <c r="S202" t="s">
        <v>74</v>
      </c>
      <c r="T202" t="s">
        <v>74</v>
      </c>
      <c r="U202" t="s">
        <v>4182</v>
      </c>
      <c r="V202" t="s">
        <v>4183</v>
      </c>
      <c r="W202" t="s">
        <v>4184</v>
      </c>
      <c r="X202" t="s">
        <v>4185</v>
      </c>
      <c r="Y202" t="s">
        <v>4186</v>
      </c>
      <c r="Z202" t="s">
        <v>4187</v>
      </c>
      <c r="AA202" t="s">
        <v>4188</v>
      </c>
      <c r="AB202" t="s">
        <v>4189</v>
      </c>
      <c r="AC202" t="s">
        <v>4190</v>
      </c>
      <c r="AD202" t="s">
        <v>4191</v>
      </c>
      <c r="AE202" t="s">
        <v>4192</v>
      </c>
      <c r="AF202" t="s">
        <v>74</v>
      </c>
      <c r="AG202">
        <v>270</v>
      </c>
      <c r="AH202">
        <v>391</v>
      </c>
      <c r="AI202">
        <v>439</v>
      </c>
      <c r="AJ202">
        <v>16</v>
      </c>
      <c r="AK202">
        <v>402</v>
      </c>
      <c r="AL202" t="s">
        <v>331</v>
      </c>
      <c r="AM202" t="s">
        <v>332</v>
      </c>
      <c r="AN202" t="s">
        <v>333</v>
      </c>
      <c r="AO202" t="s">
        <v>4193</v>
      </c>
      <c r="AP202" t="s">
        <v>4194</v>
      </c>
      <c r="AQ202" t="s">
        <v>74</v>
      </c>
      <c r="AR202" t="s">
        <v>4195</v>
      </c>
      <c r="AS202" t="s">
        <v>4196</v>
      </c>
      <c r="AT202" t="s">
        <v>1791</v>
      </c>
      <c r="AU202">
        <v>2014</v>
      </c>
      <c r="AV202">
        <v>52</v>
      </c>
      <c r="AW202">
        <v>3</v>
      </c>
      <c r="AX202" t="s">
        <v>74</v>
      </c>
      <c r="AY202" t="s">
        <v>74</v>
      </c>
      <c r="AZ202" t="s">
        <v>74</v>
      </c>
      <c r="BA202" t="s">
        <v>74</v>
      </c>
      <c r="BB202">
        <v>185</v>
      </c>
      <c r="BC202">
        <v>217</v>
      </c>
      <c r="BD202" t="s">
        <v>74</v>
      </c>
      <c r="BE202" t="s">
        <v>4197</v>
      </c>
      <c r="BF202" t="str">
        <f>HYPERLINK("http://dx.doi.org/10.1002/2013RG000431","http://dx.doi.org/10.1002/2013RG000431")</f>
        <v>http://dx.doi.org/10.1002/2013RG000431</v>
      </c>
      <c r="BG202" t="s">
        <v>74</v>
      </c>
      <c r="BH202" t="s">
        <v>74</v>
      </c>
      <c r="BI202">
        <v>33</v>
      </c>
      <c r="BJ202" t="s">
        <v>425</v>
      </c>
      <c r="BK202" t="s">
        <v>102</v>
      </c>
      <c r="BL202" t="s">
        <v>425</v>
      </c>
      <c r="BM202" t="s">
        <v>4198</v>
      </c>
      <c r="BN202" t="s">
        <v>74</v>
      </c>
      <c r="BO202" t="s">
        <v>179</v>
      </c>
      <c r="BP202" t="s">
        <v>3371</v>
      </c>
      <c r="BQ202" t="s">
        <v>3372</v>
      </c>
      <c r="BR202" t="s">
        <v>105</v>
      </c>
      <c r="BS202" t="s">
        <v>4199</v>
      </c>
      <c r="BT202" t="str">
        <f>HYPERLINK("https%3A%2F%2Fwww.webofscience.com%2Fwos%2Fwoscc%2Ffull-record%2FWOS:000345650700001","View Full Record in Web of Science")</f>
        <v>View Full Record in Web of Science</v>
      </c>
    </row>
    <row r="203" spans="1:72" x14ac:dyDescent="0.15">
      <c r="A203" t="s">
        <v>72</v>
      </c>
      <c r="B203" t="s">
        <v>4200</v>
      </c>
      <c r="C203" t="s">
        <v>74</v>
      </c>
      <c r="D203" t="s">
        <v>74</v>
      </c>
      <c r="E203" t="s">
        <v>74</v>
      </c>
      <c r="F203" t="s">
        <v>4201</v>
      </c>
      <c r="G203" t="s">
        <v>74</v>
      </c>
      <c r="H203" t="s">
        <v>74</v>
      </c>
      <c r="I203" t="s">
        <v>4202</v>
      </c>
      <c r="J203" t="s">
        <v>4181</v>
      </c>
      <c r="K203" t="s">
        <v>74</v>
      </c>
      <c r="L203" t="s">
        <v>74</v>
      </c>
      <c r="M203" t="s">
        <v>78</v>
      </c>
      <c r="N203" t="s">
        <v>185</v>
      </c>
      <c r="O203" t="s">
        <v>74</v>
      </c>
      <c r="P203" t="s">
        <v>74</v>
      </c>
      <c r="Q203" t="s">
        <v>74</v>
      </c>
      <c r="R203" t="s">
        <v>74</v>
      </c>
      <c r="S203" t="s">
        <v>74</v>
      </c>
      <c r="T203" t="s">
        <v>74</v>
      </c>
      <c r="U203" t="s">
        <v>4203</v>
      </c>
      <c r="V203" t="s">
        <v>4204</v>
      </c>
      <c r="W203" t="s">
        <v>4205</v>
      </c>
      <c r="X203" t="s">
        <v>4206</v>
      </c>
      <c r="Y203" t="s">
        <v>4207</v>
      </c>
      <c r="Z203" t="s">
        <v>4208</v>
      </c>
      <c r="AA203" t="s">
        <v>4209</v>
      </c>
      <c r="AB203" t="s">
        <v>4210</v>
      </c>
      <c r="AC203" t="s">
        <v>4211</v>
      </c>
      <c r="AD203" t="s">
        <v>678</v>
      </c>
      <c r="AE203" t="s">
        <v>74</v>
      </c>
      <c r="AF203" t="s">
        <v>74</v>
      </c>
      <c r="AG203">
        <v>124</v>
      </c>
      <c r="AH203">
        <v>308</v>
      </c>
      <c r="AI203">
        <v>337</v>
      </c>
      <c r="AJ203">
        <v>9</v>
      </c>
      <c r="AK203">
        <v>109</v>
      </c>
      <c r="AL203" t="s">
        <v>331</v>
      </c>
      <c r="AM203" t="s">
        <v>332</v>
      </c>
      <c r="AN203" t="s">
        <v>333</v>
      </c>
      <c r="AO203" t="s">
        <v>4193</v>
      </c>
      <c r="AP203" t="s">
        <v>4194</v>
      </c>
      <c r="AQ203" t="s">
        <v>74</v>
      </c>
      <c r="AR203" t="s">
        <v>4195</v>
      </c>
      <c r="AS203" t="s">
        <v>4196</v>
      </c>
      <c r="AT203" t="s">
        <v>1791</v>
      </c>
      <c r="AU203">
        <v>2014</v>
      </c>
      <c r="AV203">
        <v>52</v>
      </c>
      <c r="AW203">
        <v>3</v>
      </c>
      <c r="AX203" t="s">
        <v>74</v>
      </c>
      <c r="AY203" t="s">
        <v>74</v>
      </c>
      <c r="AZ203" t="s">
        <v>74</v>
      </c>
      <c r="BA203" t="s">
        <v>74</v>
      </c>
      <c r="BB203">
        <v>243</v>
      </c>
      <c r="BC203">
        <v>282</v>
      </c>
      <c r="BD203" t="s">
        <v>74</v>
      </c>
      <c r="BE203" t="s">
        <v>4212</v>
      </c>
      <c r="BF203" t="str">
        <f>HYPERLINK("http://dx.doi.org/10.1002/2014RG000450","http://dx.doi.org/10.1002/2014RG000450")</f>
        <v>http://dx.doi.org/10.1002/2014RG000450</v>
      </c>
      <c r="BG203" t="s">
        <v>74</v>
      </c>
      <c r="BH203" t="s">
        <v>74</v>
      </c>
      <c r="BI203">
        <v>40</v>
      </c>
      <c r="BJ203" t="s">
        <v>425</v>
      </c>
      <c r="BK203" t="s">
        <v>102</v>
      </c>
      <c r="BL203" t="s">
        <v>425</v>
      </c>
      <c r="BM203" t="s">
        <v>4198</v>
      </c>
      <c r="BN203" t="s">
        <v>74</v>
      </c>
      <c r="BO203" t="s">
        <v>4213</v>
      </c>
      <c r="BP203" t="s">
        <v>3371</v>
      </c>
      <c r="BQ203" t="s">
        <v>3372</v>
      </c>
      <c r="BR203" t="s">
        <v>105</v>
      </c>
      <c r="BS203" t="s">
        <v>4214</v>
      </c>
      <c r="BT203" t="str">
        <f>HYPERLINK("https%3A%2F%2Fwww.webofscience.com%2Fwos%2Fwoscc%2Ffull-record%2FWOS:000345650700003","View Full Record in Web of Science")</f>
        <v>View Full Record in Web of Science</v>
      </c>
    </row>
    <row r="204" spans="1:72" x14ac:dyDescent="0.15">
      <c r="A204" t="s">
        <v>72</v>
      </c>
      <c r="B204" t="s">
        <v>4215</v>
      </c>
      <c r="C204" t="s">
        <v>74</v>
      </c>
      <c r="D204" t="s">
        <v>74</v>
      </c>
      <c r="E204" t="s">
        <v>74</v>
      </c>
      <c r="F204" t="s">
        <v>4216</v>
      </c>
      <c r="G204" t="s">
        <v>74</v>
      </c>
      <c r="H204" t="s">
        <v>74</v>
      </c>
      <c r="I204" t="s">
        <v>4217</v>
      </c>
      <c r="J204" t="s">
        <v>4181</v>
      </c>
      <c r="K204" t="s">
        <v>74</v>
      </c>
      <c r="L204" t="s">
        <v>74</v>
      </c>
      <c r="M204" t="s">
        <v>78</v>
      </c>
      <c r="N204" t="s">
        <v>185</v>
      </c>
      <c r="O204" t="s">
        <v>74</v>
      </c>
      <c r="P204" t="s">
        <v>74</v>
      </c>
      <c r="Q204" t="s">
        <v>74</v>
      </c>
      <c r="R204" t="s">
        <v>74</v>
      </c>
      <c r="S204" t="s">
        <v>74</v>
      </c>
      <c r="T204" t="s">
        <v>74</v>
      </c>
      <c r="U204" t="s">
        <v>4218</v>
      </c>
      <c r="V204" t="s">
        <v>4219</v>
      </c>
      <c r="W204" t="s">
        <v>4220</v>
      </c>
      <c r="X204" t="s">
        <v>4221</v>
      </c>
      <c r="Y204" t="s">
        <v>4222</v>
      </c>
      <c r="Z204" t="s">
        <v>4223</v>
      </c>
      <c r="AA204" t="s">
        <v>4224</v>
      </c>
      <c r="AB204" t="s">
        <v>4225</v>
      </c>
      <c r="AC204" t="s">
        <v>4226</v>
      </c>
      <c r="AD204" t="s">
        <v>4227</v>
      </c>
      <c r="AE204" t="s">
        <v>4228</v>
      </c>
      <c r="AF204" t="s">
        <v>74</v>
      </c>
      <c r="AG204">
        <v>228</v>
      </c>
      <c r="AH204">
        <v>96</v>
      </c>
      <c r="AI204">
        <v>105</v>
      </c>
      <c r="AJ204">
        <v>9</v>
      </c>
      <c r="AK204">
        <v>174</v>
      </c>
      <c r="AL204" t="s">
        <v>331</v>
      </c>
      <c r="AM204" t="s">
        <v>332</v>
      </c>
      <c r="AN204" t="s">
        <v>333</v>
      </c>
      <c r="AO204" t="s">
        <v>4193</v>
      </c>
      <c r="AP204" t="s">
        <v>4194</v>
      </c>
      <c r="AQ204" t="s">
        <v>74</v>
      </c>
      <c r="AR204" t="s">
        <v>4195</v>
      </c>
      <c r="AS204" t="s">
        <v>4196</v>
      </c>
      <c r="AT204" t="s">
        <v>1791</v>
      </c>
      <c r="AU204">
        <v>2014</v>
      </c>
      <c r="AV204">
        <v>52</v>
      </c>
      <c r="AW204">
        <v>3</v>
      </c>
      <c r="AX204" t="s">
        <v>74</v>
      </c>
      <c r="AY204" t="s">
        <v>74</v>
      </c>
      <c r="AZ204" t="s">
        <v>74</v>
      </c>
      <c r="BA204" t="s">
        <v>74</v>
      </c>
      <c r="BB204">
        <v>333</v>
      </c>
      <c r="BC204">
        <v>374</v>
      </c>
      <c r="BD204" t="s">
        <v>74</v>
      </c>
      <c r="BE204" t="s">
        <v>4229</v>
      </c>
      <c r="BF204" t="str">
        <f>HYPERLINK("http://dx.doi.org/10.1002/2013RG000440","http://dx.doi.org/10.1002/2013RG000440")</f>
        <v>http://dx.doi.org/10.1002/2013RG000440</v>
      </c>
      <c r="BG204" t="s">
        <v>74</v>
      </c>
      <c r="BH204" t="s">
        <v>74</v>
      </c>
      <c r="BI204">
        <v>42</v>
      </c>
      <c r="BJ204" t="s">
        <v>425</v>
      </c>
      <c r="BK204" t="s">
        <v>102</v>
      </c>
      <c r="BL204" t="s">
        <v>425</v>
      </c>
      <c r="BM204" t="s">
        <v>4198</v>
      </c>
      <c r="BN204" t="s">
        <v>74</v>
      </c>
      <c r="BO204" t="s">
        <v>827</v>
      </c>
      <c r="BP204" t="s">
        <v>74</v>
      </c>
      <c r="BQ204" t="s">
        <v>74</v>
      </c>
      <c r="BR204" t="s">
        <v>105</v>
      </c>
      <c r="BS204" t="s">
        <v>4230</v>
      </c>
      <c r="BT204" t="str">
        <f>HYPERLINK("https%3A%2F%2Fwww.webofscience.com%2Fwos%2Fwoscc%2Ffull-record%2FWOS:000345650700005","View Full Record in Web of Science")</f>
        <v>View Full Record in Web of Science</v>
      </c>
    </row>
    <row r="205" spans="1:72" x14ac:dyDescent="0.15">
      <c r="A205" t="s">
        <v>72</v>
      </c>
      <c r="B205" t="s">
        <v>4231</v>
      </c>
      <c r="C205" t="s">
        <v>74</v>
      </c>
      <c r="D205" t="s">
        <v>74</v>
      </c>
      <c r="E205" t="s">
        <v>74</v>
      </c>
      <c r="F205" t="s">
        <v>4232</v>
      </c>
      <c r="G205" t="s">
        <v>74</v>
      </c>
      <c r="H205" t="s">
        <v>74</v>
      </c>
      <c r="I205" t="s">
        <v>4233</v>
      </c>
      <c r="J205" t="s">
        <v>4234</v>
      </c>
      <c r="K205" t="s">
        <v>74</v>
      </c>
      <c r="L205" t="s">
        <v>74</v>
      </c>
      <c r="M205" t="s">
        <v>78</v>
      </c>
      <c r="N205" t="s">
        <v>185</v>
      </c>
      <c r="O205" t="s">
        <v>74</v>
      </c>
      <c r="P205" t="s">
        <v>74</v>
      </c>
      <c r="Q205" t="s">
        <v>74</v>
      </c>
      <c r="R205" t="s">
        <v>74</v>
      </c>
      <c r="S205" t="s">
        <v>74</v>
      </c>
      <c r="T205" t="s">
        <v>4235</v>
      </c>
      <c r="U205" t="s">
        <v>4236</v>
      </c>
      <c r="V205" t="s">
        <v>4237</v>
      </c>
      <c r="W205" t="s">
        <v>4238</v>
      </c>
      <c r="X205" t="s">
        <v>4239</v>
      </c>
      <c r="Y205" t="s">
        <v>4240</v>
      </c>
      <c r="Z205" t="s">
        <v>4241</v>
      </c>
      <c r="AA205" t="s">
        <v>4242</v>
      </c>
      <c r="AB205" t="s">
        <v>4243</v>
      </c>
      <c r="AC205" t="s">
        <v>4244</v>
      </c>
      <c r="AD205" t="s">
        <v>4245</v>
      </c>
      <c r="AE205" t="s">
        <v>4246</v>
      </c>
      <c r="AF205" t="s">
        <v>74</v>
      </c>
      <c r="AG205">
        <v>60</v>
      </c>
      <c r="AH205">
        <v>24</v>
      </c>
      <c r="AI205">
        <v>32</v>
      </c>
      <c r="AJ205">
        <v>0</v>
      </c>
      <c r="AK205">
        <v>16</v>
      </c>
      <c r="AL205" t="s">
        <v>224</v>
      </c>
      <c r="AM205" t="s">
        <v>225</v>
      </c>
      <c r="AN205" t="s">
        <v>226</v>
      </c>
      <c r="AO205" t="s">
        <v>4247</v>
      </c>
      <c r="AP205" t="s">
        <v>4248</v>
      </c>
      <c r="AQ205" t="s">
        <v>74</v>
      </c>
      <c r="AR205" t="s">
        <v>4249</v>
      </c>
      <c r="AS205" t="s">
        <v>4250</v>
      </c>
      <c r="AT205" t="s">
        <v>1791</v>
      </c>
      <c r="AU205">
        <v>2014</v>
      </c>
      <c r="AV205">
        <v>35</v>
      </c>
      <c r="AW205">
        <v>5</v>
      </c>
      <c r="AX205" t="s">
        <v>74</v>
      </c>
      <c r="AY205" t="s">
        <v>74</v>
      </c>
      <c r="AZ205" t="s">
        <v>74</v>
      </c>
      <c r="BA205" t="s">
        <v>74</v>
      </c>
      <c r="BB205">
        <v>1123</v>
      </c>
      <c r="BC205">
        <v>1154</v>
      </c>
      <c r="BD205" t="s">
        <v>74</v>
      </c>
      <c r="BE205" t="s">
        <v>4251</v>
      </c>
      <c r="BF205" t="str">
        <f>HYPERLINK("http://dx.doi.org/10.1007/s10712-014-9297-8","http://dx.doi.org/10.1007/s10712-014-9297-8")</f>
        <v>http://dx.doi.org/10.1007/s10712-014-9297-8</v>
      </c>
      <c r="BG205" t="s">
        <v>74</v>
      </c>
      <c r="BH205" t="s">
        <v>74</v>
      </c>
      <c r="BI205">
        <v>32</v>
      </c>
      <c r="BJ205" t="s">
        <v>425</v>
      </c>
      <c r="BK205" t="s">
        <v>102</v>
      </c>
      <c r="BL205" t="s">
        <v>425</v>
      </c>
      <c r="BM205" t="s">
        <v>4252</v>
      </c>
      <c r="BN205" t="s">
        <v>74</v>
      </c>
      <c r="BO205" t="s">
        <v>74</v>
      </c>
      <c r="BP205" t="s">
        <v>74</v>
      </c>
      <c r="BQ205" t="s">
        <v>74</v>
      </c>
      <c r="BR205" t="s">
        <v>105</v>
      </c>
      <c r="BS205" t="s">
        <v>4253</v>
      </c>
      <c r="BT205" t="str">
        <f>HYPERLINK("https%3A%2F%2Fwww.webofscience.com%2Fwos%2Fwoscc%2Ffull-record%2FWOS:000342338800003","View Full Record in Web of Science")</f>
        <v>View Full Record in Web of Science</v>
      </c>
    </row>
    <row r="206" spans="1:72" x14ac:dyDescent="0.15">
      <c r="A206" t="s">
        <v>72</v>
      </c>
      <c r="B206" t="s">
        <v>4254</v>
      </c>
      <c r="C206" t="s">
        <v>74</v>
      </c>
      <c r="D206" t="s">
        <v>74</v>
      </c>
      <c r="E206" t="s">
        <v>74</v>
      </c>
      <c r="F206" t="s">
        <v>4255</v>
      </c>
      <c r="G206" t="s">
        <v>74</v>
      </c>
      <c r="H206" t="s">
        <v>74</v>
      </c>
      <c r="I206" t="s">
        <v>4256</v>
      </c>
      <c r="J206" t="s">
        <v>765</v>
      </c>
      <c r="K206" t="s">
        <v>74</v>
      </c>
      <c r="L206" t="s">
        <v>74</v>
      </c>
      <c r="M206" t="s">
        <v>78</v>
      </c>
      <c r="N206" t="s">
        <v>79</v>
      </c>
      <c r="O206" t="s">
        <v>74</v>
      </c>
      <c r="P206" t="s">
        <v>74</v>
      </c>
      <c r="Q206" t="s">
        <v>74</v>
      </c>
      <c r="R206" t="s">
        <v>74</v>
      </c>
      <c r="S206" t="s">
        <v>74</v>
      </c>
      <c r="T206" t="s">
        <v>4257</v>
      </c>
      <c r="U206" t="s">
        <v>4258</v>
      </c>
      <c r="V206" t="s">
        <v>4259</v>
      </c>
      <c r="W206" t="s">
        <v>4260</v>
      </c>
      <c r="X206" t="s">
        <v>4261</v>
      </c>
      <c r="Y206" t="s">
        <v>4262</v>
      </c>
      <c r="Z206" t="s">
        <v>4263</v>
      </c>
      <c r="AA206" t="s">
        <v>4264</v>
      </c>
      <c r="AB206" t="s">
        <v>4265</v>
      </c>
      <c r="AC206" t="s">
        <v>4266</v>
      </c>
      <c r="AD206" t="s">
        <v>4267</v>
      </c>
      <c r="AE206" t="s">
        <v>4268</v>
      </c>
      <c r="AF206" t="s">
        <v>74</v>
      </c>
      <c r="AG206">
        <v>55</v>
      </c>
      <c r="AH206">
        <v>30</v>
      </c>
      <c r="AI206">
        <v>31</v>
      </c>
      <c r="AJ206">
        <v>0</v>
      </c>
      <c r="AK206">
        <v>32</v>
      </c>
      <c r="AL206" t="s">
        <v>224</v>
      </c>
      <c r="AM206" t="s">
        <v>576</v>
      </c>
      <c r="AN206" t="s">
        <v>778</v>
      </c>
      <c r="AO206" t="s">
        <v>779</v>
      </c>
      <c r="AP206" t="s">
        <v>780</v>
      </c>
      <c r="AQ206" t="s">
        <v>74</v>
      </c>
      <c r="AR206" t="s">
        <v>781</v>
      </c>
      <c r="AS206" t="s">
        <v>782</v>
      </c>
      <c r="AT206" t="s">
        <v>1791</v>
      </c>
      <c r="AU206">
        <v>2014</v>
      </c>
      <c r="AV206">
        <v>37</v>
      </c>
      <c r="AW206">
        <v>9</v>
      </c>
      <c r="AX206" t="s">
        <v>74</v>
      </c>
      <c r="AY206" t="s">
        <v>74</v>
      </c>
      <c r="AZ206" t="s">
        <v>74</v>
      </c>
      <c r="BA206" t="s">
        <v>74</v>
      </c>
      <c r="BB206">
        <v>1235</v>
      </c>
      <c r="BC206">
        <v>1245</v>
      </c>
      <c r="BD206" t="s">
        <v>74</v>
      </c>
      <c r="BE206" t="s">
        <v>4269</v>
      </c>
      <c r="BF206" t="str">
        <f>HYPERLINK("http://dx.doi.org/10.1007/s00300-014-1515-9","http://dx.doi.org/10.1007/s00300-014-1515-9")</f>
        <v>http://dx.doi.org/10.1007/s00300-014-1515-9</v>
      </c>
      <c r="BG206" t="s">
        <v>74</v>
      </c>
      <c r="BH206" t="s">
        <v>74</v>
      </c>
      <c r="BI206">
        <v>11</v>
      </c>
      <c r="BJ206" t="s">
        <v>784</v>
      </c>
      <c r="BK206" t="s">
        <v>102</v>
      </c>
      <c r="BL206" t="s">
        <v>785</v>
      </c>
      <c r="BM206" t="s">
        <v>4046</v>
      </c>
      <c r="BN206" t="s">
        <v>74</v>
      </c>
      <c r="BO206" t="s">
        <v>74</v>
      </c>
      <c r="BP206" t="s">
        <v>74</v>
      </c>
      <c r="BQ206" t="s">
        <v>74</v>
      </c>
      <c r="BR206" t="s">
        <v>105</v>
      </c>
      <c r="BS206" t="s">
        <v>4270</v>
      </c>
      <c r="BT206" t="str">
        <f>HYPERLINK("https%3A%2F%2Fwww.webofscience.com%2Fwos%2Fwoscc%2Ffull-record%2FWOS:000339893400002","View Full Record in Web of Science")</f>
        <v>View Full Record in Web of Science</v>
      </c>
    </row>
    <row r="207" spans="1:72" x14ac:dyDescent="0.15">
      <c r="A207" t="s">
        <v>72</v>
      </c>
      <c r="B207" t="s">
        <v>4271</v>
      </c>
      <c r="C207" t="s">
        <v>74</v>
      </c>
      <c r="D207" t="s">
        <v>74</v>
      </c>
      <c r="E207" t="s">
        <v>74</v>
      </c>
      <c r="F207" t="s">
        <v>4272</v>
      </c>
      <c r="G207" t="s">
        <v>74</v>
      </c>
      <c r="H207" t="s">
        <v>74</v>
      </c>
      <c r="I207" t="s">
        <v>4273</v>
      </c>
      <c r="J207" t="s">
        <v>765</v>
      </c>
      <c r="K207" t="s">
        <v>74</v>
      </c>
      <c r="L207" t="s">
        <v>74</v>
      </c>
      <c r="M207" t="s">
        <v>78</v>
      </c>
      <c r="N207" t="s">
        <v>79</v>
      </c>
      <c r="O207" t="s">
        <v>74</v>
      </c>
      <c r="P207" t="s">
        <v>74</v>
      </c>
      <c r="Q207" t="s">
        <v>74</v>
      </c>
      <c r="R207" t="s">
        <v>74</v>
      </c>
      <c r="S207" t="s">
        <v>74</v>
      </c>
      <c r="T207" t="s">
        <v>4274</v>
      </c>
      <c r="U207" t="s">
        <v>4275</v>
      </c>
      <c r="V207" t="s">
        <v>4276</v>
      </c>
      <c r="W207" t="s">
        <v>4277</v>
      </c>
      <c r="X207" t="s">
        <v>4278</v>
      </c>
      <c r="Y207" t="s">
        <v>4279</v>
      </c>
      <c r="Z207" t="s">
        <v>4280</v>
      </c>
      <c r="AA207" t="s">
        <v>4281</v>
      </c>
      <c r="AB207" t="s">
        <v>4282</v>
      </c>
      <c r="AC207" t="s">
        <v>74</v>
      </c>
      <c r="AD207" t="s">
        <v>74</v>
      </c>
      <c r="AE207" t="s">
        <v>74</v>
      </c>
      <c r="AF207" t="s">
        <v>74</v>
      </c>
      <c r="AG207">
        <v>35</v>
      </c>
      <c r="AH207">
        <v>7</v>
      </c>
      <c r="AI207">
        <v>7</v>
      </c>
      <c r="AJ207">
        <v>0</v>
      </c>
      <c r="AK207">
        <v>14</v>
      </c>
      <c r="AL207" t="s">
        <v>224</v>
      </c>
      <c r="AM207" t="s">
        <v>576</v>
      </c>
      <c r="AN207" t="s">
        <v>778</v>
      </c>
      <c r="AO207" t="s">
        <v>779</v>
      </c>
      <c r="AP207" t="s">
        <v>780</v>
      </c>
      <c r="AQ207" t="s">
        <v>74</v>
      </c>
      <c r="AR207" t="s">
        <v>781</v>
      </c>
      <c r="AS207" t="s">
        <v>782</v>
      </c>
      <c r="AT207" t="s">
        <v>1791</v>
      </c>
      <c r="AU207">
        <v>2014</v>
      </c>
      <c r="AV207">
        <v>37</v>
      </c>
      <c r="AW207">
        <v>9</v>
      </c>
      <c r="AX207" t="s">
        <v>74</v>
      </c>
      <c r="AY207" t="s">
        <v>74</v>
      </c>
      <c r="AZ207" t="s">
        <v>74</v>
      </c>
      <c r="BA207" t="s">
        <v>74</v>
      </c>
      <c r="BB207">
        <v>1261</v>
      </c>
      <c r="BC207">
        <v>1269</v>
      </c>
      <c r="BD207" t="s">
        <v>74</v>
      </c>
      <c r="BE207" t="s">
        <v>4283</v>
      </c>
      <c r="BF207" t="str">
        <f>HYPERLINK("http://dx.doi.org/10.1007/s00300-014-1518-6","http://dx.doi.org/10.1007/s00300-014-1518-6")</f>
        <v>http://dx.doi.org/10.1007/s00300-014-1518-6</v>
      </c>
      <c r="BG207" t="s">
        <v>74</v>
      </c>
      <c r="BH207" t="s">
        <v>74</v>
      </c>
      <c r="BI207">
        <v>9</v>
      </c>
      <c r="BJ207" t="s">
        <v>784</v>
      </c>
      <c r="BK207" t="s">
        <v>102</v>
      </c>
      <c r="BL207" t="s">
        <v>785</v>
      </c>
      <c r="BM207" t="s">
        <v>4046</v>
      </c>
      <c r="BN207" t="s">
        <v>74</v>
      </c>
      <c r="BO207" t="s">
        <v>74</v>
      </c>
      <c r="BP207" t="s">
        <v>74</v>
      </c>
      <c r="BQ207" t="s">
        <v>74</v>
      </c>
      <c r="BR207" t="s">
        <v>105</v>
      </c>
      <c r="BS207" t="s">
        <v>4284</v>
      </c>
      <c r="BT207" t="str">
        <f>HYPERLINK("https%3A%2F%2Fwww.webofscience.com%2Fwos%2Fwoscc%2Ffull-record%2FWOS:000339893400004","View Full Record in Web of Science")</f>
        <v>View Full Record in Web of Science</v>
      </c>
    </row>
    <row r="208" spans="1:72" x14ac:dyDescent="0.15">
      <c r="A208" t="s">
        <v>72</v>
      </c>
      <c r="B208" t="s">
        <v>4285</v>
      </c>
      <c r="C208" t="s">
        <v>74</v>
      </c>
      <c r="D208" t="s">
        <v>74</v>
      </c>
      <c r="E208" t="s">
        <v>74</v>
      </c>
      <c r="F208" t="s">
        <v>4286</v>
      </c>
      <c r="G208" t="s">
        <v>74</v>
      </c>
      <c r="H208" t="s">
        <v>74</v>
      </c>
      <c r="I208" t="s">
        <v>4287</v>
      </c>
      <c r="J208" t="s">
        <v>765</v>
      </c>
      <c r="K208" t="s">
        <v>74</v>
      </c>
      <c r="L208" t="s">
        <v>74</v>
      </c>
      <c r="M208" t="s">
        <v>78</v>
      </c>
      <c r="N208" t="s">
        <v>79</v>
      </c>
      <c r="O208" t="s">
        <v>74</v>
      </c>
      <c r="P208" t="s">
        <v>74</v>
      </c>
      <c r="Q208" t="s">
        <v>74</v>
      </c>
      <c r="R208" t="s">
        <v>74</v>
      </c>
      <c r="S208" t="s">
        <v>74</v>
      </c>
      <c r="T208" t="s">
        <v>4288</v>
      </c>
      <c r="U208" t="s">
        <v>4289</v>
      </c>
      <c r="V208" t="s">
        <v>4290</v>
      </c>
      <c r="W208" t="s">
        <v>4291</v>
      </c>
      <c r="X208" t="s">
        <v>4292</v>
      </c>
      <c r="Y208" t="s">
        <v>4293</v>
      </c>
      <c r="Z208" t="s">
        <v>4294</v>
      </c>
      <c r="AA208" t="s">
        <v>74</v>
      </c>
      <c r="AB208" t="s">
        <v>4295</v>
      </c>
      <c r="AC208" t="s">
        <v>4296</v>
      </c>
      <c r="AD208" t="s">
        <v>4296</v>
      </c>
      <c r="AE208" t="s">
        <v>4297</v>
      </c>
      <c r="AF208" t="s">
        <v>74</v>
      </c>
      <c r="AG208">
        <v>49</v>
      </c>
      <c r="AH208">
        <v>22</v>
      </c>
      <c r="AI208">
        <v>22</v>
      </c>
      <c r="AJ208">
        <v>0</v>
      </c>
      <c r="AK208">
        <v>26</v>
      </c>
      <c r="AL208" t="s">
        <v>224</v>
      </c>
      <c r="AM208" t="s">
        <v>576</v>
      </c>
      <c r="AN208" t="s">
        <v>778</v>
      </c>
      <c r="AO208" t="s">
        <v>779</v>
      </c>
      <c r="AP208" t="s">
        <v>780</v>
      </c>
      <c r="AQ208" t="s">
        <v>74</v>
      </c>
      <c r="AR208" t="s">
        <v>781</v>
      </c>
      <c r="AS208" t="s">
        <v>782</v>
      </c>
      <c r="AT208" t="s">
        <v>1791</v>
      </c>
      <c r="AU208">
        <v>2014</v>
      </c>
      <c r="AV208">
        <v>37</v>
      </c>
      <c r="AW208">
        <v>9</v>
      </c>
      <c r="AX208" t="s">
        <v>74</v>
      </c>
      <c r="AY208" t="s">
        <v>74</v>
      </c>
      <c r="AZ208" t="s">
        <v>74</v>
      </c>
      <c r="BA208" t="s">
        <v>74</v>
      </c>
      <c r="BB208">
        <v>1301</v>
      </c>
      <c r="BC208">
        <v>1308</v>
      </c>
      <c r="BD208" t="s">
        <v>74</v>
      </c>
      <c r="BE208" t="s">
        <v>4298</v>
      </c>
      <c r="BF208" t="str">
        <f>HYPERLINK("http://dx.doi.org/10.1007/s00300-014-1521-y","http://dx.doi.org/10.1007/s00300-014-1521-y")</f>
        <v>http://dx.doi.org/10.1007/s00300-014-1521-y</v>
      </c>
      <c r="BG208" t="s">
        <v>74</v>
      </c>
      <c r="BH208" t="s">
        <v>74</v>
      </c>
      <c r="BI208">
        <v>8</v>
      </c>
      <c r="BJ208" t="s">
        <v>784</v>
      </c>
      <c r="BK208" t="s">
        <v>102</v>
      </c>
      <c r="BL208" t="s">
        <v>785</v>
      </c>
      <c r="BM208" t="s">
        <v>4046</v>
      </c>
      <c r="BN208" t="s">
        <v>74</v>
      </c>
      <c r="BO208" t="s">
        <v>74</v>
      </c>
      <c r="BP208" t="s">
        <v>74</v>
      </c>
      <c r="BQ208" t="s">
        <v>74</v>
      </c>
      <c r="BR208" t="s">
        <v>105</v>
      </c>
      <c r="BS208" t="s">
        <v>4299</v>
      </c>
      <c r="BT208" t="str">
        <f>HYPERLINK("https%3A%2F%2Fwww.webofscience.com%2Fwos%2Fwoscc%2Ffull-record%2FWOS:000339893400007","View Full Record in Web of Science")</f>
        <v>View Full Record in Web of Science</v>
      </c>
    </row>
    <row r="209" spans="1:72" x14ac:dyDescent="0.15">
      <c r="A209" t="s">
        <v>72</v>
      </c>
      <c r="B209" t="s">
        <v>4300</v>
      </c>
      <c r="C209" t="s">
        <v>74</v>
      </c>
      <c r="D209" t="s">
        <v>74</v>
      </c>
      <c r="E209" t="s">
        <v>74</v>
      </c>
      <c r="F209" t="s">
        <v>4301</v>
      </c>
      <c r="G209" t="s">
        <v>74</v>
      </c>
      <c r="H209" t="s">
        <v>74</v>
      </c>
      <c r="I209" t="s">
        <v>4302</v>
      </c>
      <c r="J209" t="s">
        <v>765</v>
      </c>
      <c r="K209" t="s">
        <v>74</v>
      </c>
      <c r="L209" t="s">
        <v>74</v>
      </c>
      <c r="M209" t="s">
        <v>78</v>
      </c>
      <c r="N209" t="s">
        <v>79</v>
      </c>
      <c r="O209" t="s">
        <v>74</v>
      </c>
      <c r="P209" t="s">
        <v>74</v>
      </c>
      <c r="Q209" t="s">
        <v>74</v>
      </c>
      <c r="R209" t="s">
        <v>74</v>
      </c>
      <c r="S209" t="s">
        <v>74</v>
      </c>
      <c r="T209" t="s">
        <v>4303</v>
      </c>
      <c r="U209" t="s">
        <v>4304</v>
      </c>
      <c r="V209" t="s">
        <v>4305</v>
      </c>
      <c r="W209" t="s">
        <v>4306</v>
      </c>
      <c r="X209" t="s">
        <v>4307</v>
      </c>
      <c r="Y209" t="s">
        <v>4308</v>
      </c>
      <c r="Z209" t="s">
        <v>4309</v>
      </c>
      <c r="AA209" t="s">
        <v>74</v>
      </c>
      <c r="AB209" t="s">
        <v>4310</v>
      </c>
      <c r="AC209" t="s">
        <v>4311</v>
      </c>
      <c r="AD209" t="s">
        <v>1726</v>
      </c>
      <c r="AE209" t="s">
        <v>4312</v>
      </c>
      <c r="AF209" t="s">
        <v>74</v>
      </c>
      <c r="AG209">
        <v>21</v>
      </c>
      <c r="AH209">
        <v>3</v>
      </c>
      <c r="AI209">
        <v>4</v>
      </c>
      <c r="AJ209">
        <v>0</v>
      </c>
      <c r="AK209">
        <v>20</v>
      </c>
      <c r="AL209" t="s">
        <v>224</v>
      </c>
      <c r="AM209" t="s">
        <v>576</v>
      </c>
      <c r="AN209" t="s">
        <v>778</v>
      </c>
      <c r="AO209" t="s">
        <v>779</v>
      </c>
      <c r="AP209" t="s">
        <v>780</v>
      </c>
      <c r="AQ209" t="s">
        <v>74</v>
      </c>
      <c r="AR209" t="s">
        <v>781</v>
      </c>
      <c r="AS209" t="s">
        <v>782</v>
      </c>
      <c r="AT209" t="s">
        <v>1791</v>
      </c>
      <c r="AU209">
        <v>2014</v>
      </c>
      <c r="AV209">
        <v>37</v>
      </c>
      <c r="AW209">
        <v>9</v>
      </c>
      <c r="AX209" t="s">
        <v>74</v>
      </c>
      <c r="AY209" t="s">
        <v>74</v>
      </c>
      <c r="AZ209" t="s">
        <v>74</v>
      </c>
      <c r="BA209" t="s">
        <v>74</v>
      </c>
      <c r="BB209">
        <v>1369</v>
      </c>
      <c r="BC209">
        <v>1371</v>
      </c>
      <c r="BD209" t="s">
        <v>74</v>
      </c>
      <c r="BE209" t="s">
        <v>4313</v>
      </c>
      <c r="BF209" t="str">
        <f>HYPERLINK("http://dx.doi.org/10.1007/s00300-014-1525-7","http://dx.doi.org/10.1007/s00300-014-1525-7")</f>
        <v>http://dx.doi.org/10.1007/s00300-014-1525-7</v>
      </c>
      <c r="BG209" t="s">
        <v>74</v>
      </c>
      <c r="BH209" t="s">
        <v>74</v>
      </c>
      <c r="BI209">
        <v>3</v>
      </c>
      <c r="BJ209" t="s">
        <v>784</v>
      </c>
      <c r="BK209" t="s">
        <v>102</v>
      </c>
      <c r="BL209" t="s">
        <v>785</v>
      </c>
      <c r="BM209" t="s">
        <v>4046</v>
      </c>
      <c r="BN209" t="s">
        <v>74</v>
      </c>
      <c r="BO209" t="s">
        <v>262</v>
      </c>
      <c r="BP209" t="s">
        <v>74</v>
      </c>
      <c r="BQ209" t="s">
        <v>74</v>
      </c>
      <c r="BR209" t="s">
        <v>105</v>
      </c>
      <c r="BS209" t="s">
        <v>4314</v>
      </c>
      <c r="BT209" t="str">
        <f>HYPERLINK("https%3A%2F%2Fwww.webofscience.com%2Fwos%2Fwoscc%2Ffull-record%2FWOS:000339893400013","View Full Record in Web of Science")</f>
        <v>View Full Record in Web of Science</v>
      </c>
    </row>
    <row r="210" spans="1:72" x14ac:dyDescent="0.15">
      <c r="A210" t="s">
        <v>72</v>
      </c>
      <c r="B210" t="s">
        <v>4315</v>
      </c>
      <c r="C210" t="s">
        <v>74</v>
      </c>
      <c r="D210" t="s">
        <v>74</v>
      </c>
      <c r="E210" t="s">
        <v>74</v>
      </c>
      <c r="F210" t="s">
        <v>4316</v>
      </c>
      <c r="G210" t="s">
        <v>74</v>
      </c>
      <c r="H210" t="s">
        <v>74</v>
      </c>
      <c r="I210" t="s">
        <v>4317</v>
      </c>
      <c r="J210" t="s">
        <v>4318</v>
      </c>
      <c r="K210" t="s">
        <v>74</v>
      </c>
      <c r="L210" t="s">
        <v>74</v>
      </c>
      <c r="M210" t="s">
        <v>78</v>
      </c>
      <c r="N210" t="s">
        <v>185</v>
      </c>
      <c r="O210" t="s">
        <v>74</v>
      </c>
      <c r="P210" t="s">
        <v>74</v>
      </c>
      <c r="Q210" t="s">
        <v>74</v>
      </c>
      <c r="R210" t="s">
        <v>74</v>
      </c>
      <c r="S210" t="s">
        <v>74</v>
      </c>
      <c r="T210" t="s">
        <v>4319</v>
      </c>
      <c r="U210" t="s">
        <v>4320</v>
      </c>
      <c r="V210" t="s">
        <v>4321</v>
      </c>
      <c r="W210" t="s">
        <v>4322</v>
      </c>
      <c r="X210" t="s">
        <v>4323</v>
      </c>
      <c r="Y210" t="s">
        <v>4324</v>
      </c>
      <c r="Z210" t="s">
        <v>4325</v>
      </c>
      <c r="AA210" t="s">
        <v>4326</v>
      </c>
      <c r="AB210" t="s">
        <v>4327</v>
      </c>
      <c r="AC210" t="s">
        <v>4328</v>
      </c>
      <c r="AD210" t="s">
        <v>4329</v>
      </c>
      <c r="AE210" t="s">
        <v>4330</v>
      </c>
      <c r="AF210" t="s">
        <v>74</v>
      </c>
      <c r="AG210">
        <v>259</v>
      </c>
      <c r="AH210">
        <v>20</v>
      </c>
      <c r="AI210">
        <v>23</v>
      </c>
      <c r="AJ210">
        <v>0</v>
      </c>
      <c r="AK210">
        <v>31</v>
      </c>
      <c r="AL210" t="s">
        <v>753</v>
      </c>
      <c r="AM210" t="s">
        <v>124</v>
      </c>
      <c r="AN210" t="s">
        <v>754</v>
      </c>
      <c r="AO210" t="s">
        <v>4331</v>
      </c>
      <c r="AP210" t="s">
        <v>4332</v>
      </c>
      <c r="AQ210" t="s">
        <v>74</v>
      </c>
      <c r="AR210" t="s">
        <v>4333</v>
      </c>
      <c r="AS210" t="s">
        <v>4334</v>
      </c>
      <c r="AT210" t="s">
        <v>1791</v>
      </c>
      <c r="AU210">
        <v>2014</v>
      </c>
      <c r="AV210">
        <v>26</v>
      </c>
      <c r="AW210">
        <v>2</v>
      </c>
      <c r="AX210" t="s">
        <v>74</v>
      </c>
      <c r="AY210" t="s">
        <v>74</v>
      </c>
      <c r="AZ210" t="s">
        <v>258</v>
      </c>
      <c r="BA210" t="s">
        <v>74</v>
      </c>
      <c r="BB210">
        <v>654</v>
      </c>
      <c r="BC210">
        <v>674</v>
      </c>
      <c r="BD210" t="s">
        <v>74</v>
      </c>
      <c r="BE210" t="s">
        <v>4335</v>
      </c>
      <c r="BF210" t="str">
        <f>HYPERLINK("http://dx.doi.org/10.1016/j.gr.2014.04.002","http://dx.doi.org/10.1016/j.gr.2014.04.002")</f>
        <v>http://dx.doi.org/10.1016/j.gr.2014.04.002</v>
      </c>
      <c r="BG210" t="s">
        <v>74</v>
      </c>
      <c r="BH210" t="s">
        <v>74</v>
      </c>
      <c r="BI210">
        <v>21</v>
      </c>
      <c r="BJ210" t="s">
        <v>685</v>
      </c>
      <c r="BK210" t="s">
        <v>102</v>
      </c>
      <c r="BL210" t="s">
        <v>686</v>
      </c>
      <c r="BM210" t="s">
        <v>4336</v>
      </c>
      <c r="BN210" t="s">
        <v>74</v>
      </c>
      <c r="BO210" t="s">
        <v>74</v>
      </c>
      <c r="BP210" t="s">
        <v>74</v>
      </c>
      <c r="BQ210" t="s">
        <v>74</v>
      </c>
      <c r="BR210" t="s">
        <v>105</v>
      </c>
      <c r="BS210" t="s">
        <v>4337</v>
      </c>
      <c r="BT210" t="str">
        <f>HYPERLINK("https%3A%2F%2Fwww.webofscience.com%2Fwos%2Fwoscc%2Ffull-record%2FWOS:000339037800016","View Full Record in Web of Science")</f>
        <v>View Full Record in Web of Science</v>
      </c>
    </row>
    <row r="211" spans="1:72" x14ac:dyDescent="0.15">
      <c r="A211" t="s">
        <v>72</v>
      </c>
      <c r="B211" t="s">
        <v>4338</v>
      </c>
      <c r="C211" t="s">
        <v>74</v>
      </c>
      <c r="D211" t="s">
        <v>74</v>
      </c>
      <c r="E211" t="s">
        <v>74</v>
      </c>
      <c r="F211" t="s">
        <v>4339</v>
      </c>
      <c r="G211" t="s">
        <v>74</v>
      </c>
      <c r="H211" t="s">
        <v>74</v>
      </c>
      <c r="I211" t="s">
        <v>4340</v>
      </c>
      <c r="J211" t="s">
        <v>4318</v>
      </c>
      <c r="K211" t="s">
        <v>74</v>
      </c>
      <c r="L211" t="s">
        <v>74</v>
      </c>
      <c r="M211" t="s">
        <v>78</v>
      </c>
      <c r="N211" t="s">
        <v>79</v>
      </c>
      <c r="O211" t="s">
        <v>74</v>
      </c>
      <c r="P211" t="s">
        <v>74</v>
      </c>
      <c r="Q211" t="s">
        <v>74</v>
      </c>
      <c r="R211" t="s">
        <v>74</v>
      </c>
      <c r="S211" t="s">
        <v>74</v>
      </c>
      <c r="T211" t="s">
        <v>4341</v>
      </c>
      <c r="U211" t="s">
        <v>4342</v>
      </c>
      <c r="V211" t="s">
        <v>4343</v>
      </c>
      <c r="W211" t="s">
        <v>4344</v>
      </c>
      <c r="X211" t="s">
        <v>4345</v>
      </c>
      <c r="Y211" t="s">
        <v>4346</v>
      </c>
      <c r="Z211" t="s">
        <v>4347</v>
      </c>
      <c r="AA211" t="s">
        <v>4348</v>
      </c>
      <c r="AB211" t="s">
        <v>4349</v>
      </c>
      <c r="AC211" t="s">
        <v>4350</v>
      </c>
      <c r="AD211" t="s">
        <v>4351</v>
      </c>
      <c r="AE211" t="s">
        <v>4352</v>
      </c>
      <c r="AF211" t="s">
        <v>74</v>
      </c>
      <c r="AG211">
        <v>71</v>
      </c>
      <c r="AH211">
        <v>19</v>
      </c>
      <c r="AI211">
        <v>26</v>
      </c>
      <c r="AJ211">
        <v>0</v>
      </c>
      <c r="AK211">
        <v>6</v>
      </c>
      <c r="AL211" t="s">
        <v>753</v>
      </c>
      <c r="AM211" t="s">
        <v>124</v>
      </c>
      <c r="AN211" t="s">
        <v>754</v>
      </c>
      <c r="AO211" t="s">
        <v>4331</v>
      </c>
      <c r="AP211" t="s">
        <v>4332</v>
      </c>
      <c r="AQ211" t="s">
        <v>74</v>
      </c>
      <c r="AR211" t="s">
        <v>4333</v>
      </c>
      <c r="AS211" t="s">
        <v>4334</v>
      </c>
      <c r="AT211" t="s">
        <v>1791</v>
      </c>
      <c r="AU211">
        <v>2014</v>
      </c>
      <c r="AV211">
        <v>26</v>
      </c>
      <c r="AW211">
        <v>2</v>
      </c>
      <c r="AX211" t="s">
        <v>74</v>
      </c>
      <c r="AY211" t="s">
        <v>74</v>
      </c>
      <c r="AZ211" t="s">
        <v>258</v>
      </c>
      <c r="BA211" t="s">
        <v>74</v>
      </c>
      <c r="BB211">
        <v>772</v>
      </c>
      <c r="BC211">
        <v>784</v>
      </c>
      <c r="BD211" t="s">
        <v>74</v>
      </c>
      <c r="BE211" t="s">
        <v>4353</v>
      </c>
      <c r="BF211" t="str">
        <f>HYPERLINK("http://dx.doi.org/10.1016/j.gr.2013.07.016","http://dx.doi.org/10.1016/j.gr.2013.07.016")</f>
        <v>http://dx.doi.org/10.1016/j.gr.2013.07.016</v>
      </c>
      <c r="BG211" t="s">
        <v>74</v>
      </c>
      <c r="BH211" t="s">
        <v>74</v>
      </c>
      <c r="BI211">
        <v>13</v>
      </c>
      <c r="BJ211" t="s">
        <v>685</v>
      </c>
      <c r="BK211" t="s">
        <v>102</v>
      </c>
      <c r="BL211" t="s">
        <v>686</v>
      </c>
      <c r="BM211" t="s">
        <v>4336</v>
      </c>
      <c r="BN211" t="s">
        <v>74</v>
      </c>
      <c r="BO211" t="s">
        <v>74</v>
      </c>
      <c r="BP211" t="s">
        <v>74</v>
      </c>
      <c r="BQ211" t="s">
        <v>74</v>
      </c>
      <c r="BR211" t="s">
        <v>105</v>
      </c>
      <c r="BS211" t="s">
        <v>4354</v>
      </c>
      <c r="BT211" t="str">
        <f>HYPERLINK("https%3A%2F%2Fwww.webofscience.com%2Fwos%2Fwoscc%2Ffull-record%2FWOS:000339037800023","View Full Record in Web of Science")</f>
        <v>View Full Record in Web of Science</v>
      </c>
    </row>
    <row r="212" spans="1:72" x14ac:dyDescent="0.15">
      <c r="A212" t="s">
        <v>72</v>
      </c>
      <c r="B212" t="s">
        <v>4355</v>
      </c>
      <c r="C212" t="s">
        <v>74</v>
      </c>
      <c r="D212" t="s">
        <v>74</v>
      </c>
      <c r="E212" t="s">
        <v>74</v>
      </c>
      <c r="F212" t="s">
        <v>4356</v>
      </c>
      <c r="G212" t="s">
        <v>74</v>
      </c>
      <c r="H212" t="s">
        <v>74</v>
      </c>
      <c r="I212" t="s">
        <v>4357</v>
      </c>
      <c r="J212" t="s">
        <v>4358</v>
      </c>
      <c r="K212" t="s">
        <v>74</v>
      </c>
      <c r="L212" t="s">
        <v>74</v>
      </c>
      <c r="M212" t="s">
        <v>78</v>
      </c>
      <c r="N212" t="s">
        <v>79</v>
      </c>
      <c r="O212" t="s">
        <v>74</v>
      </c>
      <c r="P212" t="s">
        <v>74</v>
      </c>
      <c r="Q212" t="s">
        <v>74</v>
      </c>
      <c r="R212" t="s">
        <v>74</v>
      </c>
      <c r="S212" t="s">
        <v>74</v>
      </c>
      <c r="T212" t="s">
        <v>4359</v>
      </c>
      <c r="U212" t="s">
        <v>4360</v>
      </c>
      <c r="V212" t="s">
        <v>4361</v>
      </c>
      <c r="W212" t="s">
        <v>4362</v>
      </c>
      <c r="X212" t="s">
        <v>4363</v>
      </c>
      <c r="Y212" t="s">
        <v>4364</v>
      </c>
      <c r="Z212" t="s">
        <v>4365</v>
      </c>
      <c r="AA212" t="s">
        <v>74</v>
      </c>
      <c r="AB212" t="s">
        <v>74</v>
      </c>
      <c r="AC212" t="s">
        <v>4366</v>
      </c>
      <c r="AD212" t="s">
        <v>4367</v>
      </c>
      <c r="AE212" t="s">
        <v>4368</v>
      </c>
      <c r="AF212" t="s">
        <v>74</v>
      </c>
      <c r="AG212">
        <v>27</v>
      </c>
      <c r="AH212">
        <v>1</v>
      </c>
      <c r="AI212">
        <v>5</v>
      </c>
      <c r="AJ212">
        <v>0</v>
      </c>
      <c r="AK212">
        <v>34</v>
      </c>
      <c r="AL212" t="s">
        <v>224</v>
      </c>
      <c r="AM212" t="s">
        <v>576</v>
      </c>
      <c r="AN212" t="s">
        <v>778</v>
      </c>
      <c r="AO212" t="s">
        <v>4369</v>
      </c>
      <c r="AP212" t="s">
        <v>4370</v>
      </c>
      <c r="AQ212" t="s">
        <v>74</v>
      </c>
      <c r="AR212" t="s">
        <v>4371</v>
      </c>
      <c r="AS212" t="s">
        <v>4372</v>
      </c>
      <c r="AT212" t="s">
        <v>1791</v>
      </c>
      <c r="AU212">
        <v>2014</v>
      </c>
      <c r="AV212">
        <v>8</v>
      </c>
      <c r="AW212">
        <v>3</v>
      </c>
      <c r="AX212" t="s">
        <v>74</v>
      </c>
      <c r="AY212" t="s">
        <v>74</v>
      </c>
      <c r="AZ212" t="s">
        <v>74</v>
      </c>
      <c r="BA212" t="s">
        <v>74</v>
      </c>
      <c r="BB212">
        <v>385</v>
      </c>
      <c r="BC212">
        <v>392</v>
      </c>
      <c r="BD212" t="s">
        <v>74</v>
      </c>
      <c r="BE212" t="s">
        <v>4373</v>
      </c>
      <c r="BF212" t="str">
        <f>HYPERLINK("http://dx.doi.org/10.1007/s11707-014-0422-2","http://dx.doi.org/10.1007/s11707-014-0422-2")</f>
        <v>http://dx.doi.org/10.1007/s11707-014-0422-2</v>
      </c>
      <c r="BG212" t="s">
        <v>74</v>
      </c>
      <c r="BH212" t="s">
        <v>74</v>
      </c>
      <c r="BI212">
        <v>8</v>
      </c>
      <c r="BJ212" t="s">
        <v>685</v>
      </c>
      <c r="BK212" t="s">
        <v>102</v>
      </c>
      <c r="BL212" t="s">
        <v>686</v>
      </c>
      <c r="BM212" t="s">
        <v>4374</v>
      </c>
      <c r="BN212" t="s">
        <v>74</v>
      </c>
      <c r="BO212" t="s">
        <v>74</v>
      </c>
      <c r="BP212" t="s">
        <v>74</v>
      </c>
      <c r="BQ212" t="s">
        <v>74</v>
      </c>
      <c r="BR212" t="s">
        <v>105</v>
      </c>
      <c r="BS212" t="s">
        <v>4375</v>
      </c>
      <c r="BT212" t="str">
        <f>HYPERLINK("https%3A%2F%2Fwww.webofscience.com%2Fwos%2Fwoscc%2Ffull-record%2FWOS:000338761300007","View Full Record in Web of Science")</f>
        <v>View Full Record in Web of Science</v>
      </c>
    </row>
    <row r="213" spans="1:72" x14ac:dyDescent="0.15">
      <c r="A213" t="s">
        <v>72</v>
      </c>
      <c r="B213" t="s">
        <v>4376</v>
      </c>
      <c r="C213" t="s">
        <v>74</v>
      </c>
      <c r="D213" t="s">
        <v>74</v>
      </c>
      <c r="E213" t="s">
        <v>74</v>
      </c>
      <c r="F213" t="s">
        <v>4377</v>
      </c>
      <c r="G213" t="s">
        <v>74</v>
      </c>
      <c r="H213" t="s">
        <v>74</v>
      </c>
      <c r="I213" t="s">
        <v>4378</v>
      </c>
      <c r="J213" t="s">
        <v>4379</v>
      </c>
      <c r="K213" t="s">
        <v>74</v>
      </c>
      <c r="L213" t="s">
        <v>74</v>
      </c>
      <c r="M213" t="s">
        <v>78</v>
      </c>
      <c r="N213" t="s">
        <v>79</v>
      </c>
      <c r="O213" t="s">
        <v>74</v>
      </c>
      <c r="P213" t="s">
        <v>74</v>
      </c>
      <c r="Q213" t="s">
        <v>74</v>
      </c>
      <c r="R213" t="s">
        <v>74</v>
      </c>
      <c r="S213" t="s">
        <v>74</v>
      </c>
      <c r="T213" t="s">
        <v>4380</v>
      </c>
      <c r="U213" t="s">
        <v>4381</v>
      </c>
      <c r="V213" t="s">
        <v>4382</v>
      </c>
      <c r="W213" t="s">
        <v>4383</v>
      </c>
      <c r="X213" t="s">
        <v>4384</v>
      </c>
      <c r="Y213" t="s">
        <v>4385</v>
      </c>
      <c r="Z213" t="s">
        <v>4386</v>
      </c>
      <c r="AA213" t="s">
        <v>4387</v>
      </c>
      <c r="AB213" t="s">
        <v>4388</v>
      </c>
      <c r="AC213" t="s">
        <v>4389</v>
      </c>
      <c r="AD213" t="s">
        <v>4390</v>
      </c>
      <c r="AE213" t="s">
        <v>4391</v>
      </c>
      <c r="AF213" t="s">
        <v>74</v>
      </c>
      <c r="AG213">
        <v>72</v>
      </c>
      <c r="AH213">
        <v>44</v>
      </c>
      <c r="AI213">
        <v>45</v>
      </c>
      <c r="AJ213">
        <v>0</v>
      </c>
      <c r="AK213">
        <v>94</v>
      </c>
      <c r="AL213" t="s">
        <v>2571</v>
      </c>
      <c r="AM213" t="s">
        <v>654</v>
      </c>
      <c r="AN213" t="s">
        <v>2572</v>
      </c>
      <c r="AO213" t="s">
        <v>4392</v>
      </c>
      <c r="AP213" t="s">
        <v>4393</v>
      </c>
      <c r="AQ213" t="s">
        <v>74</v>
      </c>
      <c r="AR213" t="s">
        <v>4394</v>
      </c>
      <c r="AS213" t="s">
        <v>4395</v>
      </c>
      <c r="AT213" t="s">
        <v>2460</v>
      </c>
      <c r="AU213">
        <v>2014</v>
      </c>
      <c r="AV213">
        <v>142</v>
      </c>
      <c r="AW213" t="s">
        <v>74</v>
      </c>
      <c r="AX213" t="s">
        <v>74</v>
      </c>
      <c r="AY213" t="s">
        <v>74</v>
      </c>
      <c r="AZ213" t="s">
        <v>74</v>
      </c>
      <c r="BA213" t="s">
        <v>74</v>
      </c>
      <c r="BB213">
        <v>60</v>
      </c>
      <c r="BC213">
        <v>69</v>
      </c>
      <c r="BD213" t="s">
        <v>74</v>
      </c>
      <c r="BE213" t="s">
        <v>4396</v>
      </c>
      <c r="BF213" t="str">
        <f>HYPERLINK("http://dx.doi.org/10.1016/j.jenvman.2014.04.019","http://dx.doi.org/10.1016/j.jenvman.2014.04.019")</f>
        <v>http://dx.doi.org/10.1016/j.jenvman.2014.04.019</v>
      </c>
      <c r="BG213" t="s">
        <v>74</v>
      </c>
      <c r="BH213" t="s">
        <v>74</v>
      </c>
      <c r="BI213">
        <v>10</v>
      </c>
      <c r="BJ213" t="s">
        <v>4397</v>
      </c>
      <c r="BK213" t="s">
        <v>102</v>
      </c>
      <c r="BL213" t="s">
        <v>2553</v>
      </c>
      <c r="BM213" t="s">
        <v>4398</v>
      </c>
      <c r="BN213">
        <v>24836716</v>
      </c>
      <c r="BO213" t="s">
        <v>262</v>
      </c>
      <c r="BP213" t="s">
        <v>74</v>
      </c>
      <c r="BQ213" t="s">
        <v>74</v>
      </c>
      <c r="BR213" t="s">
        <v>105</v>
      </c>
      <c r="BS213" t="s">
        <v>4399</v>
      </c>
      <c r="BT213" t="str">
        <f>HYPERLINK("https%3A%2F%2Fwww.webofscience.com%2Fwos%2Fwoscc%2Ffull-record%2FWOS:000338404500009","View Full Record in Web of Science")</f>
        <v>View Full Record in Web of Science</v>
      </c>
    </row>
    <row r="214" spans="1:72" x14ac:dyDescent="0.15">
      <c r="A214" t="s">
        <v>72</v>
      </c>
      <c r="B214" t="s">
        <v>4400</v>
      </c>
      <c r="C214" t="s">
        <v>74</v>
      </c>
      <c r="D214" t="s">
        <v>74</v>
      </c>
      <c r="E214" t="s">
        <v>74</v>
      </c>
      <c r="F214" t="s">
        <v>4401</v>
      </c>
      <c r="G214" t="s">
        <v>74</v>
      </c>
      <c r="H214" t="s">
        <v>74</v>
      </c>
      <c r="I214" t="s">
        <v>4402</v>
      </c>
      <c r="J214" t="s">
        <v>914</v>
      </c>
      <c r="K214" t="s">
        <v>74</v>
      </c>
      <c r="L214" t="s">
        <v>74</v>
      </c>
      <c r="M214" t="s">
        <v>78</v>
      </c>
      <c r="N214" t="s">
        <v>79</v>
      </c>
      <c r="O214" t="s">
        <v>74</v>
      </c>
      <c r="P214" t="s">
        <v>74</v>
      </c>
      <c r="Q214" t="s">
        <v>74</v>
      </c>
      <c r="R214" t="s">
        <v>74</v>
      </c>
      <c r="S214" t="s">
        <v>74</v>
      </c>
      <c r="T214" t="s">
        <v>4403</v>
      </c>
      <c r="U214" t="s">
        <v>4404</v>
      </c>
      <c r="V214" t="s">
        <v>4405</v>
      </c>
      <c r="W214" t="s">
        <v>4406</v>
      </c>
      <c r="X214" t="s">
        <v>2873</v>
      </c>
      <c r="Y214" t="s">
        <v>4407</v>
      </c>
      <c r="Z214" t="s">
        <v>4408</v>
      </c>
      <c r="AA214" t="s">
        <v>74</v>
      </c>
      <c r="AB214" t="s">
        <v>74</v>
      </c>
      <c r="AC214" t="s">
        <v>74</v>
      </c>
      <c r="AD214" t="s">
        <v>74</v>
      </c>
      <c r="AE214" t="s">
        <v>74</v>
      </c>
      <c r="AF214" t="s">
        <v>74</v>
      </c>
      <c r="AG214">
        <v>59</v>
      </c>
      <c r="AH214">
        <v>6</v>
      </c>
      <c r="AI214">
        <v>8</v>
      </c>
      <c r="AJ214">
        <v>0</v>
      </c>
      <c r="AK214">
        <v>38</v>
      </c>
      <c r="AL214" t="s">
        <v>123</v>
      </c>
      <c r="AM214" t="s">
        <v>124</v>
      </c>
      <c r="AN214" t="s">
        <v>125</v>
      </c>
      <c r="AO214" t="s">
        <v>927</v>
      </c>
      <c r="AP214" t="s">
        <v>928</v>
      </c>
      <c r="AQ214" t="s">
        <v>74</v>
      </c>
      <c r="AR214" t="s">
        <v>929</v>
      </c>
      <c r="AS214" t="s">
        <v>930</v>
      </c>
      <c r="AT214" t="s">
        <v>1791</v>
      </c>
      <c r="AU214">
        <v>2014</v>
      </c>
      <c r="AV214">
        <v>458</v>
      </c>
      <c r="AW214" t="s">
        <v>74</v>
      </c>
      <c r="AX214" t="s">
        <v>74</v>
      </c>
      <c r="AY214" t="s">
        <v>74</v>
      </c>
      <c r="AZ214" t="s">
        <v>74</v>
      </c>
      <c r="BA214" t="s">
        <v>74</v>
      </c>
      <c r="BB214">
        <v>57</v>
      </c>
      <c r="BC214">
        <v>63</v>
      </c>
      <c r="BD214" t="s">
        <v>74</v>
      </c>
      <c r="BE214" t="s">
        <v>4409</v>
      </c>
      <c r="BF214" t="str">
        <f>HYPERLINK("http://dx.doi.org/10.1016/j.jembe.2014.05.007","http://dx.doi.org/10.1016/j.jembe.2014.05.007")</f>
        <v>http://dx.doi.org/10.1016/j.jembe.2014.05.007</v>
      </c>
      <c r="BG214" t="s">
        <v>74</v>
      </c>
      <c r="BH214" t="s">
        <v>74</v>
      </c>
      <c r="BI214">
        <v>7</v>
      </c>
      <c r="BJ214" t="s">
        <v>932</v>
      </c>
      <c r="BK214" t="s">
        <v>102</v>
      </c>
      <c r="BL214" t="s">
        <v>933</v>
      </c>
      <c r="BM214" t="s">
        <v>3711</v>
      </c>
      <c r="BN214" t="s">
        <v>74</v>
      </c>
      <c r="BO214" t="s">
        <v>74</v>
      </c>
      <c r="BP214" t="s">
        <v>74</v>
      </c>
      <c r="BQ214" t="s">
        <v>74</v>
      </c>
      <c r="BR214" t="s">
        <v>105</v>
      </c>
      <c r="BS214" t="s">
        <v>4410</v>
      </c>
      <c r="BT214" t="str">
        <f>HYPERLINK("https%3A%2F%2Fwww.webofscience.com%2Fwos%2Fwoscc%2Ffull-record%2FWOS:000338402000009","View Full Record in Web of Science")</f>
        <v>View Full Record in Web of Science</v>
      </c>
    </row>
    <row r="215" spans="1:72" x14ac:dyDescent="0.15">
      <c r="A215" t="s">
        <v>72</v>
      </c>
      <c r="B215" t="s">
        <v>4411</v>
      </c>
      <c r="C215" t="s">
        <v>74</v>
      </c>
      <c r="D215" t="s">
        <v>74</v>
      </c>
      <c r="E215" t="s">
        <v>74</v>
      </c>
      <c r="F215" t="s">
        <v>4412</v>
      </c>
      <c r="G215" t="s">
        <v>74</v>
      </c>
      <c r="H215" t="s">
        <v>74</v>
      </c>
      <c r="I215" t="s">
        <v>4413</v>
      </c>
      <c r="J215" t="s">
        <v>4414</v>
      </c>
      <c r="K215" t="s">
        <v>74</v>
      </c>
      <c r="L215" t="s">
        <v>74</v>
      </c>
      <c r="M215" t="s">
        <v>78</v>
      </c>
      <c r="N215" t="s">
        <v>79</v>
      </c>
      <c r="O215" t="s">
        <v>74</v>
      </c>
      <c r="P215" t="s">
        <v>74</v>
      </c>
      <c r="Q215" t="s">
        <v>74</v>
      </c>
      <c r="R215" t="s">
        <v>74</v>
      </c>
      <c r="S215" t="s">
        <v>74</v>
      </c>
      <c r="T215" t="s">
        <v>4415</v>
      </c>
      <c r="U215" t="s">
        <v>4416</v>
      </c>
      <c r="V215" t="s">
        <v>4417</v>
      </c>
      <c r="W215" t="s">
        <v>4418</v>
      </c>
      <c r="X215" t="s">
        <v>4419</v>
      </c>
      <c r="Y215" t="s">
        <v>4420</v>
      </c>
      <c r="Z215" t="s">
        <v>4421</v>
      </c>
      <c r="AA215" t="s">
        <v>4422</v>
      </c>
      <c r="AB215" t="s">
        <v>4423</v>
      </c>
      <c r="AC215" t="s">
        <v>4424</v>
      </c>
      <c r="AD215" t="s">
        <v>4425</v>
      </c>
      <c r="AE215" t="s">
        <v>4426</v>
      </c>
      <c r="AF215" t="s">
        <v>74</v>
      </c>
      <c r="AG215">
        <v>23</v>
      </c>
      <c r="AH215">
        <v>6</v>
      </c>
      <c r="AI215">
        <v>6</v>
      </c>
      <c r="AJ215">
        <v>0</v>
      </c>
      <c r="AK215">
        <v>28</v>
      </c>
      <c r="AL215" t="s">
        <v>753</v>
      </c>
      <c r="AM215" t="s">
        <v>124</v>
      </c>
      <c r="AN215" t="s">
        <v>754</v>
      </c>
      <c r="AO215" t="s">
        <v>4427</v>
      </c>
      <c r="AP215" t="s">
        <v>4428</v>
      </c>
      <c r="AQ215" t="s">
        <v>74</v>
      </c>
      <c r="AR215" t="s">
        <v>4429</v>
      </c>
      <c r="AS215" t="s">
        <v>4430</v>
      </c>
      <c r="AT215" t="s">
        <v>1791</v>
      </c>
      <c r="AU215">
        <v>2014</v>
      </c>
      <c r="AV215">
        <v>137</v>
      </c>
      <c r="AW215" t="s">
        <v>74</v>
      </c>
      <c r="AX215" t="s">
        <v>74</v>
      </c>
      <c r="AY215" t="s">
        <v>74</v>
      </c>
      <c r="AZ215" t="s">
        <v>74</v>
      </c>
      <c r="BA215" t="s">
        <v>74</v>
      </c>
      <c r="BB215">
        <v>13</v>
      </c>
      <c r="BC215">
        <v>20</v>
      </c>
      <c r="BD215" t="s">
        <v>74</v>
      </c>
      <c r="BE215" t="s">
        <v>4431</v>
      </c>
      <c r="BF215" t="str">
        <f>HYPERLINK("http://dx.doi.org/10.1016/j.jmarsys.2014.04.001","http://dx.doi.org/10.1016/j.jmarsys.2014.04.001")</f>
        <v>http://dx.doi.org/10.1016/j.jmarsys.2014.04.001</v>
      </c>
      <c r="BG215" t="s">
        <v>74</v>
      </c>
      <c r="BH215" t="s">
        <v>74</v>
      </c>
      <c r="BI215">
        <v>8</v>
      </c>
      <c r="BJ215" t="s">
        <v>4432</v>
      </c>
      <c r="BK215" t="s">
        <v>102</v>
      </c>
      <c r="BL215" t="s">
        <v>4433</v>
      </c>
      <c r="BM215" t="s">
        <v>4434</v>
      </c>
      <c r="BN215" t="s">
        <v>74</v>
      </c>
      <c r="BO215" t="s">
        <v>74</v>
      </c>
      <c r="BP215" t="s">
        <v>74</v>
      </c>
      <c r="BQ215" t="s">
        <v>74</v>
      </c>
      <c r="BR215" t="s">
        <v>105</v>
      </c>
      <c r="BS215" t="s">
        <v>4435</v>
      </c>
      <c r="BT215" t="str">
        <f>HYPERLINK("https%3A%2F%2Fwww.webofscience.com%2Fwos%2Fwoscc%2Ffull-record%2FWOS:000337859200002","View Full Record in Web of Science")</f>
        <v>View Full Record in Web of Science</v>
      </c>
    </row>
    <row r="216" spans="1:72" x14ac:dyDescent="0.15">
      <c r="A216" t="s">
        <v>72</v>
      </c>
      <c r="B216" t="s">
        <v>4436</v>
      </c>
      <c r="C216" t="s">
        <v>74</v>
      </c>
      <c r="D216" t="s">
        <v>74</v>
      </c>
      <c r="E216" t="s">
        <v>74</v>
      </c>
      <c r="F216" t="s">
        <v>4437</v>
      </c>
      <c r="G216" t="s">
        <v>74</v>
      </c>
      <c r="H216" t="s">
        <v>74</v>
      </c>
      <c r="I216" t="s">
        <v>4438</v>
      </c>
      <c r="J216" t="s">
        <v>4414</v>
      </c>
      <c r="K216" t="s">
        <v>74</v>
      </c>
      <c r="L216" t="s">
        <v>74</v>
      </c>
      <c r="M216" t="s">
        <v>78</v>
      </c>
      <c r="N216" t="s">
        <v>79</v>
      </c>
      <c r="O216" t="s">
        <v>74</v>
      </c>
      <c r="P216" t="s">
        <v>74</v>
      </c>
      <c r="Q216" t="s">
        <v>74</v>
      </c>
      <c r="R216" t="s">
        <v>74</v>
      </c>
      <c r="S216" t="s">
        <v>74</v>
      </c>
      <c r="T216" t="s">
        <v>4439</v>
      </c>
      <c r="U216" t="s">
        <v>4440</v>
      </c>
      <c r="V216" t="s">
        <v>4441</v>
      </c>
      <c r="W216" t="s">
        <v>4442</v>
      </c>
      <c r="X216" t="s">
        <v>4443</v>
      </c>
      <c r="Y216" t="s">
        <v>4444</v>
      </c>
      <c r="Z216" t="s">
        <v>4445</v>
      </c>
      <c r="AA216" t="s">
        <v>4446</v>
      </c>
      <c r="AB216" t="s">
        <v>4447</v>
      </c>
      <c r="AC216" t="s">
        <v>4448</v>
      </c>
      <c r="AD216" t="s">
        <v>4449</v>
      </c>
      <c r="AE216" t="s">
        <v>4450</v>
      </c>
      <c r="AF216" t="s">
        <v>74</v>
      </c>
      <c r="AG216">
        <v>31</v>
      </c>
      <c r="AH216">
        <v>14</v>
      </c>
      <c r="AI216">
        <v>14</v>
      </c>
      <c r="AJ216">
        <v>0</v>
      </c>
      <c r="AK216">
        <v>64</v>
      </c>
      <c r="AL216" t="s">
        <v>753</v>
      </c>
      <c r="AM216" t="s">
        <v>124</v>
      </c>
      <c r="AN216" t="s">
        <v>754</v>
      </c>
      <c r="AO216" t="s">
        <v>4427</v>
      </c>
      <c r="AP216" t="s">
        <v>4428</v>
      </c>
      <c r="AQ216" t="s">
        <v>74</v>
      </c>
      <c r="AR216" t="s">
        <v>4429</v>
      </c>
      <c r="AS216" t="s">
        <v>4430</v>
      </c>
      <c r="AT216" t="s">
        <v>1791</v>
      </c>
      <c r="AU216">
        <v>2014</v>
      </c>
      <c r="AV216">
        <v>137</v>
      </c>
      <c r="AW216" t="s">
        <v>74</v>
      </c>
      <c r="AX216" t="s">
        <v>74</v>
      </c>
      <c r="AY216" t="s">
        <v>74</v>
      </c>
      <c r="AZ216" t="s">
        <v>74</v>
      </c>
      <c r="BA216" t="s">
        <v>74</v>
      </c>
      <c r="BB216">
        <v>21</v>
      </c>
      <c r="BC216">
        <v>27</v>
      </c>
      <c r="BD216" t="s">
        <v>74</v>
      </c>
      <c r="BE216" t="s">
        <v>4451</v>
      </c>
      <c r="BF216" t="str">
        <f>HYPERLINK("http://dx.doi.org/10.1016/j.jmarsys.2014.04.003","http://dx.doi.org/10.1016/j.jmarsys.2014.04.003")</f>
        <v>http://dx.doi.org/10.1016/j.jmarsys.2014.04.003</v>
      </c>
      <c r="BG216" t="s">
        <v>74</v>
      </c>
      <c r="BH216" t="s">
        <v>74</v>
      </c>
      <c r="BI216">
        <v>7</v>
      </c>
      <c r="BJ216" t="s">
        <v>4432</v>
      </c>
      <c r="BK216" t="s">
        <v>102</v>
      </c>
      <c r="BL216" t="s">
        <v>4433</v>
      </c>
      <c r="BM216" t="s">
        <v>4434</v>
      </c>
      <c r="BN216" t="s">
        <v>74</v>
      </c>
      <c r="BO216" t="s">
        <v>74</v>
      </c>
      <c r="BP216" t="s">
        <v>74</v>
      </c>
      <c r="BQ216" t="s">
        <v>74</v>
      </c>
      <c r="BR216" t="s">
        <v>105</v>
      </c>
      <c r="BS216" t="s">
        <v>4452</v>
      </c>
      <c r="BT216" t="str">
        <f>HYPERLINK("https%3A%2F%2Fwww.webofscience.com%2Fwos%2Fwoscc%2Ffull-record%2FWOS:000337859200003","View Full Record in Web of Science")</f>
        <v>View Full Record in Web of Science</v>
      </c>
    </row>
    <row r="217" spans="1:72" x14ac:dyDescent="0.15">
      <c r="A217" t="s">
        <v>72</v>
      </c>
      <c r="B217" t="s">
        <v>4453</v>
      </c>
      <c r="C217" t="s">
        <v>74</v>
      </c>
      <c r="D217" t="s">
        <v>74</v>
      </c>
      <c r="E217" t="s">
        <v>74</v>
      </c>
      <c r="F217" t="s">
        <v>4454</v>
      </c>
      <c r="G217" t="s">
        <v>74</v>
      </c>
      <c r="H217" t="s">
        <v>74</v>
      </c>
      <c r="I217" t="s">
        <v>4455</v>
      </c>
      <c r="J217" t="s">
        <v>1018</v>
      </c>
      <c r="K217" t="s">
        <v>74</v>
      </c>
      <c r="L217" t="s">
        <v>74</v>
      </c>
      <c r="M217" t="s">
        <v>78</v>
      </c>
      <c r="N217" t="s">
        <v>79</v>
      </c>
      <c r="O217" t="s">
        <v>74</v>
      </c>
      <c r="P217" t="s">
        <v>74</v>
      </c>
      <c r="Q217" t="s">
        <v>74</v>
      </c>
      <c r="R217" t="s">
        <v>74</v>
      </c>
      <c r="S217" t="s">
        <v>74</v>
      </c>
      <c r="T217" t="s">
        <v>4456</v>
      </c>
      <c r="U217" t="s">
        <v>4457</v>
      </c>
      <c r="V217" t="s">
        <v>4458</v>
      </c>
      <c r="W217" t="s">
        <v>4459</v>
      </c>
      <c r="X217" t="s">
        <v>4460</v>
      </c>
      <c r="Y217" t="s">
        <v>4461</v>
      </c>
      <c r="Z217" t="s">
        <v>4462</v>
      </c>
      <c r="AA217" t="s">
        <v>4463</v>
      </c>
      <c r="AB217" t="s">
        <v>4464</v>
      </c>
      <c r="AC217" t="s">
        <v>4465</v>
      </c>
      <c r="AD217" t="s">
        <v>4465</v>
      </c>
      <c r="AE217" t="s">
        <v>4466</v>
      </c>
      <c r="AF217" t="s">
        <v>74</v>
      </c>
      <c r="AG217">
        <v>34</v>
      </c>
      <c r="AH217">
        <v>21</v>
      </c>
      <c r="AI217">
        <v>24</v>
      </c>
      <c r="AJ217">
        <v>0</v>
      </c>
      <c r="AK217">
        <v>25</v>
      </c>
      <c r="AL217" t="s">
        <v>331</v>
      </c>
      <c r="AM217" t="s">
        <v>332</v>
      </c>
      <c r="AN217" t="s">
        <v>333</v>
      </c>
      <c r="AO217" t="s">
        <v>1030</v>
      </c>
      <c r="AP217" t="s">
        <v>1031</v>
      </c>
      <c r="AQ217" t="s">
        <v>74</v>
      </c>
      <c r="AR217" t="s">
        <v>1032</v>
      </c>
      <c r="AS217" t="s">
        <v>1033</v>
      </c>
      <c r="AT217" t="s">
        <v>4467</v>
      </c>
      <c r="AU217">
        <v>2014</v>
      </c>
      <c r="AV217">
        <v>41</v>
      </c>
      <c r="AW217">
        <v>16</v>
      </c>
      <c r="AX217" t="s">
        <v>74</v>
      </c>
      <c r="AY217" t="s">
        <v>74</v>
      </c>
      <c r="AZ217" t="s">
        <v>74</v>
      </c>
      <c r="BA217" t="s">
        <v>74</v>
      </c>
      <c r="BB217">
        <v>5919</v>
      </c>
      <c r="BC217">
        <v>5926</v>
      </c>
      <c r="BD217" t="s">
        <v>74</v>
      </c>
      <c r="BE217" t="s">
        <v>4468</v>
      </c>
      <c r="BF217" t="str">
        <f>HYPERLINK("http://dx.doi.org/10.1002/2014GL060637","http://dx.doi.org/10.1002/2014GL060637")</f>
        <v>http://dx.doi.org/10.1002/2014GL060637</v>
      </c>
      <c r="BG217" t="s">
        <v>74</v>
      </c>
      <c r="BH217" t="s">
        <v>74</v>
      </c>
      <c r="BI217">
        <v>8</v>
      </c>
      <c r="BJ217" t="s">
        <v>685</v>
      </c>
      <c r="BK217" t="s">
        <v>102</v>
      </c>
      <c r="BL217" t="s">
        <v>686</v>
      </c>
      <c r="BM217" t="s">
        <v>4469</v>
      </c>
      <c r="BN217" t="s">
        <v>74</v>
      </c>
      <c r="BO217" t="s">
        <v>1053</v>
      </c>
      <c r="BP217" t="s">
        <v>74</v>
      </c>
      <c r="BQ217" t="s">
        <v>74</v>
      </c>
      <c r="BR217" t="s">
        <v>105</v>
      </c>
      <c r="BS217" t="s">
        <v>4470</v>
      </c>
      <c r="BT217" t="str">
        <f>HYPERLINK("https%3A%2F%2Fwww.webofscience.com%2Fwos%2Fwoscc%2Ffull-record%2FWOS:000342755400031","View Full Record in Web of Science")</f>
        <v>View Full Record in Web of Science</v>
      </c>
    </row>
    <row r="218" spans="1:72" x14ac:dyDescent="0.15">
      <c r="A218" t="s">
        <v>72</v>
      </c>
      <c r="B218" t="s">
        <v>4471</v>
      </c>
      <c r="C218" t="s">
        <v>74</v>
      </c>
      <c r="D218" t="s">
        <v>74</v>
      </c>
      <c r="E218" t="s">
        <v>74</v>
      </c>
      <c r="F218" t="s">
        <v>4472</v>
      </c>
      <c r="G218" t="s">
        <v>74</v>
      </c>
      <c r="H218" t="s">
        <v>74</v>
      </c>
      <c r="I218" t="s">
        <v>4473</v>
      </c>
      <c r="J218" t="s">
        <v>4474</v>
      </c>
      <c r="K218" t="s">
        <v>74</v>
      </c>
      <c r="L218" t="s">
        <v>74</v>
      </c>
      <c r="M218" t="s">
        <v>78</v>
      </c>
      <c r="N218" t="s">
        <v>79</v>
      </c>
      <c r="O218" t="s">
        <v>74</v>
      </c>
      <c r="P218" t="s">
        <v>74</v>
      </c>
      <c r="Q218" t="s">
        <v>74</v>
      </c>
      <c r="R218" t="s">
        <v>74</v>
      </c>
      <c r="S218" t="s">
        <v>74</v>
      </c>
      <c r="T218" t="s">
        <v>74</v>
      </c>
      <c r="U218" t="s">
        <v>4475</v>
      </c>
      <c r="V218" t="s">
        <v>4476</v>
      </c>
      <c r="W218" t="s">
        <v>4477</v>
      </c>
      <c r="X218" t="s">
        <v>4478</v>
      </c>
      <c r="Y218" t="s">
        <v>4479</v>
      </c>
      <c r="Z218" t="s">
        <v>4480</v>
      </c>
      <c r="AA218" t="s">
        <v>74</v>
      </c>
      <c r="AB218" t="s">
        <v>4481</v>
      </c>
      <c r="AC218" t="s">
        <v>4482</v>
      </c>
      <c r="AD218" t="s">
        <v>4483</v>
      </c>
      <c r="AE218" t="s">
        <v>4484</v>
      </c>
      <c r="AF218" t="s">
        <v>74</v>
      </c>
      <c r="AG218">
        <v>26</v>
      </c>
      <c r="AH218">
        <v>26</v>
      </c>
      <c r="AI218">
        <v>31</v>
      </c>
      <c r="AJ218">
        <v>0</v>
      </c>
      <c r="AK218">
        <v>7</v>
      </c>
      <c r="AL218" t="s">
        <v>331</v>
      </c>
      <c r="AM218" t="s">
        <v>332</v>
      </c>
      <c r="AN218" t="s">
        <v>333</v>
      </c>
      <c r="AO218" t="s">
        <v>4485</v>
      </c>
      <c r="AP218" t="s">
        <v>4486</v>
      </c>
      <c r="AQ218" t="s">
        <v>74</v>
      </c>
      <c r="AR218" t="s">
        <v>4487</v>
      </c>
      <c r="AS218" t="s">
        <v>4488</v>
      </c>
      <c r="AT218" t="s">
        <v>4489</v>
      </c>
      <c r="AU218">
        <v>2014</v>
      </c>
      <c r="AV218">
        <v>119</v>
      </c>
      <c r="AW218">
        <v>16</v>
      </c>
      <c r="AX218" t="s">
        <v>74</v>
      </c>
      <c r="AY218" t="s">
        <v>74</v>
      </c>
      <c r="AZ218" t="s">
        <v>74</v>
      </c>
      <c r="BA218" t="s">
        <v>74</v>
      </c>
      <c r="BB218">
        <v>9707</v>
      </c>
      <c r="BC218">
        <v>9718</v>
      </c>
      <c r="BD218" t="s">
        <v>74</v>
      </c>
      <c r="BE218" t="s">
        <v>4490</v>
      </c>
      <c r="BF218" t="str">
        <f>HYPERLINK("http://dx.doi.org/10.1002/2014JD021543","http://dx.doi.org/10.1002/2014JD021543")</f>
        <v>http://dx.doi.org/10.1002/2014JD021543</v>
      </c>
      <c r="BG218" t="s">
        <v>74</v>
      </c>
      <c r="BH218" t="s">
        <v>74</v>
      </c>
      <c r="BI218">
        <v>12</v>
      </c>
      <c r="BJ218" t="s">
        <v>177</v>
      </c>
      <c r="BK218" t="s">
        <v>102</v>
      </c>
      <c r="BL218" t="s">
        <v>177</v>
      </c>
      <c r="BM218" t="s">
        <v>4491</v>
      </c>
      <c r="BN218" t="s">
        <v>74</v>
      </c>
      <c r="BO218" t="s">
        <v>179</v>
      </c>
      <c r="BP218" t="s">
        <v>74</v>
      </c>
      <c r="BQ218" t="s">
        <v>74</v>
      </c>
      <c r="BR218" t="s">
        <v>105</v>
      </c>
      <c r="BS218" t="s">
        <v>4492</v>
      </c>
      <c r="BT218" t="str">
        <f>HYPERLINK("https%3A%2F%2Fwww.webofscience.com%2Fwos%2Fwoscc%2Ffull-record%2FWOS:000341994000008","View Full Record in Web of Science")</f>
        <v>View Full Record in Web of Science</v>
      </c>
    </row>
    <row r="219" spans="1:72" x14ac:dyDescent="0.15">
      <c r="A219" t="s">
        <v>72</v>
      </c>
      <c r="B219" t="s">
        <v>4493</v>
      </c>
      <c r="C219" t="s">
        <v>74</v>
      </c>
      <c r="D219" t="s">
        <v>74</v>
      </c>
      <c r="E219" t="s">
        <v>74</v>
      </c>
      <c r="F219" t="s">
        <v>4494</v>
      </c>
      <c r="G219" t="s">
        <v>74</v>
      </c>
      <c r="H219" t="s">
        <v>74</v>
      </c>
      <c r="I219" t="s">
        <v>4495</v>
      </c>
      <c r="J219" t="s">
        <v>4474</v>
      </c>
      <c r="K219" t="s">
        <v>74</v>
      </c>
      <c r="L219" t="s">
        <v>74</v>
      </c>
      <c r="M219" t="s">
        <v>78</v>
      </c>
      <c r="N219" t="s">
        <v>79</v>
      </c>
      <c r="O219" t="s">
        <v>74</v>
      </c>
      <c r="P219" t="s">
        <v>74</v>
      </c>
      <c r="Q219" t="s">
        <v>74</v>
      </c>
      <c r="R219" t="s">
        <v>74</v>
      </c>
      <c r="S219" t="s">
        <v>74</v>
      </c>
      <c r="T219" t="s">
        <v>74</v>
      </c>
      <c r="U219" t="s">
        <v>4496</v>
      </c>
      <c r="V219" t="s">
        <v>4497</v>
      </c>
      <c r="W219" t="s">
        <v>4498</v>
      </c>
      <c r="X219" t="s">
        <v>4499</v>
      </c>
      <c r="Y219" t="s">
        <v>4500</v>
      </c>
      <c r="Z219" t="s">
        <v>4501</v>
      </c>
      <c r="AA219" t="s">
        <v>4502</v>
      </c>
      <c r="AB219" t="s">
        <v>4503</v>
      </c>
      <c r="AC219" t="s">
        <v>4504</v>
      </c>
      <c r="AD219" t="s">
        <v>4505</v>
      </c>
      <c r="AE219" t="s">
        <v>4506</v>
      </c>
      <c r="AF219" t="s">
        <v>74</v>
      </c>
      <c r="AG219">
        <v>71</v>
      </c>
      <c r="AH219">
        <v>30</v>
      </c>
      <c r="AI219">
        <v>32</v>
      </c>
      <c r="AJ219">
        <v>2</v>
      </c>
      <c r="AK219">
        <v>15</v>
      </c>
      <c r="AL219" t="s">
        <v>331</v>
      </c>
      <c r="AM219" t="s">
        <v>332</v>
      </c>
      <c r="AN219" t="s">
        <v>333</v>
      </c>
      <c r="AO219" t="s">
        <v>4485</v>
      </c>
      <c r="AP219" t="s">
        <v>4486</v>
      </c>
      <c r="AQ219" t="s">
        <v>74</v>
      </c>
      <c r="AR219" t="s">
        <v>4487</v>
      </c>
      <c r="AS219" t="s">
        <v>4488</v>
      </c>
      <c r="AT219" t="s">
        <v>4489</v>
      </c>
      <c r="AU219">
        <v>2014</v>
      </c>
      <c r="AV219">
        <v>119</v>
      </c>
      <c r="AW219">
        <v>16</v>
      </c>
      <c r="AX219" t="s">
        <v>74</v>
      </c>
      <c r="AY219" t="s">
        <v>74</v>
      </c>
      <c r="AZ219" t="s">
        <v>74</v>
      </c>
      <c r="BA219" t="s">
        <v>74</v>
      </c>
      <c r="BB219">
        <v>10027</v>
      </c>
      <c r="BC219">
        <v>10043</v>
      </c>
      <c r="BD219" t="s">
        <v>74</v>
      </c>
      <c r="BE219" t="s">
        <v>4507</v>
      </c>
      <c r="BF219" t="str">
        <f>HYPERLINK("http://dx.doi.org/10.1002/2014JD021787","http://dx.doi.org/10.1002/2014JD021787")</f>
        <v>http://dx.doi.org/10.1002/2014JD021787</v>
      </c>
      <c r="BG219" t="s">
        <v>74</v>
      </c>
      <c r="BH219" t="s">
        <v>74</v>
      </c>
      <c r="BI219">
        <v>17</v>
      </c>
      <c r="BJ219" t="s">
        <v>177</v>
      </c>
      <c r="BK219" t="s">
        <v>102</v>
      </c>
      <c r="BL219" t="s">
        <v>177</v>
      </c>
      <c r="BM219" t="s">
        <v>4491</v>
      </c>
      <c r="BN219" t="s">
        <v>74</v>
      </c>
      <c r="BO219" t="s">
        <v>2037</v>
      </c>
      <c r="BP219" t="s">
        <v>74</v>
      </c>
      <c r="BQ219" t="s">
        <v>74</v>
      </c>
      <c r="BR219" t="s">
        <v>105</v>
      </c>
      <c r="BS219" t="s">
        <v>4508</v>
      </c>
      <c r="BT219" t="str">
        <f>HYPERLINK("https%3A%2F%2Fwww.webofscience.com%2Fwos%2Fwoscc%2Ffull-record%2FWOS:000341994000027","View Full Record in Web of Science")</f>
        <v>View Full Record in Web of Science</v>
      </c>
    </row>
    <row r="220" spans="1:72" x14ac:dyDescent="0.15">
      <c r="A220" t="s">
        <v>72</v>
      </c>
      <c r="B220" t="s">
        <v>4509</v>
      </c>
      <c r="C220" t="s">
        <v>74</v>
      </c>
      <c r="D220" t="s">
        <v>74</v>
      </c>
      <c r="E220" t="s">
        <v>74</v>
      </c>
      <c r="F220" t="s">
        <v>4510</v>
      </c>
      <c r="G220" t="s">
        <v>74</v>
      </c>
      <c r="H220" t="s">
        <v>74</v>
      </c>
      <c r="I220" t="s">
        <v>4511</v>
      </c>
      <c r="J220" t="s">
        <v>1083</v>
      </c>
      <c r="K220" t="s">
        <v>74</v>
      </c>
      <c r="L220" t="s">
        <v>74</v>
      </c>
      <c r="M220" t="s">
        <v>78</v>
      </c>
      <c r="N220" t="s">
        <v>79</v>
      </c>
      <c r="O220" t="s">
        <v>74</v>
      </c>
      <c r="P220" t="s">
        <v>74</v>
      </c>
      <c r="Q220" t="s">
        <v>74</v>
      </c>
      <c r="R220" t="s">
        <v>74</v>
      </c>
      <c r="S220" t="s">
        <v>74</v>
      </c>
      <c r="T220" t="s">
        <v>74</v>
      </c>
      <c r="U220" t="s">
        <v>4512</v>
      </c>
      <c r="V220" t="s">
        <v>4513</v>
      </c>
      <c r="W220" t="s">
        <v>4514</v>
      </c>
      <c r="X220" t="s">
        <v>4515</v>
      </c>
      <c r="Y220" t="s">
        <v>4516</v>
      </c>
      <c r="Z220" t="s">
        <v>4517</v>
      </c>
      <c r="AA220" t="s">
        <v>4518</v>
      </c>
      <c r="AB220" t="s">
        <v>4519</v>
      </c>
      <c r="AC220" t="s">
        <v>4520</v>
      </c>
      <c r="AD220" t="s">
        <v>4521</v>
      </c>
      <c r="AE220" t="s">
        <v>4522</v>
      </c>
      <c r="AF220" t="s">
        <v>74</v>
      </c>
      <c r="AG220">
        <v>140</v>
      </c>
      <c r="AH220">
        <v>15</v>
      </c>
      <c r="AI220">
        <v>19</v>
      </c>
      <c r="AJ220">
        <v>0</v>
      </c>
      <c r="AK220">
        <v>17</v>
      </c>
      <c r="AL220" t="s">
        <v>1090</v>
      </c>
      <c r="AM220" t="s">
        <v>1091</v>
      </c>
      <c r="AN220" t="s">
        <v>1092</v>
      </c>
      <c r="AO220" t="s">
        <v>1093</v>
      </c>
      <c r="AP220" t="s">
        <v>74</v>
      </c>
      <c r="AQ220" t="s">
        <v>74</v>
      </c>
      <c r="AR220" t="s">
        <v>1083</v>
      </c>
      <c r="AS220" t="s">
        <v>1094</v>
      </c>
      <c r="AT220" t="s">
        <v>4523</v>
      </c>
      <c r="AU220">
        <v>2014</v>
      </c>
      <c r="AV220">
        <v>9</v>
      </c>
      <c r="AW220">
        <v>8</v>
      </c>
      <c r="AX220" t="s">
        <v>74</v>
      </c>
      <c r="AY220" t="s">
        <v>74</v>
      </c>
      <c r="AZ220" t="s">
        <v>74</v>
      </c>
      <c r="BA220" t="s">
        <v>74</v>
      </c>
      <c r="BB220" t="s">
        <v>74</v>
      </c>
      <c r="BC220" t="s">
        <v>74</v>
      </c>
      <c r="BD220" t="s">
        <v>4524</v>
      </c>
      <c r="BE220" t="s">
        <v>4525</v>
      </c>
      <c r="BF220" t="str">
        <f>HYPERLINK("http://dx.doi.org/10.1371/journal.pone.0101268","http://dx.doi.org/10.1371/journal.pone.0101268")</f>
        <v>http://dx.doi.org/10.1371/journal.pone.0101268</v>
      </c>
      <c r="BG220" t="s">
        <v>74</v>
      </c>
      <c r="BH220" t="s">
        <v>74</v>
      </c>
      <c r="BI220">
        <v>36</v>
      </c>
      <c r="BJ220" t="s">
        <v>660</v>
      </c>
      <c r="BK220" t="s">
        <v>102</v>
      </c>
      <c r="BL220" t="s">
        <v>661</v>
      </c>
      <c r="BM220" t="s">
        <v>4526</v>
      </c>
      <c r="BN220">
        <v>25153524</v>
      </c>
      <c r="BO220" t="s">
        <v>4527</v>
      </c>
      <c r="BP220" t="s">
        <v>74</v>
      </c>
      <c r="BQ220" t="s">
        <v>74</v>
      </c>
      <c r="BR220" t="s">
        <v>105</v>
      </c>
      <c r="BS220" t="s">
        <v>4528</v>
      </c>
      <c r="BT220" t="str">
        <f>HYPERLINK("https%3A%2F%2Fwww.webofscience.com%2Fwos%2Fwoscc%2Ffull-record%2FWOS:000340952200003","View Full Record in Web of Science")</f>
        <v>View Full Record in Web of Science</v>
      </c>
    </row>
    <row r="221" spans="1:72" x14ac:dyDescent="0.15">
      <c r="A221" t="s">
        <v>72</v>
      </c>
      <c r="B221" t="s">
        <v>4529</v>
      </c>
      <c r="C221" t="s">
        <v>74</v>
      </c>
      <c r="D221" t="s">
        <v>74</v>
      </c>
      <c r="E221" t="s">
        <v>74</v>
      </c>
      <c r="F221" t="s">
        <v>4530</v>
      </c>
      <c r="G221" t="s">
        <v>74</v>
      </c>
      <c r="H221" t="s">
        <v>4531</v>
      </c>
      <c r="I221" t="s">
        <v>4532</v>
      </c>
      <c r="J221" t="s">
        <v>1129</v>
      </c>
      <c r="K221" t="s">
        <v>74</v>
      </c>
      <c r="L221" t="s">
        <v>74</v>
      </c>
      <c r="M221" t="s">
        <v>78</v>
      </c>
      <c r="N221" t="s">
        <v>79</v>
      </c>
      <c r="O221" t="s">
        <v>74</v>
      </c>
      <c r="P221" t="s">
        <v>74</v>
      </c>
      <c r="Q221" t="s">
        <v>74</v>
      </c>
      <c r="R221" t="s">
        <v>74</v>
      </c>
      <c r="S221" t="s">
        <v>74</v>
      </c>
      <c r="T221" t="s">
        <v>74</v>
      </c>
      <c r="U221" t="s">
        <v>4533</v>
      </c>
      <c r="V221" t="s">
        <v>4534</v>
      </c>
      <c r="W221" t="s">
        <v>4535</v>
      </c>
      <c r="X221" t="s">
        <v>4536</v>
      </c>
      <c r="Y221" t="s">
        <v>4537</v>
      </c>
      <c r="Z221" t="s">
        <v>4538</v>
      </c>
      <c r="AA221" t="s">
        <v>4539</v>
      </c>
      <c r="AB221" t="s">
        <v>4540</v>
      </c>
      <c r="AC221" t="s">
        <v>4541</v>
      </c>
      <c r="AD221" t="s">
        <v>4542</v>
      </c>
      <c r="AE221" t="s">
        <v>4543</v>
      </c>
      <c r="AF221" t="s">
        <v>74</v>
      </c>
      <c r="AG221">
        <v>50</v>
      </c>
      <c r="AH221">
        <v>196</v>
      </c>
      <c r="AI221">
        <v>220</v>
      </c>
      <c r="AJ221">
        <v>4</v>
      </c>
      <c r="AK221">
        <v>522</v>
      </c>
      <c r="AL221" t="s">
        <v>653</v>
      </c>
      <c r="AM221" t="s">
        <v>654</v>
      </c>
      <c r="AN221" t="s">
        <v>655</v>
      </c>
      <c r="AO221" t="s">
        <v>1135</v>
      </c>
      <c r="AP221" t="s">
        <v>1136</v>
      </c>
      <c r="AQ221" t="s">
        <v>74</v>
      </c>
      <c r="AR221" t="s">
        <v>1129</v>
      </c>
      <c r="AS221" t="s">
        <v>1137</v>
      </c>
      <c r="AT221" t="s">
        <v>4544</v>
      </c>
      <c r="AU221">
        <v>2014</v>
      </c>
      <c r="AV221">
        <v>512</v>
      </c>
      <c r="AW221">
        <v>7514</v>
      </c>
      <c r="AX221" t="s">
        <v>74</v>
      </c>
      <c r="AY221" t="s">
        <v>74</v>
      </c>
      <c r="AZ221" t="s">
        <v>74</v>
      </c>
      <c r="BA221" t="s">
        <v>74</v>
      </c>
      <c r="BB221">
        <v>310</v>
      </c>
      <c r="BC221" t="s">
        <v>4545</v>
      </c>
      <c r="BD221" t="s">
        <v>74</v>
      </c>
      <c r="BE221" t="s">
        <v>4546</v>
      </c>
      <c r="BF221" t="str">
        <f>HYPERLINK("http://dx.doi.org/10.1038/nature13667","http://dx.doi.org/10.1038/nature13667")</f>
        <v>http://dx.doi.org/10.1038/nature13667</v>
      </c>
      <c r="BG221" t="s">
        <v>74</v>
      </c>
      <c r="BH221" t="s">
        <v>74</v>
      </c>
      <c r="BI221">
        <v>8</v>
      </c>
      <c r="BJ221" t="s">
        <v>660</v>
      </c>
      <c r="BK221" t="s">
        <v>102</v>
      </c>
      <c r="BL221" t="s">
        <v>661</v>
      </c>
      <c r="BM221" t="s">
        <v>4547</v>
      </c>
      <c r="BN221">
        <v>25143114</v>
      </c>
      <c r="BO221" t="s">
        <v>262</v>
      </c>
      <c r="BP221" t="s">
        <v>74</v>
      </c>
      <c r="BQ221" t="s">
        <v>74</v>
      </c>
      <c r="BR221" t="s">
        <v>105</v>
      </c>
      <c r="BS221" t="s">
        <v>4548</v>
      </c>
      <c r="BT221" t="str">
        <f>HYPERLINK("https%3A%2F%2Fwww.webofscience.com%2Fwos%2Fwoscc%2Ffull-record%2FWOS:000340508200035","View Full Record in Web of Science")</f>
        <v>View Full Record in Web of Science</v>
      </c>
    </row>
    <row r="222" spans="1:72" x14ac:dyDescent="0.15">
      <c r="A222" t="s">
        <v>72</v>
      </c>
      <c r="B222" t="s">
        <v>4549</v>
      </c>
      <c r="C222" t="s">
        <v>74</v>
      </c>
      <c r="D222" t="s">
        <v>74</v>
      </c>
      <c r="E222" t="s">
        <v>74</v>
      </c>
      <c r="F222" t="s">
        <v>4550</v>
      </c>
      <c r="G222" t="s">
        <v>74</v>
      </c>
      <c r="H222" t="s">
        <v>74</v>
      </c>
      <c r="I222" t="s">
        <v>4551</v>
      </c>
      <c r="J222" t="s">
        <v>2924</v>
      </c>
      <c r="K222" t="s">
        <v>74</v>
      </c>
      <c r="L222" t="s">
        <v>74</v>
      </c>
      <c r="M222" t="s">
        <v>78</v>
      </c>
      <c r="N222" t="s">
        <v>79</v>
      </c>
      <c r="O222" t="s">
        <v>74</v>
      </c>
      <c r="P222" t="s">
        <v>74</v>
      </c>
      <c r="Q222" t="s">
        <v>74</v>
      </c>
      <c r="R222" t="s">
        <v>74</v>
      </c>
      <c r="S222" t="s">
        <v>74</v>
      </c>
      <c r="T222" t="s">
        <v>4552</v>
      </c>
      <c r="U222" t="s">
        <v>4553</v>
      </c>
      <c r="V222" t="s">
        <v>4554</v>
      </c>
      <c r="W222" t="s">
        <v>4555</v>
      </c>
      <c r="X222" t="s">
        <v>4556</v>
      </c>
      <c r="Y222" t="s">
        <v>4557</v>
      </c>
      <c r="Z222" t="s">
        <v>74</v>
      </c>
      <c r="AA222" t="s">
        <v>4558</v>
      </c>
      <c r="AB222" t="s">
        <v>4559</v>
      </c>
      <c r="AC222" t="s">
        <v>4560</v>
      </c>
      <c r="AD222" t="s">
        <v>4561</v>
      </c>
      <c r="AE222" t="s">
        <v>4562</v>
      </c>
      <c r="AF222" t="s">
        <v>74</v>
      </c>
      <c r="AG222">
        <v>128</v>
      </c>
      <c r="AH222">
        <v>66</v>
      </c>
      <c r="AI222">
        <v>72</v>
      </c>
      <c r="AJ222">
        <v>0</v>
      </c>
      <c r="AK222">
        <v>15</v>
      </c>
      <c r="AL222" t="s">
        <v>1805</v>
      </c>
      <c r="AM222" t="s">
        <v>1806</v>
      </c>
      <c r="AN222" t="s">
        <v>1807</v>
      </c>
      <c r="AO222" t="s">
        <v>2937</v>
      </c>
      <c r="AP222" t="s">
        <v>2938</v>
      </c>
      <c r="AQ222" t="s">
        <v>74</v>
      </c>
      <c r="AR222" t="s">
        <v>2939</v>
      </c>
      <c r="AS222" t="s">
        <v>2940</v>
      </c>
      <c r="AT222" t="s">
        <v>4563</v>
      </c>
      <c r="AU222">
        <v>2014</v>
      </c>
      <c r="AV222">
        <v>791</v>
      </c>
      <c r="AW222">
        <v>2</v>
      </c>
      <c r="AX222" t="s">
        <v>74</v>
      </c>
      <c r="AY222" t="s">
        <v>74</v>
      </c>
      <c r="AZ222" t="s">
        <v>74</v>
      </c>
      <c r="BA222" t="s">
        <v>74</v>
      </c>
      <c r="BB222" t="s">
        <v>74</v>
      </c>
      <c r="BC222" t="s">
        <v>74</v>
      </c>
      <c r="BD222">
        <v>120</v>
      </c>
      <c r="BE222" t="s">
        <v>4564</v>
      </c>
      <c r="BF222" t="str">
        <f>HYPERLINK("http://dx.doi.org/10.1088/0004-637X/791/2/120","http://dx.doi.org/10.1088/0004-637X/791/2/120")</f>
        <v>http://dx.doi.org/10.1088/0004-637X/791/2/120</v>
      </c>
      <c r="BG222" t="s">
        <v>74</v>
      </c>
      <c r="BH222" t="s">
        <v>74</v>
      </c>
      <c r="BI222">
        <v>22</v>
      </c>
      <c r="BJ222" t="s">
        <v>339</v>
      </c>
      <c r="BK222" t="s">
        <v>102</v>
      </c>
      <c r="BL222" t="s">
        <v>339</v>
      </c>
      <c r="BM222" t="s">
        <v>4565</v>
      </c>
      <c r="BN222" t="s">
        <v>74</v>
      </c>
      <c r="BO222" t="s">
        <v>4566</v>
      </c>
      <c r="BP222" t="s">
        <v>74</v>
      </c>
      <c r="BQ222" t="s">
        <v>74</v>
      </c>
      <c r="BR222" t="s">
        <v>105</v>
      </c>
      <c r="BS222" t="s">
        <v>4567</v>
      </c>
      <c r="BT222" t="str">
        <f>HYPERLINK("https%3A%2F%2Fwww.webofscience.com%2Fwos%2Fwoscc%2Ffull-record%2FWOS:000340028400047","View Full Record in Web of Science")</f>
        <v>View Full Record in Web of Science</v>
      </c>
    </row>
    <row r="223" spans="1:72" x14ac:dyDescent="0.15">
      <c r="A223" t="s">
        <v>72</v>
      </c>
      <c r="B223" t="s">
        <v>4568</v>
      </c>
      <c r="C223" t="s">
        <v>74</v>
      </c>
      <c r="D223" t="s">
        <v>74</v>
      </c>
      <c r="E223" t="s">
        <v>74</v>
      </c>
      <c r="F223" t="s">
        <v>4569</v>
      </c>
      <c r="G223" t="s">
        <v>74</v>
      </c>
      <c r="H223" t="s">
        <v>74</v>
      </c>
      <c r="I223" t="s">
        <v>4570</v>
      </c>
      <c r="J223" t="s">
        <v>1018</v>
      </c>
      <c r="K223" t="s">
        <v>74</v>
      </c>
      <c r="L223" t="s">
        <v>74</v>
      </c>
      <c r="M223" t="s">
        <v>78</v>
      </c>
      <c r="N223" t="s">
        <v>79</v>
      </c>
      <c r="O223" t="s">
        <v>74</v>
      </c>
      <c r="P223" t="s">
        <v>74</v>
      </c>
      <c r="Q223" t="s">
        <v>74</v>
      </c>
      <c r="R223" t="s">
        <v>74</v>
      </c>
      <c r="S223" t="s">
        <v>74</v>
      </c>
      <c r="T223" t="s">
        <v>4571</v>
      </c>
      <c r="U223" t="s">
        <v>4572</v>
      </c>
      <c r="V223" t="s">
        <v>4573</v>
      </c>
      <c r="W223" t="s">
        <v>4574</v>
      </c>
      <c r="X223" t="s">
        <v>4575</v>
      </c>
      <c r="Y223" t="s">
        <v>4576</v>
      </c>
      <c r="Z223" t="s">
        <v>4577</v>
      </c>
      <c r="AA223" t="s">
        <v>4578</v>
      </c>
      <c r="AB223" t="s">
        <v>4579</v>
      </c>
      <c r="AC223" t="s">
        <v>4580</v>
      </c>
      <c r="AD223" t="s">
        <v>4581</v>
      </c>
      <c r="AE223" t="s">
        <v>4582</v>
      </c>
      <c r="AF223" t="s">
        <v>74</v>
      </c>
      <c r="AG223">
        <v>40</v>
      </c>
      <c r="AH223">
        <v>54</v>
      </c>
      <c r="AI223">
        <v>54</v>
      </c>
      <c r="AJ223">
        <v>0</v>
      </c>
      <c r="AK223">
        <v>11</v>
      </c>
      <c r="AL223" t="s">
        <v>331</v>
      </c>
      <c r="AM223" t="s">
        <v>332</v>
      </c>
      <c r="AN223" t="s">
        <v>333</v>
      </c>
      <c r="AO223" t="s">
        <v>1030</v>
      </c>
      <c r="AP223" t="s">
        <v>1031</v>
      </c>
      <c r="AQ223" t="s">
        <v>74</v>
      </c>
      <c r="AR223" t="s">
        <v>1032</v>
      </c>
      <c r="AS223" t="s">
        <v>1033</v>
      </c>
      <c r="AT223" t="s">
        <v>4583</v>
      </c>
      <c r="AU223">
        <v>2014</v>
      </c>
      <c r="AV223">
        <v>41</v>
      </c>
      <c r="AW223">
        <v>15</v>
      </c>
      <c r="AX223" t="s">
        <v>74</v>
      </c>
      <c r="AY223" t="s">
        <v>74</v>
      </c>
      <c r="AZ223" t="s">
        <v>74</v>
      </c>
      <c r="BA223" t="s">
        <v>74</v>
      </c>
      <c r="BB223">
        <v>5331</v>
      </c>
      <c r="BC223">
        <v>5339</v>
      </c>
      <c r="BD223" t="s">
        <v>74</v>
      </c>
      <c r="BE223" t="s">
        <v>4584</v>
      </c>
      <c r="BF223" t="str">
        <f>HYPERLINK("http://dx.doi.org/10.1002/2014GL060953","http://dx.doi.org/10.1002/2014GL060953")</f>
        <v>http://dx.doi.org/10.1002/2014GL060953</v>
      </c>
      <c r="BG223" t="s">
        <v>74</v>
      </c>
      <c r="BH223" t="s">
        <v>74</v>
      </c>
      <c r="BI223">
        <v>9</v>
      </c>
      <c r="BJ223" t="s">
        <v>685</v>
      </c>
      <c r="BK223" t="s">
        <v>102</v>
      </c>
      <c r="BL223" t="s">
        <v>686</v>
      </c>
      <c r="BM223" t="s">
        <v>4585</v>
      </c>
      <c r="BN223" t="s">
        <v>74</v>
      </c>
      <c r="BO223" t="s">
        <v>179</v>
      </c>
      <c r="BP223" t="s">
        <v>74</v>
      </c>
      <c r="BQ223" t="s">
        <v>74</v>
      </c>
      <c r="BR223" t="s">
        <v>105</v>
      </c>
      <c r="BS223" t="s">
        <v>4586</v>
      </c>
      <c r="BT223" t="str">
        <f>HYPERLINK("https%3A%2F%2Fwww.webofscience.com%2Fwos%2Fwoscc%2Ffull-record%2FWOS:000341725200002","View Full Record in Web of Science")</f>
        <v>View Full Record in Web of Science</v>
      </c>
    </row>
    <row r="224" spans="1:72" x14ac:dyDescent="0.15">
      <c r="A224" t="s">
        <v>72</v>
      </c>
      <c r="B224" t="s">
        <v>4587</v>
      </c>
      <c r="C224" t="s">
        <v>74</v>
      </c>
      <c r="D224" t="s">
        <v>74</v>
      </c>
      <c r="E224" t="s">
        <v>74</v>
      </c>
      <c r="F224" t="s">
        <v>4588</v>
      </c>
      <c r="G224" t="s">
        <v>74</v>
      </c>
      <c r="H224" t="s">
        <v>74</v>
      </c>
      <c r="I224" t="s">
        <v>4589</v>
      </c>
      <c r="J224" t="s">
        <v>1018</v>
      </c>
      <c r="K224" t="s">
        <v>74</v>
      </c>
      <c r="L224" t="s">
        <v>74</v>
      </c>
      <c r="M224" t="s">
        <v>78</v>
      </c>
      <c r="N224" t="s">
        <v>79</v>
      </c>
      <c r="O224" t="s">
        <v>74</v>
      </c>
      <c r="P224" t="s">
        <v>74</v>
      </c>
      <c r="Q224" t="s">
        <v>74</v>
      </c>
      <c r="R224" t="s">
        <v>74</v>
      </c>
      <c r="S224" t="s">
        <v>74</v>
      </c>
      <c r="T224" t="s">
        <v>4590</v>
      </c>
      <c r="U224" t="s">
        <v>4591</v>
      </c>
      <c r="V224" t="s">
        <v>4592</v>
      </c>
      <c r="W224" t="s">
        <v>4593</v>
      </c>
      <c r="X224" t="s">
        <v>4594</v>
      </c>
      <c r="Y224" t="s">
        <v>4595</v>
      </c>
      <c r="Z224" t="s">
        <v>4596</v>
      </c>
      <c r="AA224" t="s">
        <v>4597</v>
      </c>
      <c r="AB224" t="s">
        <v>4598</v>
      </c>
      <c r="AC224" t="s">
        <v>4599</v>
      </c>
      <c r="AD224" t="s">
        <v>4600</v>
      </c>
      <c r="AE224" t="s">
        <v>4601</v>
      </c>
      <c r="AF224" t="s">
        <v>74</v>
      </c>
      <c r="AG224">
        <v>39</v>
      </c>
      <c r="AH224">
        <v>79</v>
      </c>
      <c r="AI224">
        <v>89</v>
      </c>
      <c r="AJ224">
        <v>1</v>
      </c>
      <c r="AK224">
        <v>34</v>
      </c>
      <c r="AL224" t="s">
        <v>331</v>
      </c>
      <c r="AM224" t="s">
        <v>332</v>
      </c>
      <c r="AN224" t="s">
        <v>333</v>
      </c>
      <c r="AO224" t="s">
        <v>1030</v>
      </c>
      <c r="AP224" t="s">
        <v>1031</v>
      </c>
      <c r="AQ224" t="s">
        <v>74</v>
      </c>
      <c r="AR224" t="s">
        <v>1032</v>
      </c>
      <c r="AS224" t="s">
        <v>1033</v>
      </c>
      <c r="AT224" t="s">
        <v>4583</v>
      </c>
      <c r="AU224">
        <v>2014</v>
      </c>
      <c r="AV224">
        <v>41</v>
      </c>
      <c r="AW224">
        <v>15</v>
      </c>
      <c r="AX224" t="s">
        <v>74</v>
      </c>
      <c r="AY224" t="s">
        <v>74</v>
      </c>
      <c r="AZ224" t="s">
        <v>74</v>
      </c>
      <c r="BA224" t="s">
        <v>74</v>
      </c>
      <c r="BB224">
        <v>5506</v>
      </c>
      <c r="BC224">
        <v>5513</v>
      </c>
      <c r="BD224" t="s">
        <v>74</v>
      </c>
      <c r="BE224" t="s">
        <v>4602</v>
      </c>
      <c r="BF224" t="str">
        <f>HYPERLINK("http://dx.doi.org/10.1002/2014GL060618","http://dx.doi.org/10.1002/2014GL060618")</f>
        <v>http://dx.doi.org/10.1002/2014GL060618</v>
      </c>
      <c r="BG224" t="s">
        <v>74</v>
      </c>
      <c r="BH224" t="s">
        <v>74</v>
      </c>
      <c r="BI224">
        <v>8</v>
      </c>
      <c r="BJ224" t="s">
        <v>685</v>
      </c>
      <c r="BK224" t="s">
        <v>102</v>
      </c>
      <c r="BL224" t="s">
        <v>686</v>
      </c>
      <c r="BM224" t="s">
        <v>4585</v>
      </c>
      <c r="BN224" t="s">
        <v>74</v>
      </c>
      <c r="BO224" t="s">
        <v>4603</v>
      </c>
      <c r="BP224" t="s">
        <v>74</v>
      </c>
      <c r="BQ224" t="s">
        <v>74</v>
      </c>
      <c r="BR224" t="s">
        <v>105</v>
      </c>
      <c r="BS224" t="s">
        <v>4604</v>
      </c>
      <c r="BT224" t="str">
        <f>HYPERLINK("https%3A%2F%2Fwww.webofscience.com%2Fwos%2Fwoscc%2Ffull-record%2FWOS:000341725200025","View Full Record in Web of Science")</f>
        <v>View Full Record in Web of Science</v>
      </c>
    </row>
    <row r="225" spans="1:72" x14ac:dyDescent="0.15">
      <c r="A225" t="s">
        <v>72</v>
      </c>
      <c r="B225" t="s">
        <v>4605</v>
      </c>
      <c r="C225" t="s">
        <v>74</v>
      </c>
      <c r="D225" t="s">
        <v>74</v>
      </c>
      <c r="E225" t="s">
        <v>74</v>
      </c>
      <c r="F225" t="s">
        <v>4606</v>
      </c>
      <c r="G225" t="s">
        <v>74</v>
      </c>
      <c r="H225" t="s">
        <v>74</v>
      </c>
      <c r="I225" t="s">
        <v>4607</v>
      </c>
      <c r="J225" t="s">
        <v>1018</v>
      </c>
      <c r="K225" t="s">
        <v>74</v>
      </c>
      <c r="L225" t="s">
        <v>74</v>
      </c>
      <c r="M225" t="s">
        <v>78</v>
      </c>
      <c r="N225" t="s">
        <v>79</v>
      </c>
      <c r="O225" t="s">
        <v>74</v>
      </c>
      <c r="P225" t="s">
        <v>74</v>
      </c>
      <c r="Q225" t="s">
        <v>74</v>
      </c>
      <c r="R225" t="s">
        <v>74</v>
      </c>
      <c r="S225" t="s">
        <v>74</v>
      </c>
      <c r="T225" t="s">
        <v>4608</v>
      </c>
      <c r="U225" t="s">
        <v>4609</v>
      </c>
      <c r="V225" t="s">
        <v>4610</v>
      </c>
      <c r="W225" t="s">
        <v>4611</v>
      </c>
      <c r="X225" t="s">
        <v>4612</v>
      </c>
      <c r="Y225" t="s">
        <v>4613</v>
      </c>
      <c r="Z225" t="s">
        <v>4614</v>
      </c>
      <c r="AA225" t="s">
        <v>4615</v>
      </c>
      <c r="AB225" t="s">
        <v>4616</v>
      </c>
      <c r="AC225" t="s">
        <v>4617</v>
      </c>
      <c r="AD225" t="s">
        <v>4618</v>
      </c>
      <c r="AE225" t="s">
        <v>4619</v>
      </c>
      <c r="AF225" t="s">
        <v>74</v>
      </c>
      <c r="AG225">
        <v>33</v>
      </c>
      <c r="AH225">
        <v>45</v>
      </c>
      <c r="AI225">
        <v>49</v>
      </c>
      <c r="AJ225">
        <v>0</v>
      </c>
      <c r="AK225">
        <v>14</v>
      </c>
      <c r="AL225" t="s">
        <v>331</v>
      </c>
      <c r="AM225" t="s">
        <v>332</v>
      </c>
      <c r="AN225" t="s">
        <v>333</v>
      </c>
      <c r="AO225" t="s">
        <v>1030</v>
      </c>
      <c r="AP225" t="s">
        <v>1031</v>
      </c>
      <c r="AQ225" t="s">
        <v>74</v>
      </c>
      <c r="AR225" t="s">
        <v>1032</v>
      </c>
      <c r="AS225" t="s">
        <v>1033</v>
      </c>
      <c r="AT225" t="s">
        <v>4583</v>
      </c>
      <c r="AU225">
        <v>2014</v>
      </c>
      <c r="AV225">
        <v>41</v>
      </c>
      <c r="AW225">
        <v>15</v>
      </c>
      <c r="AX225" t="s">
        <v>74</v>
      </c>
      <c r="AY225" t="s">
        <v>74</v>
      </c>
      <c r="AZ225" t="s">
        <v>74</v>
      </c>
      <c r="BA225" t="s">
        <v>74</v>
      </c>
      <c r="BB225">
        <v>5522</v>
      </c>
      <c r="BC225">
        <v>5529</v>
      </c>
      <c r="BD225" t="s">
        <v>74</v>
      </c>
      <c r="BE225" t="s">
        <v>4620</v>
      </c>
      <c r="BF225" t="str">
        <f>HYPERLINK("http://dx.doi.org/10.1002/2014GL060832","http://dx.doi.org/10.1002/2014GL060832")</f>
        <v>http://dx.doi.org/10.1002/2014GL060832</v>
      </c>
      <c r="BG225" t="s">
        <v>74</v>
      </c>
      <c r="BH225" t="s">
        <v>74</v>
      </c>
      <c r="BI225">
        <v>8</v>
      </c>
      <c r="BJ225" t="s">
        <v>685</v>
      </c>
      <c r="BK225" t="s">
        <v>102</v>
      </c>
      <c r="BL225" t="s">
        <v>686</v>
      </c>
      <c r="BM225" t="s">
        <v>4585</v>
      </c>
      <c r="BN225" t="s">
        <v>74</v>
      </c>
      <c r="BO225" t="s">
        <v>4213</v>
      </c>
      <c r="BP225" t="s">
        <v>74</v>
      </c>
      <c r="BQ225" t="s">
        <v>74</v>
      </c>
      <c r="BR225" t="s">
        <v>105</v>
      </c>
      <c r="BS225" t="s">
        <v>4621</v>
      </c>
      <c r="BT225" t="str">
        <f>HYPERLINK("https%3A%2F%2Fwww.webofscience.com%2Fwos%2Fwoscc%2Ffull-record%2FWOS:000341725200027","View Full Record in Web of Science")</f>
        <v>View Full Record in Web of Science</v>
      </c>
    </row>
    <row r="226" spans="1:72" x14ac:dyDescent="0.15">
      <c r="A226" t="s">
        <v>72</v>
      </c>
      <c r="B226" t="s">
        <v>4622</v>
      </c>
      <c r="C226" t="s">
        <v>74</v>
      </c>
      <c r="D226" t="s">
        <v>74</v>
      </c>
      <c r="E226" t="s">
        <v>74</v>
      </c>
      <c r="F226" t="s">
        <v>4623</v>
      </c>
      <c r="G226" t="s">
        <v>74</v>
      </c>
      <c r="H226" t="s">
        <v>74</v>
      </c>
      <c r="I226" t="s">
        <v>4624</v>
      </c>
      <c r="J226" t="s">
        <v>4625</v>
      </c>
      <c r="K226" t="s">
        <v>74</v>
      </c>
      <c r="L226" t="s">
        <v>74</v>
      </c>
      <c r="M226" t="s">
        <v>78</v>
      </c>
      <c r="N226" t="s">
        <v>79</v>
      </c>
      <c r="O226" t="s">
        <v>74</v>
      </c>
      <c r="P226" t="s">
        <v>74</v>
      </c>
      <c r="Q226" t="s">
        <v>74</v>
      </c>
      <c r="R226" t="s">
        <v>74</v>
      </c>
      <c r="S226" t="s">
        <v>74</v>
      </c>
      <c r="T226" t="s">
        <v>4626</v>
      </c>
      <c r="U226" t="s">
        <v>4627</v>
      </c>
      <c r="V226" t="s">
        <v>4628</v>
      </c>
      <c r="W226" t="s">
        <v>4629</v>
      </c>
      <c r="X226" t="s">
        <v>4630</v>
      </c>
      <c r="Y226" t="s">
        <v>4631</v>
      </c>
      <c r="Z226" t="s">
        <v>4632</v>
      </c>
      <c r="AA226" t="s">
        <v>4633</v>
      </c>
      <c r="AB226" t="s">
        <v>4634</v>
      </c>
      <c r="AC226" t="s">
        <v>4635</v>
      </c>
      <c r="AD226" t="s">
        <v>4635</v>
      </c>
      <c r="AE226" t="s">
        <v>4636</v>
      </c>
      <c r="AF226" t="s">
        <v>74</v>
      </c>
      <c r="AG226">
        <v>62</v>
      </c>
      <c r="AH226">
        <v>19</v>
      </c>
      <c r="AI226">
        <v>19</v>
      </c>
      <c r="AJ226">
        <v>0</v>
      </c>
      <c r="AK226">
        <v>26</v>
      </c>
      <c r="AL226" t="s">
        <v>753</v>
      </c>
      <c r="AM226" t="s">
        <v>124</v>
      </c>
      <c r="AN226" t="s">
        <v>754</v>
      </c>
      <c r="AO226" t="s">
        <v>4637</v>
      </c>
      <c r="AP226" t="s">
        <v>4638</v>
      </c>
      <c r="AQ226" t="s">
        <v>74</v>
      </c>
      <c r="AR226" t="s">
        <v>4639</v>
      </c>
      <c r="AS226" t="s">
        <v>4640</v>
      </c>
      <c r="AT226" t="s">
        <v>4641</v>
      </c>
      <c r="AU226">
        <v>2014</v>
      </c>
      <c r="AV226">
        <v>194</v>
      </c>
      <c r="AW226" t="s">
        <v>74</v>
      </c>
      <c r="AX226" t="s">
        <v>74</v>
      </c>
      <c r="AY226" t="s">
        <v>74</v>
      </c>
      <c r="AZ226" t="s">
        <v>74</v>
      </c>
      <c r="BA226" t="s">
        <v>74</v>
      </c>
      <c r="BB226">
        <v>88</v>
      </c>
      <c r="BC226">
        <v>103</v>
      </c>
      <c r="BD226" t="s">
        <v>74</v>
      </c>
      <c r="BE226" t="s">
        <v>4642</v>
      </c>
      <c r="BF226" t="str">
        <f>HYPERLINK("http://dx.doi.org/10.1016/j.agrformet.2014.03.021","http://dx.doi.org/10.1016/j.agrformet.2014.03.021")</f>
        <v>http://dx.doi.org/10.1016/j.agrformet.2014.03.021</v>
      </c>
      <c r="BG226" t="s">
        <v>74</v>
      </c>
      <c r="BH226" t="s">
        <v>74</v>
      </c>
      <c r="BI226">
        <v>16</v>
      </c>
      <c r="BJ226" t="s">
        <v>4643</v>
      </c>
      <c r="BK226" t="s">
        <v>102</v>
      </c>
      <c r="BL226" t="s">
        <v>4644</v>
      </c>
      <c r="BM226" t="s">
        <v>4645</v>
      </c>
      <c r="BN226" t="s">
        <v>74</v>
      </c>
      <c r="BO226" t="s">
        <v>74</v>
      </c>
      <c r="BP226" t="s">
        <v>74</v>
      </c>
      <c r="BQ226" t="s">
        <v>74</v>
      </c>
      <c r="BR226" t="s">
        <v>105</v>
      </c>
      <c r="BS226" t="s">
        <v>4646</v>
      </c>
      <c r="BT226" t="str">
        <f>HYPERLINK("https%3A%2F%2Fwww.webofscience.com%2Fwos%2Fwoscc%2Ffull-record%2FWOS:000339131400009","View Full Record in Web of Science")</f>
        <v>View Full Record in Web of Science</v>
      </c>
    </row>
    <row r="227" spans="1:72" x14ac:dyDescent="0.15">
      <c r="A227" t="s">
        <v>72</v>
      </c>
      <c r="B227" t="s">
        <v>4647</v>
      </c>
      <c r="C227" t="s">
        <v>74</v>
      </c>
      <c r="D227" t="s">
        <v>74</v>
      </c>
      <c r="E227" t="s">
        <v>74</v>
      </c>
      <c r="F227" t="s">
        <v>4648</v>
      </c>
      <c r="G227" t="s">
        <v>74</v>
      </c>
      <c r="H227" t="s">
        <v>74</v>
      </c>
      <c r="I227" t="s">
        <v>4649</v>
      </c>
      <c r="J227" t="s">
        <v>2984</v>
      </c>
      <c r="K227" t="s">
        <v>74</v>
      </c>
      <c r="L227" t="s">
        <v>74</v>
      </c>
      <c r="M227" t="s">
        <v>78</v>
      </c>
      <c r="N227" t="s">
        <v>79</v>
      </c>
      <c r="O227" t="s">
        <v>74</v>
      </c>
      <c r="P227" t="s">
        <v>74</v>
      </c>
      <c r="Q227" t="s">
        <v>74</v>
      </c>
      <c r="R227" t="s">
        <v>74</v>
      </c>
      <c r="S227" t="s">
        <v>74</v>
      </c>
      <c r="T227" t="s">
        <v>4650</v>
      </c>
      <c r="U227" t="s">
        <v>4651</v>
      </c>
      <c r="V227" t="s">
        <v>4652</v>
      </c>
      <c r="W227" t="s">
        <v>4653</v>
      </c>
      <c r="X227" t="s">
        <v>4654</v>
      </c>
      <c r="Y227" t="s">
        <v>4655</v>
      </c>
      <c r="Z227" t="s">
        <v>4656</v>
      </c>
      <c r="AA227" t="s">
        <v>4657</v>
      </c>
      <c r="AB227" t="s">
        <v>4658</v>
      </c>
      <c r="AC227" t="s">
        <v>4659</v>
      </c>
      <c r="AD227" t="s">
        <v>4660</v>
      </c>
      <c r="AE227" t="s">
        <v>4661</v>
      </c>
      <c r="AF227" t="s">
        <v>74</v>
      </c>
      <c r="AG227">
        <v>95</v>
      </c>
      <c r="AH227">
        <v>56</v>
      </c>
      <c r="AI227">
        <v>62</v>
      </c>
      <c r="AJ227">
        <v>4</v>
      </c>
      <c r="AK227">
        <v>88</v>
      </c>
      <c r="AL227" t="s">
        <v>753</v>
      </c>
      <c r="AM227" t="s">
        <v>124</v>
      </c>
      <c r="AN227" t="s">
        <v>754</v>
      </c>
      <c r="AO227" t="s">
        <v>2997</v>
      </c>
      <c r="AP227" t="s">
        <v>2998</v>
      </c>
      <c r="AQ227" t="s">
        <v>74</v>
      </c>
      <c r="AR227" t="s">
        <v>2999</v>
      </c>
      <c r="AS227" t="s">
        <v>3000</v>
      </c>
      <c r="AT227" t="s">
        <v>4641</v>
      </c>
      <c r="AU227">
        <v>2014</v>
      </c>
      <c r="AV227">
        <v>400</v>
      </c>
      <c r="AW227" t="s">
        <v>74</v>
      </c>
      <c r="AX227" t="s">
        <v>74</v>
      </c>
      <c r="AY227" t="s">
        <v>74</v>
      </c>
      <c r="AZ227" t="s">
        <v>74</v>
      </c>
      <c r="BA227" t="s">
        <v>74</v>
      </c>
      <c r="BB227">
        <v>165</v>
      </c>
      <c r="BC227">
        <v>176</v>
      </c>
      <c r="BD227" t="s">
        <v>74</v>
      </c>
      <c r="BE227" t="s">
        <v>4662</v>
      </c>
      <c r="BF227" t="str">
        <f>HYPERLINK("http://dx.doi.org/10.1016/j.epsl.2014.05.021","http://dx.doi.org/10.1016/j.epsl.2014.05.021")</f>
        <v>http://dx.doi.org/10.1016/j.epsl.2014.05.021</v>
      </c>
      <c r="BG227" t="s">
        <v>74</v>
      </c>
      <c r="BH227" t="s">
        <v>74</v>
      </c>
      <c r="BI227">
        <v>12</v>
      </c>
      <c r="BJ227" t="s">
        <v>425</v>
      </c>
      <c r="BK227" t="s">
        <v>102</v>
      </c>
      <c r="BL227" t="s">
        <v>425</v>
      </c>
      <c r="BM227" t="s">
        <v>4663</v>
      </c>
      <c r="BN227" t="s">
        <v>74</v>
      </c>
      <c r="BO227" t="s">
        <v>74</v>
      </c>
      <c r="BP227" t="s">
        <v>74</v>
      </c>
      <c r="BQ227" t="s">
        <v>74</v>
      </c>
      <c r="BR227" t="s">
        <v>105</v>
      </c>
      <c r="BS227" t="s">
        <v>4664</v>
      </c>
      <c r="BT227" t="str">
        <f>HYPERLINK("https%3A%2F%2Fwww.webofscience.com%2Fwos%2Fwoscc%2Ffull-record%2FWOS:000339036800017","View Full Record in Web of Science")</f>
        <v>View Full Record in Web of Science</v>
      </c>
    </row>
    <row r="228" spans="1:72" x14ac:dyDescent="0.15">
      <c r="A228" t="s">
        <v>72</v>
      </c>
      <c r="B228" t="s">
        <v>4665</v>
      </c>
      <c r="C228" t="s">
        <v>74</v>
      </c>
      <c r="D228" t="s">
        <v>74</v>
      </c>
      <c r="E228" t="s">
        <v>74</v>
      </c>
      <c r="F228" t="s">
        <v>4666</v>
      </c>
      <c r="G228" t="s">
        <v>74</v>
      </c>
      <c r="H228" t="s">
        <v>74</v>
      </c>
      <c r="I228" t="s">
        <v>4667</v>
      </c>
      <c r="J228" t="s">
        <v>2984</v>
      </c>
      <c r="K228" t="s">
        <v>74</v>
      </c>
      <c r="L228" t="s">
        <v>74</v>
      </c>
      <c r="M228" t="s">
        <v>78</v>
      </c>
      <c r="N228" t="s">
        <v>79</v>
      </c>
      <c r="O228" t="s">
        <v>74</v>
      </c>
      <c r="P228" t="s">
        <v>74</v>
      </c>
      <c r="Q228" t="s">
        <v>74</v>
      </c>
      <c r="R228" t="s">
        <v>74</v>
      </c>
      <c r="S228" t="s">
        <v>74</v>
      </c>
      <c r="T228" t="s">
        <v>4668</v>
      </c>
      <c r="U228" t="s">
        <v>4669</v>
      </c>
      <c r="V228" t="s">
        <v>4670</v>
      </c>
      <c r="W228" t="s">
        <v>4671</v>
      </c>
      <c r="X228" t="s">
        <v>4672</v>
      </c>
      <c r="Y228" t="s">
        <v>4673</v>
      </c>
      <c r="Z228" t="s">
        <v>4674</v>
      </c>
      <c r="AA228" t="s">
        <v>4675</v>
      </c>
      <c r="AB228" t="s">
        <v>4676</v>
      </c>
      <c r="AC228" t="s">
        <v>4677</v>
      </c>
      <c r="AD228" t="s">
        <v>4678</v>
      </c>
      <c r="AE228" t="s">
        <v>4679</v>
      </c>
      <c r="AF228" t="s">
        <v>74</v>
      </c>
      <c r="AG228">
        <v>75</v>
      </c>
      <c r="AH228">
        <v>23</v>
      </c>
      <c r="AI228">
        <v>25</v>
      </c>
      <c r="AJ228">
        <v>0</v>
      </c>
      <c r="AK228">
        <v>33</v>
      </c>
      <c r="AL228" t="s">
        <v>123</v>
      </c>
      <c r="AM228" t="s">
        <v>124</v>
      </c>
      <c r="AN228" t="s">
        <v>125</v>
      </c>
      <c r="AO228" t="s">
        <v>2997</v>
      </c>
      <c r="AP228" t="s">
        <v>2998</v>
      </c>
      <c r="AQ228" t="s">
        <v>74</v>
      </c>
      <c r="AR228" t="s">
        <v>2999</v>
      </c>
      <c r="AS228" t="s">
        <v>3000</v>
      </c>
      <c r="AT228" t="s">
        <v>4641</v>
      </c>
      <c r="AU228">
        <v>2014</v>
      </c>
      <c r="AV228">
        <v>400</v>
      </c>
      <c r="AW228" t="s">
        <v>74</v>
      </c>
      <c r="AX228" t="s">
        <v>74</v>
      </c>
      <c r="AY228" t="s">
        <v>74</v>
      </c>
      <c r="AZ228" t="s">
        <v>74</v>
      </c>
      <c r="BA228" t="s">
        <v>74</v>
      </c>
      <c r="BB228">
        <v>195</v>
      </c>
      <c r="BC228">
        <v>205</v>
      </c>
      <c r="BD228" t="s">
        <v>74</v>
      </c>
      <c r="BE228" t="s">
        <v>4680</v>
      </c>
      <c r="BF228" t="str">
        <f>HYPERLINK("http://dx.doi.org/10.1016/j.epsl.2014.05.040","http://dx.doi.org/10.1016/j.epsl.2014.05.040")</f>
        <v>http://dx.doi.org/10.1016/j.epsl.2014.05.040</v>
      </c>
      <c r="BG228" t="s">
        <v>74</v>
      </c>
      <c r="BH228" t="s">
        <v>74</v>
      </c>
      <c r="BI228">
        <v>11</v>
      </c>
      <c r="BJ228" t="s">
        <v>425</v>
      </c>
      <c r="BK228" t="s">
        <v>102</v>
      </c>
      <c r="BL228" t="s">
        <v>425</v>
      </c>
      <c r="BM228" t="s">
        <v>4663</v>
      </c>
      <c r="BN228" t="s">
        <v>74</v>
      </c>
      <c r="BO228" t="s">
        <v>74</v>
      </c>
      <c r="BP228" t="s">
        <v>74</v>
      </c>
      <c r="BQ228" t="s">
        <v>74</v>
      </c>
      <c r="BR228" t="s">
        <v>105</v>
      </c>
      <c r="BS228" t="s">
        <v>4681</v>
      </c>
      <c r="BT228" t="str">
        <f>HYPERLINK("https%3A%2F%2Fwww.webofscience.com%2Fwos%2Fwoscc%2Ffull-record%2FWOS:000339036800020","View Full Record in Web of Science")</f>
        <v>View Full Record in Web of Science</v>
      </c>
    </row>
    <row r="229" spans="1:72" x14ac:dyDescent="0.15">
      <c r="A229" t="s">
        <v>72</v>
      </c>
      <c r="B229" t="s">
        <v>4682</v>
      </c>
      <c r="C229" t="s">
        <v>74</v>
      </c>
      <c r="D229" t="s">
        <v>74</v>
      </c>
      <c r="E229" t="s">
        <v>74</v>
      </c>
      <c r="F229" t="s">
        <v>4683</v>
      </c>
      <c r="G229" t="s">
        <v>74</v>
      </c>
      <c r="H229" t="s">
        <v>74</v>
      </c>
      <c r="I229" t="s">
        <v>4684</v>
      </c>
      <c r="J229" t="s">
        <v>1329</v>
      </c>
      <c r="K229" t="s">
        <v>74</v>
      </c>
      <c r="L229" t="s">
        <v>74</v>
      </c>
      <c r="M229" t="s">
        <v>78</v>
      </c>
      <c r="N229" t="s">
        <v>79</v>
      </c>
      <c r="O229" t="s">
        <v>74</v>
      </c>
      <c r="P229" t="s">
        <v>74</v>
      </c>
      <c r="Q229" t="s">
        <v>74</v>
      </c>
      <c r="R229" t="s">
        <v>74</v>
      </c>
      <c r="S229" t="s">
        <v>74</v>
      </c>
      <c r="T229" t="s">
        <v>74</v>
      </c>
      <c r="U229" t="s">
        <v>4685</v>
      </c>
      <c r="V229" t="s">
        <v>4686</v>
      </c>
      <c r="W229" t="s">
        <v>4687</v>
      </c>
      <c r="X229" t="s">
        <v>4688</v>
      </c>
      <c r="Y229" t="s">
        <v>4689</v>
      </c>
      <c r="Z229" t="s">
        <v>4690</v>
      </c>
      <c r="AA229" t="s">
        <v>74</v>
      </c>
      <c r="AB229" t="s">
        <v>74</v>
      </c>
      <c r="AC229" t="s">
        <v>4691</v>
      </c>
      <c r="AD229" t="s">
        <v>4691</v>
      </c>
      <c r="AE229" t="s">
        <v>4692</v>
      </c>
      <c r="AF229" t="s">
        <v>74</v>
      </c>
      <c r="AG229">
        <v>50</v>
      </c>
      <c r="AH229">
        <v>19</v>
      </c>
      <c r="AI229">
        <v>20</v>
      </c>
      <c r="AJ229">
        <v>0</v>
      </c>
      <c r="AK229">
        <v>6</v>
      </c>
      <c r="AL229" t="s">
        <v>250</v>
      </c>
      <c r="AM229" t="s">
        <v>251</v>
      </c>
      <c r="AN229" t="s">
        <v>252</v>
      </c>
      <c r="AO229" t="s">
        <v>1341</v>
      </c>
      <c r="AP229" t="s">
        <v>1342</v>
      </c>
      <c r="AQ229" t="s">
        <v>74</v>
      </c>
      <c r="AR229" t="s">
        <v>1343</v>
      </c>
      <c r="AS229" t="s">
        <v>1344</v>
      </c>
      <c r="AT229" t="s">
        <v>4641</v>
      </c>
      <c r="AU229">
        <v>2014</v>
      </c>
      <c r="AV229">
        <v>139</v>
      </c>
      <c r="AW229" t="s">
        <v>74</v>
      </c>
      <c r="AX229" t="s">
        <v>74</v>
      </c>
      <c r="AY229" t="s">
        <v>74</v>
      </c>
      <c r="AZ229" t="s">
        <v>74</v>
      </c>
      <c r="BA229" t="s">
        <v>74</v>
      </c>
      <c r="BB229">
        <v>83</v>
      </c>
      <c r="BC229">
        <v>97</v>
      </c>
      <c r="BD229" t="s">
        <v>74</v>
      </c>
      <c r="BE229" t="s">
        <v>4693</v>
      </c>
      <c r="BF229" t="str">
        <f>HYPERLINK("http://dx.doi.org/10.1016/j.gca.2014.04.044","http://dx.doi.org/10.1016/j.gca.2014.04.044")</f>
        <v>http://dx.doi.org/10.1016/j.gca.2014.04.044</v>
      </c>
      <c r="BG229" t="s">
        <v>74</v>
      </c>
      <c r="BH229" t="s">
        <v>74</v>
      </c>
      <c r="BI229">
        <v>15</v>
      </c>
      <c r="BJ229" t="s">
        <v>425</v>
      </c>
      <c r="BK229" t="s">
        <v>102</v>
      </c>
      <c r="BL229" t="s">
        <v>425</v>
      </c>
      <c r="BM229" t="s">
        <v>4694</v>
      </c>
      <c r="BN229" t="s">
        <v>74</v>
      </c>
      <c r="BO229" t="s">
        <v>74</v>
      </c>
      <c r="BP229" t="s">
        <v>74</v>
      </c>
      <c r="BQ229" t="s">
        <v>74</v>
      </c>
      <c r="BR229" t="s">
        <v>105</v>
      </c>
      <c r="BS229" t="s">
        <v>4695</v>
      </c>
      <c r="BT229" t="str">
        <f>HYPERLINK("https%3A%2F%2Fwww.webofscience.com%2Fwos%2Fwoscc%2Ffull-record%2FWOS:000339176400005","View Full Record in Web of Science")</f>
        <v>View Full Record in Web of Science</v>
      </c>
    </row>
    <row r="230" spans="1:72" x14ac:dyDescent="0.15">
      <c r="A230" t="s">
        <v>72</v>
      </c>
      <c r="B230" t="s">
        <v>4696</v>
      </c>
      <c r="C230" t="s">
        <v>74</v>
      </c>
      <c r="D230" t="s">
        <v>74</v>
      </c>
      <c r="E230" t="s">
        <v>74</v>
      </c>
      <c r="F230" t="s">
        <v>4697</v>
      </c>
      <c r="G230" t="s">
        <v>74</v>
      </c>
      <c r="H230" t="s">
        <v>74</v>
      </c>
      <c r="I230" t="s">
        <v>4698</v>
      </c>
      <c r="J230" t="s">
        <v>1329</v>
      </c>
      <c r="K230" t="s">
        <v>74</v>
      </c>
      <c r="L230" t="s">
        <v>74</v>
      </c>
      <c r="M230" t="s">
        <v>78</v>
      </c>
      <c r="N230" t="s">
        <v>79</v>
      </c>
      <c r="O230" t="s">
        <v>74</v>
      </c>
      <c r="P230" t="s">
        <v>74</v>
      </c>
      <c r="Q230" t="s">
        <v>74</v>
      </c>
      <c r="R230" t="s">
        <v>74</v>
      </c>
      <c r="S230" t="s">
        <v>74</v>
      </c>
      <c r="T230" t="s">
        <v>74</v>
      </c>
      <c r="U230" t="s">
        <v>4699</v>
      </c>
      <c r="V230" t="s">
        <v>4700</v>
      </c>
      <c r="W230" t="s">
        <v>4701</v>
      </c>
      <c r="X230" t="s">
        <v>4702</v>
      </c>
      <c r="Y230" t="s">
        <v>4703</v>
      </c>
      <c r="Z230" t="s">
        <v>4704</v>
      </c>
      <c r="AA230" t="s">
        <v>4705</v>
      </c>
      <c r="AB230" t="s">
        <v>4706</v>
      </c>
      <c r="AC230" t="s">
        <v>4707</v>
      </c>
      <c r="AD230" t="s">
        <v>4708</v>
      </c>
      <c r="AE230" t="s">
        <v>4709</v>
      </c>
      <c r="AF230" t="s">
        <v>74</v>
      </c>
      <c r="AG230">
        <v>99</v>
      </c>
      <c r="AH230">
        <v>89</v>
      </c>
      <c r="AI230">
        <v>92</v>
      </c>
      <c r="AJ230">
        <v>0</v>
      </c>
      <c r="AK230">
        <v>29</v>
      </c>
      <c r="AL230" t="s">
        <v>250</v>
      </c>
      <c r="AM230" t="s">
        <v>251</v>
      </c>
      <c r="AN230" t="s">
        <v>252</v>
      </c>
      <c r="AO230" t="s">
        <v>1341</v>
      </c>
      <c r="AP230" t="s">
        <v>1342</v>
      </c>
      <c r="AQ230" t="s">
        <v>74</v>
      </c>
      <c r="AR230" t="s">
        <v>1343</v>
      </c>
      <c r="AS230" t="s">
        <v>1344</v>
      </c>
      <c r="AT230" t="s">
        <v>4641</v>
      </c>
      <c r="AU230">
        <v>2014</v>
      </c>
      <c r="AV230">
        <v>139</v>
      </c>
      <c r="AW230" t="s">
        <v>74</v>
      </c>
      <c r="AX230" t="s">
        <v>74</v>
      </c>
      <c r="AY230" t="s">
        <v>74</v>
      </c>
      <c r="AZ230" t="s">
        <v>74</v>
      </c>
      <c r="BA230" t="s">
        <v>74</v>
      </c>
      <c r="BB230">
        <v>248</v>
      </c>
      <c r="BC230">
        <v>266</v>
      </c>
      <c r="BD230" t="s">
        <v>74</v>
      </c>
      <c r="BE230" t="s">
        <v>4710</v>
      </c>
      <c r="BF230" t="str">
        <f>HYPERLINK("http://dx.doi.org/10.1016/j.gca.2014.04.026","http://dx.doi.org/10.1016/j.gca.2014.04.026")</f>
        <v>http://dx.doi.org/10.1016/j.gca.2014.04.026</v>
      </c>
      <c r="BG230" t="s">
        <v>74</v>
      </c>
      <c r="BH230" t="s">
        <v>74</v>
      </c>
      <c r="BI230">
        <v>19</v>
      </c>
      <c r="BJ230" t="s">
        <v>425</v>
      </c>
      <c r="BK230" t="s">
        <v>102</v>
      </c>
      <c r="BL230" t="s">
        <v>425</v>
      </c>
      <c r="BM230" t="s">
        <v>4694</v>
      </c>
      <c r="BN230" t="s">
        <v>74</v>
      </c>
      <c r="BO230" t="s">
        <v>74</v>
      </c>
      <c r="BP230" t="s">
        <v>74</v>
      </c>
      <c r="BQ230" t="s">
        <v>74</v>
      </c>
      <c r="BR230" t="s">
        <v>105</v>
      </c>
      <c r="BS230" t="s">
        <v>4711</v>
      </c>
      <c r="BT230" t="str">
        <f>HYPERLINK("https%3A%2F%2Fwww.webofscience.com%2Fwos%2Fwoscc%2Ffull-record%2FWOS:000339176400014","View Full Record in Web of Science")</f>
        <v>View Full Record in Web of Science</v>
      </c>
    </row>
    <row r="231" spans="1:72" x14ac:dyDescent="0.15">
      <c r="A231" t="s">
        <v>72</v>
      </c>
      <c r="B231" t="s">
        <v>4712</v>
      </c>
      <c r="C231" t="s">
        <v>74</v>
      </c>
      <c r="D231" t="s">
        <v>74</v>
      </c>
      <c r="E231" t="s">
        <v>74</v>
      </c>
      <c r="F231" t="s">
        <v>4713</v>
      </c>
      <c r="G231" t="s">
        <v>74</v>
      </c>
      <c r="H231" t="s">
        <v>74</v>
      </c>
      <c r="I231" t="s">
        <v>4714</v>
      </c>
      <c r="J231" t="s">
        <v>267</v>
      </c>
      <c r="K231" t="s">
        <v>74</v>
      </c>
      <c r="L231" t="s">
        <v>74</v>
      </c>
      <c r="M231" t="s">
        <v>78</v>
      </c>
      <c r="N231" t="s">
        <v>79</v>
      </c>
      <c r="O231" t="s">
        <v>74</v>
      </c>
      <c r="P231" t="s">
        <v>74</v>
      </c>
      <c r="Q231" t="s">
        <v>74</v>
      </c>
      <c r="R231" t="s">
        <v>74</v>
      </c>
      <c r="S231" t="s">
        <v>74</v>
      </c>
      <c r="T231" t="s">
        <v>74</v>
      </c>
      <c r="U231" t="s">
        <v>4715</v>
      </c>
      <c r="V231" t="s">
        <v>4716</v>
      </c>
      <c r="W231" t="s">
        <v>4717</v>
      </c>
      <c r="X231" t="s">
        <v>4718</v>
      </c>
      <c r="Y231" t="s">
        <v>4719</v>
      </c>
      <c r="Z231" t="s">
        <v>4720</v>
      </c>
      <c r="AA231" t="s">
        <v>4721</v>
      </c>
      <c r="AB231" t="s">
        <v>4722</v>
      </c>
      <c r="AC231" t="s">
        <v>4723</v>
      </c>
      <c r="AD231" t="s">
        <v>4724</v>
      </c>
      <c r="AE231" t="s">
        <v>4725</v>
      </c>
      <c r="AF231" t="s">
        <v>74</v>
      </c>
      <c r="AG231">
        <v>61</v>
      </c>
      <c r="AH231">
        <v>61</v>
      </c>
      <c r="AI231">
        <v>62</v>
      </c>
      <c r="AJ231">
        <v>1</v>
      </c>
      <c r="AK231">
        <v>37</v>
      </c>
      <c r="AL231" t="s">
        <v>280</v>
      </c>
      <c r="AM231" t="s">
        <v>281</v>
      </c>
      <c r="AN231" t="s">
        <v>4726</v>
      </c>
      <c r="AO231" t="s">
        <v>283</v>
      </c>
      <c r="AP231" t="s">
        <v>284</v>
      </c>
      <c r="AQ231" t="s">
        <v>74</v>
      </c>
      <c r="AR231" t="s">
        <v>285</v>
      </c>
      <c r="AS231" t="s">
        <v>286</v>
      </c>
      <c r="AT231" t="s">
        <v>4641</v>
      </c>
      <c r="AU231">
        <v>2014</v>
      </c>
      <c r="AV231">
        <v>27</v>
      </c>
      <c r="AW231">
        <v>16</v>
      </c>
      <c r="AX231" t="s">
        <v>74</v>
      </c>
      <c r="AY231" t="s">
        <v>74</v>
      </c>
      <c r="AZ231" t="s">
        <v>74</v>
      </c>
      <c r="BA231" t="s">
        <v>74</v>
      </c>
      <c r="BB231">
        <v>6205</v>
      </c>
      <c r="BC231">
        <v>6224</v>
      </c>
      <c r="BD231" t="s">
        <v>74</v>
      </c>
      <c r="BE231" t="s">
        <v>4727</v>
      </c>
      <c r="BF231" t="str">
        <f>HYPERLINK("http://dx.doi.org/10.1175/JCLI-D-13-00409.1","http://dx.doi.org/10.1175/JCLI-D-13-00409.1")</f>
        <v>http://dx.doi.org/10.1175/JCLI-D-13-00409.1</v>
      </c>
      <c r="BG231" t="s">
        <v>74</v>
      </c>
      <c r="BH231" t="s">
        <v>74</v>
      </c>
      <c r="BI231">
        <v>20</v>
      </c>
      <c r="BJ231" t="s">
        <v>177</v>
      </c>
      <c r="BK231" t="s">
        <v>102</v>
      </c>
      <c r="BL231" t="s">
        <v>177</v>
      </c>
      <c r="BM231" t="s">
        <v>4728</v>
      </c>
      <c r="BN231" t="s">
        <v>74</v>
      </c>
      <c r="BO231" t="s">
        <v>289</v>
      </c>
      <c r="BP231" t="s">
        <v>74</v>
      </c>
      <c r="BQ231" t="s">
        <v>74</v>
      </c>
      <c r="BR231" t="s">
        <v>105</v>
      </c>
      <c r="BS231" t="s">
        <v>4729</v>
      </c>
      <c r="BT231" t="str">
        <f>HYPERLINK("https%3A%2F%2Fwww.webofscience.com%2Fwos%2Fwoscc%2Ffull-record%2FWOS:000340310800007","View Full Record in Web of Science")</f>
        <v>View Full Record in Web of Science</v>
      </c>
    </row>
    <row r="232" spans="1:72" x14ac:dyDescent="0.15">
      <c r="A232" t="s">
        <v>72</v>
      </c>
      <c r="B232" t="s">
        <v>4730</v>
      </c>
      <c r="C232" t="s">
        <v>74</v>
      </c>
      <c r="D232" t="s">
        <v>74</v>
      </c>
      <c r="E232" t="s">
        <v>74</v>
      </c>
      <c r="F232" t="s">
        <v>4731</v>
      </c>
      <c r="G232" t="s">
        <v>74</v>
      </c>
      <c r="H232" t="s">
        <v>74</v>
      </c>
      <c r="I232" t="s">
        <v>4732</v>
      </c>
      <c r="J232" t="s">
        <v>267</v>
      </c>
      <c r="K232" t="s">
        <v>74</v>
      </c>
      <c r="L232" t="s">
        <v>74</v>
      </c>
      <c r="M232" t="s">
        <v>78</v>
      </c>
      <c r="N232" t="s">
        <v>79</v>
      </c>
      <c r="O232" t="s">
        <v>74</v>
      </c>
      <c r="P232" t="s">
        <v>74</v>
      </c>
      <c r="Q232" t="s">
        <v>74</v>
      </c>
      <c r="R232" t="s">
        <v>74</v>
      </c>
      <c r="S232" t="s">
        <v>74</v>
      </c>
      <c r="T232" t="s">
        <v>74</v>
      </c>
      <c r="U232" t="s">
        <v>4733</v>
      </c>
      <c r="V232" t="s">
        <v>4734</v>
      </c>
      <c r="W232" t="s">
        <v>4735</v>
      </c>
      <c r="X232" t="s">
        <v>4736</v>
      </c>
      <c r="Y232" t="s">
        <v>4737</v>
      </c>
      <c r="Z232" t="s">
        <v>4738</v>
      </c>
      <c r="AA232" t="s">
        <v>4739</v>
      </c>
      <c r="AB232" t="s">
        <v>4740</v>
      </c>
      <c r="AC232" t="s">
        <v>4741</v>
      </c>
      <c r="AD232" t="s">
        <v>4742</v>
      </c>
      <c r="AE232" t="s">
        <v>4743</v>
      </c>
      <c r="AF232" t="s">
        <v>74</v>
      </c>
      <c r="AG232">
        <v>105</v>
      </c>
      <c r="AH232">
        <v>40</v>
      </c>
      <c r="AI232">
        <v>44</v>
      </c>
      <c r="AJ232">
        <v>0</v>
      </c>
      <c r="AK232">
        <v>62</v>
      </c>
      <c r="AL232" t="s">
        <v>280</v>
      </c>
      <c r="AM232" t="s">
        <v>281</v>
      </c>
      <c r="AN232" t="s">
        <v>282</v>
      </c>
      <c r="AO232" t="s">
        <v>283</v>
      </c>
      <c r="AP232" t="s">
        <v>284</v>
      </c>
      <c r="AQ232" t="s">
        <v>74</v>
      </c>
      <c r="AR232" t="s">
        <v>285</v>
      </c>
      <c r="AS232" t="s">
        <v>286</v>
      </c>
      <c r="AT232" t="s">
        <v>4641</v>
      </c>
      <c r="AU232">
        <v>2014</v>
      </c>
      <c r="AV232">
        <v>27</v>
      </c>
      <c r="AW232">
        <v>16</v>
      </c>
      <c r="AX232" t="s">
        <v>74</v>
      </c>
      <c r="AY232" t="s">
        <v>74</v>
      </c>
      <c r="AZ232" t="s">
        <v>74</v>
      </c>
      <c r="BA232" t="s">
        <v>74</v>
      </c>
      <c r="BB232">
        <v>6245</v>
      </c>
      <c r="BC232">
        <v>6264</v>
      </c>
      <c r="BD232" t="s">
        <v>74</v>
      </c>
      <c r="BE232" t="s">
        <v>4744</v>
      </c>
      <c r="BF232" t="str">
        <f>HYPERLINK("http://dx.doi.org/10.1175/JCLI-D-13-00698.1","http://dx.doi.org/10.1175/JCLI-D-13-00698.1")</f>
        <v>http://dx.doi.org/10.1175/JCLI-D-13-00698.1</v>
      </c>
      <c r="BG232" t="s">
        <v>74</v>
      </c>
      <c r="BH232" t="s">
        <v>74</v>
      </c>
      <c r="BI232">
        <v>20</v>
      </c>
      <c r="BJ232" t="s">
        <v>177</v>
      </c>
      <c r="BK232" t="s">
        <v>102</v>
      </c>
      <c r="BL232" t="s">
        <v>177</v>
      </c>
      <c r="BM232" t="s">
        <v>4728</v>
      </c>
      <c r="BN232" t="s">
        <v>74</v>
      </c>
      <c r="BO232" t="s">
        <v>1053</v>
      </c>
      <c r="BP232" t="s">
        <v>74</v>
      </c>
      <c r="BQ232" t="s">
        <v>74</v>
      </c>
      <c r="BR232" t="s">
        <v>105</v>
      </c>
      <c r="BS232" t="s">
        <v>4745</v>
      </c>
      <c r="BT232" t="str">
        <f>HYPERLINK("https%3A%2F%2Fwww.webofscience.com%2Fwos%2Fwoscc%2Ffull-record%2FWOS:000340310800009","View Full Record in Web of Science")</f>
        <v>View Full Record in Web of Science</v>
      </c>
    </row>
    <row r="233" spans="1:72" x14ac:dyDescent="0.15">
      <c r="A233" t="s">
        <v>72</v>
      </c>
      <c r="B233" t="s">
        <v>4746</v>
      </c>
      <c r="C233" t="s">
        <v>74</v>
      </c>
      <c r="D233" t="s">
        <v>74</v>
      </c>
      <c r="E233" t="s">
        <v>74</v>
      </c>
      <c r="F233" t="s">
        <v>4747</v>
      </c>
      <c r="G233" t="s">
        <v>74</v>
      </c>
      <c r="H233" t="s">
        <v>74</v>
      </c>
      <c r="I233" t="s">
        <v>4748</v>
      </c>
      <c r="J233" t="s">
        <v>1386</v>
      </c>
      <c r="K233" t="s">
        <v>74</v>
      </c>
      <c r="L233" t="s">
        <v>74</v>
      </c>
      <c r="M233" t="s">
        <v>78</v>
      </c>
      <c r="N233" t="s">
        <v>79</v>
      </c>
      <c r="O233" t="s">
        <v>74</v>
      </c>
      <c r="P233" t="s">
        <v>74</v>
      </c>
      <c r="Q233" t="s">
        <v>74</v>
      </c>
      <c r="R233" t="s">
        <v>74</v>
      </c>
      <c r="S233" t="s">
        <v>74</v>
      </c>
      <c r="T233" t="s">
        <v>4749</v>
      </c>
      <c r="U233" t="s">
        <v>4750</v>
      </c>
      <c r="V233" t="s">
        <v>4751</v>
      </c>
      <c r="W233" t="s">
        <v>4752</v>
      </c>
      <c r="X233" t="s">
        <v>4753</v>
      </c>
      <c r="Y233" t="s">
        <v>4754</v>
      </c>
      <c r="Z233" t="s">
        <v>4755</v>
      </c>
      <c r="AA233" t="s">
        <v>4756</v>
      </c>
      <c r="AB233" t="s">
        <v>4757</v>
      </c>
      <c r="AC233" t="s">
        <v>4758</v>
      </c>
      <c r="AD233" t="s">
        <v>4759</v>
      </c>
      <c r="AE233" t="s">
        <v>4760</v>
      </c>
      <c r="AF233" t="s">
        <v>74</v>
      </c>
      <c r="AG233">
        <v>186</v>
      </c>
      <c r="AH233">
        <v>73</v>
      </c>
      <c r="AI233">
        <v>82</v>
      </c>
      <c r="AJ233">
        <v>1</v>
      </c>
      <c r="AK233">
        <v>67</v>
      </c>
      <c r="AL233" t="s">
        <v>753</v>
      </c>
      <c r="AM233" t="s">
        <v>124</v>
      </c>
      <c r="AN233" t="s">
        <v>754</v>
      </c>
      <c r="AO233" t="s">
        <v>1397</v>
      </c>
      <c r="AP233" t="s">
        <v>1398</v>
      </c>
      <c r="AQ233" t="s">
        <v>74</v>
      </c>
      <c r="AR233" t="s">
        <v>1399</v>
      </c>
      <c r="AS233" t="s">
        <v>1400</v>
      </c>
      <c r="AT233" t="s">
        <v>4641</v>
      </c>
      <c r="AU233">
        <v>2014</v>
      </c>
      <c r="AV233">
        <v>408</v>
      </c>
      <c r="AW233" t="s">
        <v>74</v>
      </c>
      <c r="AX233" t="s">
        <v>74</v>
      </c>
      <c r="AY233" t="s">
        <v>74</v>
      </c>
      <c r="AZ233" t="s">
        <v>74</v>
      </c>
      <c r="BA233" t="s">
        <v>74</v>
      </c>
      <c r="BB233">
        <v>26</v>
      </c>
      <c r="BC233">
        <v>47</v>
      </c>
      <c r="BD233" t="s">
        <v>74</v>
      </c>
      <c r="BE233" t="s">
        <v>4761</v>
      </c>
      <c r="BF233" t="str">
        <f>HYPERLINK("http://dx.doi.org/10.1016/j.palaeo.2014.04.018","http://dx.doi.org/10.1016/j.palaeo.2014.04.018")</f>
        <v>http://dx.doi.org/10.1016/j.palaeo.2014.04.018</v>
      </c>
      <c r="BG233" t="s">
        <v>74</v>
      </c>
      <c r="BH233" t="s">
        <v>74</v>
      </c>
      <c r="BI233">
        <v>22</v>
      </c>
      <c r="BJ233" t="s">
        <v>1402</v>
      </c>
      <c r="BK233" t="s">
        <v>102</v>
      </c>
      <c r="BL233" t="s">
        <v>1403</v>
      </c>
      <c r="BM233" t="s">
        <v>4762</v>
      </c>
      <c r="BN233" t="s">
        <v>74</v>
      </c>
      <c r="BO233" t="s">
        <v>663</v>
      </c>
      <c r="BP233" t="s">
        <v>74</v>
      </c>
      <c r="BQ233" t="s">
        <v>74</v>
      </c>
      <c r="BR233" t="s">
        <v>105</v>
      </c>
      <c r="BS233" t="s">
        <v>4763</v>
      </c>
      <c r="BT233" t="str">
        <f>HYPERLINK("https%3A%2F%2Fwww.webofscience.com%2Fwos%2Fwoscc%2Ffull-record%2FWOS:000338610600003","View Full Record in Web of Science")</f>
        <v>View Full Record in Web of Science</v>
      </c>
    </row>
    <row r="234" spans="1:72" x14ac:dyDescent="0.15">
      <c r="A234" t="s">
        <v>72</v>
      </c>
      <c r="B234" t="s">
        <v>4764</v>
      </c>
      <c r="C234" t="s">
        <v>74</v>
      </c>
      <c r="D234" t="s">
        <v>74</v>
      </c>
      <c r="E234" t="s">
        <v>74</v>
      </c>
      <c r="F234" t="s">
        <v>4765</v>
      </c>
      <c r="G234" t="s">
        <v>74</v>
      </c>
      <c r="H234" t="s">
        <v>74</v>
      </c>
      <c r="I234" t="s">
        <v>4766</v>
      </c>
      <c r="J234" t="s">
        <v>1458</v>
      </c>
      <c r="K234" t="s">
        <v>74</v>
      </c>
      <c r="L234" t="s">
        <v>74</v>
      </c>
      <c r="M234" t="s">
        <v>78</v>
      </c>
      <c r="N234" t="s">
        <v>79</v>
      </c>
      <c r="O234" t="s">
        <v>74</v>
      </c>
      <c r="P234" t="s">
        <v>74</v>
      </c>
      <c r="Q234" t="s">
        <v>74</v>
      </c>
      <c r="R234" t="s">
        <v>74</v>
      </c>
      <c r="S234" t="s">
        <v>74</v>
      </c>
      <c r="T234" t="s">
        <v>4767</v>
      </c>
      <c r="U234" t="s">
        <v>4768</v>
      </c>
      <c r="V234" t="s">
        <v>4769</v>
      </c>
      <c r="W234" t="s">
        <v>4770</v>
      </c>
      <c r="X234" t="s">
        <v>4771</v>
      </c>
      <c r="Y234" t="s">
        <v>4772</v>
      </c>
      <c r="Z234" t="s">
        <v>4773</v>
      </c>
      <c r="AA234" t="s">
        <v>4774</v>
      </c>
      <c r="AB234" t="s">
        <v>4775</v>
      </c>
      <c r="AC234" t="s">
        <v>4776</v>
      </c>
      <c r="AD234" t="s">
        <v>4777</v>
      </c>
      <c r="AE234" t="s">
        <v>4778</v>
      </c>
      <c r="AF234" t="s">
        <v>74</v>
      </c>
      <c r="AG234">
        <v>49</v>
      </c>
      <c r="AH234">
        <v>15</v>
      </c>
      <c r="AI234">
        <v>16</v>
      </c>
      <c r="AJ234">
        <v>1</v>
      </c>
      <c r="AK234">
        <v>28</v>
      </c>
      <c r="AL234" t="s">
        <v>250</v>
      </c>
      <c r="AM234" t="s">
        <v>251</v>
      </c>
      <c r="AN234" t="s">
        <v>252</v>
      </c>
      <c r="AO234" t="s">
        <v>1471</v>
      </c>
      <c r="AP234" t="s">
        <v>74</v>
      </c>
      <c r="AQ234" t="s">
        <v>74</v>
      </c>
      <c r="AR234" t="s">
        <v>1472</v>
      </c>
      <c r="AS234" t="s">
        <v>1473</v>
      </c>
      <c r="AT234" t="s">
        <v>4641</v>
      </c>
      <c r="AU234">
        <v>2014</v>
      </c>
      <c r="AV234">
        <v>98</v>
      </c>
      <c r="AW234" t="s">
        <v>74</v>
      </c>
      <c r="AX234" t="s">
        <v>74</v>
      </c>
      <c r="AY234" t="s">
        <v>74</v>
      </c>
      <c r="AZ234" t="s">
        <v>74</v>
      </c>
      <c r="BA234" t="s">
        <v>74</v>
      </c>
      <c r="BB234">
        <v>166</v>
      </c>
      <c r="BC234">
        <v>173</v>
      </c>
      <c r="BD234" t="s">
        <v>74</v>
      </c>
      <c r="BE234" t="s">
        <v>4779</v>
      </c>
      <c r="BF234" t="str">
        <f>HYPERLINK("http://dx.doi.org/10.1016/j.quascirev.2014.05.010","http://dx.doi.org/10.1016/j.quascirev.2014.05.010")</f>
        <v>http://dx.doi.org/10.1016/j.quascirev.2014.05.010</v>
      </c>
      <c r="BG234" t="s">
        <v>74</v>
      </c>
      <c r="BH234" t="s">
        <v>74</v>
      </c>
      <c r="BI234">
        <v>8</v>
      </c>
      <c r="BJ234" t="s">
        <v>1427</v>
      </c>
      <c r="BK234" t="s">
        <v>102</v>
      </c>
      <c r="BL234" t="s">
        <v>1428</v>
      </c>
      <c r="BM234" t="s">
        <v>4780</v>
      </c>
      <c r="BN234" t="s">
        <v>74</v>
      </c>
      <c r="BO234" t="s">
        <v>827</v>
      </c>
      <c r="BP234" t="s">
        <v>74</v>
      </c>
      <c r="BQ234" t="s">
        <v>74</v>
      </c>
      <c r="BR234" t="s">
        <v>105</v>
      </c>
      <c r="BS234" t="s">
        <v>4781</v>
      </c>
      <c r="BT234" t="str">
        <f>HYPERLINK("https%3A%2F%2Fwww.webofscience.com%2Fwos%2Fwoscc%2Ffull-record%2FWOS:000340323900014","View Full Record in Web of Science")</f>
        <v>View Full Record in Web of Science</v>
      </c>
    </row>
    <row r="235" spans="1:72" x14ac:dyDescent="0.15">
      <c r="A235" t="s">
        <v>72</v>
      </c>
      <c r="B235" t="s">
        <v>4782</v>
      </c>
      <c r="C235" t="s">
        <v>74</v>
      </c>
      <c r="D235" t="s">
        <v>74</v>
      </c>
      <c r="E235" t="s">
        <v>74</v>
      </c>
      <c r="F235" t="s">
        <v>4783</v>
      </c>
      <c r="G235" t="s">
        <v>74</v>
      </c>
      <c r="H235" t="s">
        <v>74</v>
      </c>
      <c r="I235" t="s">
        <v>4784</v>
      </c>
      <c r="J235" t="s">
        <v>1236</v>
      </c>
      <c r="K235" t="s">
        <v>74</v>
      </c>
      <c r="L235" t="s">
        <v>74</v>
      </c>
      <c r="M235" t="s">
        <v>78</v>
      </c>
      <c r="N235" t="s">
        <v>79</v>
      </c>
      <c r="O235" t="s">
        <v>74</v>
      </c>
      <c r="P235" t="s">
        <v>74</v>
      </c>
      <c r="Q235" t="s">
        <v>74</v>
      </c>
      <c r="R235" t="s">
        <v>74</v>
      </c>
      <c r="S235" t="s">
        <v>74</v>
      </c>
      <c r="T235" t="s">
        <v>4785</v>
      </c>
      <c r="U235" t="s">
        <v>4786</v>
      </c>
      <c r="V235" t="s">
        <v>4787</v>
      </c>
      <c r="W235" t="s">
        <v>4788</v>
      </c>
      <c r="X235" t="s">
        <v>4789</v>
      </c>
      <c r="Y235" t="s">
        <v>4790</v>
      </c>
      <c r="Z235" t="s">
        <v>4791</v>
      </c>
      <c r="AA235" t="s">
        <v>4792</v>
      </c>
      <c r="AB235" t="s">
        <v>4793</v>
      </c>
      <c r="AC235" t="s">
        <v>4794</v>
      </c>
      <c r="AD235" t="s">
        <v>4795</v>
      </c>
      <c r="AE235" t="s">
        <v>4796</v>
      </c>
      <c r="AF235" t="s">
        <v>74</v>
      </c>
      <c r="AG235">
        <v>28</v>
      </c>
      <c r="AH235">
        <v>3</v>
      </c>
      <c r="AI235">
        <v>3</v>
      </c>
      <c r="AJ235">
        <v>0</v>
      </c>
      <c r="AK235">
        <v>2</v>
      </c>
      <c r="AL235" t="s">
        <v>1246</v>
      </c>
      <c r="AM235" t="s">
        <v>1247</v>
      </c>
      <c r="AN235" t="s">
        <v>1248</v>
      </c>
      <c r="AO235" t="s">
        <v>1249</v>
      </c>
      <c r="AP235" t="s">
        <v>1250</v>
      </c>
      <c r="AQ235" t="s">
        <v>74</v>
      </c>
      <c r="AR235" t="s">
        <v>1236</v>
      </c>
      <c r="AS235" t="s">
        <v>1251</v>
      </c>
      <c r="AT235" t="s">
        <v>4797</v>
      </c>
      <c r="AU235">
        <v>2014</v>
      </c>
      <c r="AV235">
        <v>3852</v>
      </c>
      <c r="AW235">
        <v>1</v>
      </c>
      <c r="AX235" t="s">
        <v>74</v>
      </c>
      <c r="AY235" t="s">
        <v>74</v>
      </c>
      <c r="AZ235" t="s">
        <v>74</v>
      </c>
      <c r="BA235" t="s">
        <v>74</v>
      </c>
      <c r="BB235">
        <v>133</v>
      </c>
      <c r="BC235">
        <v>140</v>
      </c>
      <c r="BD235" t="s">
        <v>74</v>
      </c>
      <c r="BE235" t="s">
        <v>74</v>
      </c>
      <c r="BF235" t="s">
        <v>74</v>
      </c>
      <c r="BG235" t="s">
        <v>74</v>
      </c>
      <c r="BH235" t="s">
        <v>74</v>
      </c>
      <c r="BI235">
        <v>8</v>
      </c>
      <c r="BJ235" t="s">
        <v>1254</v>
      </c>
      <c r="BK235" t="s">
        <v>102</v>
      </c>
      <c r="BL235" t="s">
        <v>1254</v>
      </c>
      <c r="BM235" t="s">
        <v>4798</v>
      </c>
      <c r="BN235" t="s">
        <v>74</v>
      </c>
      <c r="BO235" t="s">
        <v>74</v>
      </c>
      <c r="BP235" t="s">
        <v>74</v>
      </c>
      <c r="BQ235" t="s">
        <v>74</v>
      </c>
      <c r="BR235" t="s">
        <v>105</v>
      </c>
      <c r="BS235" t="s">
        <v>4799</v>
      </c>
      <c r="BT235" t="str">
        <f>HYPERLINK("https%3A%2F%2Fwww.webofscience.com%2Fwos%2Fwoscc%2Ffull-record%2FWOS:000340743700006","View Full Record in Web of Science")</f>
        <v>View Full Record in Web of Science</v>
      </c>
    </row>
    <row r="236" spans="1:72" x14ac:dyDescent="0.15">
      <c r="A236" t="s">
        <v>72</v>
      </c>
      <c r="B236" t="s">
        <v>4800</v>
      </c>
      <c r="C236" t="s">
        <v>74</v>
      </c>
      <c r="D236" t="s">
        <v>74</v>
      </c>
      <c r="E236" t="s">
        <v>74</v>
      </c>
      <c r="F236" t="s">
        <v>4801</v>
      </c>
      <c r="G236" t="s">
        <v>74</v>
      </c>
      <c r="H236" t="s">
        <v>74</v>
      </c>
      <c r="I236" t="s">
        <v>4802</v>
      </c>
      <c r="J236" t="s">
        <v>1194</v>
      </c>
      <c r="K236" t="s">
        <v>74</v>
      </c>
      <c r="L236" t="s">
        <v>74</v>
      </c>
      <c r="M236" t="s">
        <v>78</v>
      </c>
      <c r="N236" t="s">
        <v>79</v>
      </c>
      <c r="O236" t="s">
        <v>74</v>
      </c>
      <c r="P236" t="s">
        <v>74</v>
      </c>
      <c r="Q236" t="s">
        <v>74</v>
      </c>
      <c r="R236" t="s">
        <v>74</v>
      </c>
      <c r="S236" t="s">
        <v>74</v>
      </c>
      <c r="T236" t="s">
        <v>4803</v>
      </c>
      <c r="U236" t="s">
        <v>4804</v>
      </c>
      <c r="V236" t="s">
        <v>4805</v>
      </c>
      <c r="W236" t="s">
        <v>4806</v>
      </c>
      <c r="X236" t="s">
        <v>4807</v>
      </c>
      <c r="Y236" t="s">
        <v>4808</v>
      </c>
      <c r="Z236" t="s">
        <v>4809</v>
      </c>
      <c r="AA236" t="s">
        <v>4810</v>
      </c>
      <c r="AB236" t="s">
        <v>4811</v>
      </c>
      <c r="AC236" t="s">
        <v>4812</v>
      </c>
      <c r="AD236" t="s">
        <v>4813</v>
      </c>
      <c r="AE236" t="s">
        <v>4814</v>
      </c>
      <c r="AF236" t="s">
        <v>74</v>
      </c>
      <c r="AG236">
        <v>45</v>
      </c>
      <c r="AH236">
        <v>41</v>
      </c>
      <c r="AI236">
        <v>43</v>
      </c>
      <c r="AJ236">
        <v>0</v>
      </c>
      <c r="AK236">
        <v>29</v>
      </c>
      <c r="AL236" t="s">
        <v>1207</v>
      </c>
      <c r="AM236" t="s">
        <v>332</v>
      </c>
      <c r="AN236" t="s">
        <v>1208</v>
      </c>
      <c r="AO236" t="s">
        <v>1209</v>
      </c>
      <c r="AP236" t="s">
        <v>74</v>
      </c>
      <c r="AQ236" t="s">
        <v>74</v>
      </c>
      <c r="AR236" t="s">
        <v>1210</v>
      </c>
      <c r="AS236" t="s">
        <v>1211</v>
      </c>
      <c r="AT236" t="s">
        <v>4815</v>
      </c>
      <c r="AU236">
        <v>2014</v>
      </c>
      <c r="AV236">
        <v>111</v>
      </c>
      <c r="AW236">
        <v>32</v>
      </c>
      <c r="AX236" t="s">
        <v>74</v>
      </c>
      <c r="AY236" t="s">
        <v>74</v>
      </c>
      <c r="AZ236" t="s">
        <v>74</v>
      </c>
      <c r="BA236" t="s">
        <v>74</v>
      </c>
      <c r="BB236">
        <v>11630</v>
      </c>
      <c r="BC236">
        <v>11635</v>
      </c>
      <c r="BD236" t="s">
        <v>74</v>
      </c>
      <c r="BE236" t="s">
        <v>4816</v>
      </c>
      <c r="BF236" t="str">
        <f>HYPERLINK("http://dx.doi.org/10.1073/pnas.1401547111","http://dx.doi.org/10.1073/pnas.1401547111")</f>
        <v>http://dx.doi.org/10.1073/pnas.1401547111</v>
      </c>
      <c r="BG236" t="s">
        <v>74</v>
      </c>
      <c r="BH236" t="s">
        <v>74</v>
      </c>
      <c r="BI236">
        <v>6</v>
      </c>
      <c r="BJ236" t="s">
        <v>660</v>
      </c>
      <c r="BK236" t="s">
        <v>102</v>
      </c>
      <c r="BL236" t="s">
        <v>661</v>
      </c>
      <c r="BM236" t="s">
        <v>4817</v>
      </c>
      <c r="BN236">
        <v>25071171</v>
      </c>
      <c r="BO236" t="s">
        <v>1053</v>
      </c>
      <c r="BP236" t="s">
        <v>74</v>
      </c>
      <c r="BQ236" t="s">
        <v>74</v>
      </c>
      <c r="BR236" t="s">
        <v>105</v>
      </c>
      <c r="BS236" t="s">
        <v>4818</v>
      </c>
      <c r="BT236" t="str">
        <f>HYPERLINK("https%3A%2F%2Fwww.webofscience.com%2Fwos%2Fwoscc%2Ffull-record%2FWOS:000340097900026","View Full Record in Web of Science")</f>
        <v>View Full Record in Web of Science</v>
      </c>
    </row>
    <row r="237" spans="1:72" x14ac:dyDescent="0.15">
      <c r="A237" t="s">
        <v>72</v>
      </c>
      <c r="B237" t="s">
        <v>4819</v>
      </c>
      <c r="C237" t="s">
        <v>74</v>
      </c>
      <c r="D237" t="s">
        <v>74</v>
      </c>
      <c r="E237" t="s">
        <v>74</v>
      </c>
      <c r="F237" t="s">
        <v>4820</v>
      </c>
      <c r="G237" t="s">
        <v>74</v>
      </c>
      <c r="H237" t="s">
        <v>74</v>
      </c>
      <c r="I237" t="s">
        <v>4821</v>
      </c>
      <c r="J237" t="s">
        <v>1083</v>
      </c>
      <c r="K237" t="s">
        <v>74</v>
      </c>
      <c r="L237" t="s">
        <v>74</v>
      </c>
      <c r="M237" t="s">
        <v>78</v>
      </c>
      <c r="N237" t="s">
        <v>79</v>
      </c>
      <c r="O237" t="s">
        <v>74</v>
      </c>
      <c r="P237" t="s">
        <v>74</v>
      </c>
      <c r="Q237" t="s">
        <v>74</v>
      </c>
      <c r="R237" t="s">
        <v>74</v>
      </c>
      <c r="S237" t="s">
        <v>74</v>
      </c>
      <c r="T237" t="s">
        <v>74</v>
      </c>
      <c r="U237" t="s">
        <v>4822</v>
      </c>
      <c r="V237" t="s">
        <v>4823</v>
      </c>
      <c r="W237" t="s">
        <v>4824</v>
      </c>
      <c r="X237" t="s">
        <v>4825</v>
      </c>
      <c r="Y237" t="s">
        <v>4826</v>
      </c>
      <c r="Z237" t="s">
        <v>4827</v>
      </c>
      <c r="AA237" t="s">
        <v>74</v>
      </c>
      <c r="AB237" t="s">
        <v>4828</v>
      </c>
      <c r="AC237" t="s">
        <v>4829</v>
      </c>
      <c r="AD237" t="s">
        <v>4830</v>
      </c>
      <c r="AE237" t="s">
        <v>4831</v>
      </c>
      <c r="AF237" t="s">
        <v>74</v>
      </c>
      <c r="AG237">
        <v>22</v>
      </c>
      <c r="AH237">
        <v>44</v>
      </c>
      <c r="AI237">
        <v>46</v>
      </c>
      <c r="AJ237">
        <v>1</v>
      </c>
      <c r="AK237">
        <v>27</v>
      </c>
      <c r="AL237" t="s">
        <v>1090</v>
      </c>
      <c r="AM237" t="s">
        <v>1091</v>
      </c>
      <c r="AN237" t="s">
        <v>1092</v>
      </c>
      <c r="AO237" t="s">
        <v>1093</v>
      </c>
      <c r="AP237" t="s">
        <v>74</v>
      </c>
      <c r="AQ237" t="s">
        <v>74</v>
      </c>
      <c r="AR237" t="s">
        <v>1083</v>
      </c>
      <c r="AS237" t="s">
        <v>1094</v>
      </c>
      <c r="AT237" t="s">
        <v>4832</v>
      </c>
      <c r="AU237">
        <v>2014</v>
      </c>
      <c r="AV237">
        <v>9</v>
      </c>
      <c r="AW237">
        <v>8</v>
      </c>
      <c r="AX237" t="s">
        <v>74</v>
      </c>
      <c r="AY237" t="s">
        <v>74</v>
      </c>
      <c r="AZ237" t="s">
        <v>74</v>
      </c>
      <c r="BA237" t="s">
        <v>74</v>
      </c>
      <c r="BB237" t="s">
        <v>74</v>
      </c>
      <c r="BC237" t="s">
        <v>74</v>
      </c>
      <c r="BD237" t="s">
        <v>4833</v>
      </c>
      <c r="BE237" t="s">
        <v>4834</v>
      </c>
      <c r="BF237" t="str">
        <f>HYPERLINK("http://dx.doi.org/10.1371/journal.pone.0102168","http://dx.doi.org/10.1371/journal.pone.0102168")</f>
        <v>http://dx.doi.org/10.1371/journal.pone.0102168</v>
      </c>
      <c r="BG237" t="s">
        <v>74</v>
      </c>
      <c r="BH237" t="s">
        <v>74</v>
      </c>
      <c r="BI237">
        <v>14</v>
      </c>
      <c r="BJ237" t="s">
        <v>660</v>
      </c>
      <c r="BK237" t="s">
        <v>102</v>
      </c>
      <c r="BL237" t="s">
        <v>661</v>
      </c>
      <c r="BM237" t="s">
        <v>4835</v>
      </c>
      <c r="BN237">
        <v>25105960</v>
      </c>
      <c r="BO237" t="s">
        <v>4836</v>
      </c>
      <c r="BP237" t="s">
        <v>74</v>
      </c>
      <c r="BQ237" t="s">
        <v>74</v>
      </c>
      <c r="BR237" t="s">
        <v>105</v>
      </c>
      <c r="BS237" t="s">
        <v>4837</v>
      </c>
      <c r="BT237" t="str">
        <f>HYPERLINK("https%3A%2F%2Fwww.webofscience.com%2Fwos%2Fwoscc%2Ffull-record%2FWOS:000343231900004","View Full Record in Web of Science")</f>
        <v>View Full Record in Web of Science</v>
      </c>
    </row>
    <row r="238" spans="1:72" x14ac:dyDescent="0.15">
      <c r="A238" t="s">
        <v>72</v>
      </c>
      <c r="B238" t="s">
        <v>4838</v>
      </c>
      <c r="C238" t="s">
        <v>74</v>
      </c>
      <c r="D238" t="s">
        <v>74</v>
      </c>
      <c r="E238" t="s">
        <v>74</v>
      </c>
      <c r="F238" t="s">
        <v>4839</v>
      </c>
      <c r="G238" t="s">
        <v>74</v>
      </c>
      <c r="H238" t="s">
        <v>74</v>
      </c>
      <c r="I238" t="s">
        <v>4840</v>
      </c>
      <c r="J238" t="s">
        <v>1129</v>
      </c>
      <c r="K238" t="s">
        <v>74</v>
      </c>
      <c r="L238" t="s">
        <v>74</v>
      </c>
      <c r="M238" t="s">
        <v>78</v>
      </c>
      <c r="N238" t="s">
        <v>1516</v>
      </c>
      <c r="O238" t="s">
        <v>74</v>
      </c>
      <c r="P238" t="s">
        <v>74</v>
      </c>
      <c r="Q238" t="s">
        <v>74</v>
      </c>
      <c r="R238" t="s">
        <v>74</v>
      </c>
      <c r="S238" t="s">
        <v>74</v>
      </c>
      <c r="T238" t="s">
        <v>74</v>
      </c>
      <c r="U238" t="s">
        <v>4841</v>
      </c>
      <c r="V238" t="s">
        <v>74</v>
      </c>
      <c r="W238" t="s">
        <v>4842</v>
      </c>
      <c r="X238" t="s">
        <v>4843</v>
      </c>
      <c r="Y238" t="s">
        <v>4844</v>
      </c>
      <c r="Z238" t="s">
        <v>4845</v>
      </c>
      <c r="AA238" t="s">
        <v>4846</v>
      </c>
      <c r="AB238" t="s">
        <v>4847</v>
      </c>
      <c r="AC238" t="s">
        <v>4848</v>
      </c>
      <c r="AD238" t="s">
        <v>4849</v>
      </c>
      <c r="AE238" t="s">
        <v>74</v>
      </c>
      <c r="AF238" t="s">
        <v>74</v>
      </c>
      <c r="AG238">
        <v>8</v>
      </c>
      <c r="AH238">
        <v>149</v>
      </c>
      <c r="AI238">
        <v>167</v>
      </c>
      <c r="AJ238">
        <v>0</v>
      </c>
      <c r="AK238">
        <v>110</v>
      </c>
      <c r="AL238" t="s">
        <v>653</v>
      </c>
      <c r="AM238" t="s">
        <v>654</v>
      </c>
      <c r="AN238" t="s">
        <v>655</v>
      </c>
      <c r="AO238" t="s">
        <v>1135</v>
      </c>
      <c r="AP238" t="s">
        <v>1136</v>
      </c>
      <c r="AQ238" t="s">
        <v>74</v>
      </c>
      <c r="AR238" t="s">
        <v>1129</v>
      </c>
      <c r="AS238" t="s">
        <v>1137</v>
      </c>
      <c r="AT238" t="s">
        <v>4850</v>
      </c>
      <c r="AU238">
        <v>2014</v>
      </c>
      <c r="AV238">
        <v>512</v>
      </c>
      <c r="AW238">
        <v>7512</v>
      </c>
      <c r="AX238" t="s">
        <v>74</v>
      </c>
      <c r="AY238" t="s">
        <v>74</v>
      </c>
      <c r="AZ238" t="s">
        <v>74</v>
      </c>
      <c r="BA238" t="s">
        <v>74</v>
      </c>
      <c r="BB238">
        <v>23</v>
      </c>
      <c r="BC238">
        <v>25</v>
      </c>
      <c r="BD238" t="s">
        <v>74</v>
      </c>
      <c r="BE238" t="s">
        <v>4851</v>
      </c>
      <c r="BF238" t="str">
        <f>HYPERLINK("http://dx.doi.org/10.1038/512023a","http://dx.doi.org/10.1038/512023a")</f>
        <v>http://dx.doi.org/10.1038/512023a</v>
      </c>
      <c r="BG238" t="s">
        <v>74</v>
      </c>
      <c r="BH238" t="s">
        <v>74</v>
      </c>
      <c r="BI238">
        <v>3</v>
      </c>
      <c r="BJ238" t="s">
        <v>660</v>
      </c>
      <c r="BK238" t="s">
        <v>1690</v>
      </c>
      <c r="BL238" t="s">
        <v>661</v>
      </c>
      <c r="BM238" t="s">
        <v>4852</v>
      </c>
      <c r="BN238">
        <v>25100467</v>
      </c>
      <c r="BO238" t="s">
        <v>1053</v>
      </c>
      <c r="BP238" t="s">
        <v>74</v>
      </c>
      <c r="BQ238" t="s">
        <v>74</v>
      </c>
      <c r="BR238" t="s">
        <v>105</v>
      </c>
      <c r="BS238" t="s">
        <v>4853</v>
      </c>
      <c r="BT238" t="str">
        <f>HYPERLINK("https%3A%2F%2Fwww.webofscience.com%2Fwos%2Fwoscc%2Ffull-record%2FWOS:000339908000012","View Full Record in Web of Science")</f>
        <v>View Full Record in Web of Science</v>
      </c>
    </row>
    <row r="239" spans="1:72" x14ac:dyDescent="0.15">
      <c r="A239" t="s">
        <v>72</v>
      </c>
      <c r="B239" t="s">
        <v>4854</v>
      </c>
      <c r="C239" t="s">
        <v>74</v>
      </c>
      <c r="D239" t="s">
        <v>74</v>
      </c>
      <c r="E239" t="s">
        <v>74</v>
      </c>
      <c r="F239" t="s">
        <v>4855</v>
      </c>
      <c r="G239" t="s">
        <v>74</v>
      </c>
      <c r="H239" t="s">
        <v>74</v>
      </c>
      <c r="I239" t="s">
        <v>4856</v>
      </c>
      <c r="J239" t="s">
        <v>1083</v>
      </c>
      <c r="K239" t="s">
        <v>74</v>
      </c>
      <c r="L239" t="s">
        <v>74</v>
      </c>
      <c r="M239" t="s">
        <v>78</v>
      </c>
      <c r="N239" t="s">
        <v>79</v>
      </c>
      <c r="O239" t="s">
        <v>74</v>
      </c>
      <c r="P239" t="s">
        <v>74</v>
      </c>
      <c r="Q239" t="s">
        <v>74</v>
      </c>
      <c r="R239" t="s">
        <v>74</v>
      </c>
      <c r="S239" t="s">
        <v>74</v>
      </c>
      <c r="T239" t="s">
        <v>74</v>
      </c>
      <c r="U239" t="s">
        <v>4857</v>
      </c>
      <c r="V239" t="s">
        <v>4858</v>
      </c>
      <c r="W239" t="s">
        <v>4859</v>
      </c>
      <c r="X239" t="s">
        <v>4860</v>
      </c>
      <c r="Y239" t="s">
        <v>4861</v>
      </c>
      <c r="Z239" t="s">
        <v>4862</v>
      </c>
      <c r="AA239" t="s">
        <v>4863</v>
      </c>
      <c r="AB239" t="s">
        <v>4864</v>
      </c>
      <c r="AC239" t="s">
        <v>4865</v>
      </c>
      <c r="AD239" t="s">
        <v>4866</v>
      </c>
      <c r="AE239" t="s">
        <v>4867</v>
      </c>
      <c r="AF239" t="s">
        <v>74</v>
      </c>
      <c r="AG239">
        <v>60</v>
      </c>
      <c r="AH239">
        <v>31</v>
      </c>
      <c r="AI239">
        <v>34</v>
      </c>
      <c r="AJ239">
        <v>0</v>
      </c>
      <c r="AK239">
        <v>49</v>
      </c>
      <c r="AL239" t="s">
        <v>1090</v>
      </c>
      <c r="AM239" t="s">
        <v>1091</v>
      </c>
      <c r="AN239" t="s">
        <v>1092</v>
      </c>
      <c r="AO239" t="s">
        <v>1093</v>
      </c>
      <c r="AP239" t="s">
        <v>74</v>
      </c>
      <c r="AQ239" t="s">
        <v>74</v>
      </c>
      <c r="AR239" t="s">
        <v>1083</v>
      </c>
      <c r="AS239" t="s">
        <v>1094</v>
      </c>
      <c r="AT239" t="s">
        <v>4850</v>
      </c>
      <c r="AU239">
        <v>2014</v>
      </c>
      <c r="AV239">
        <v>9</v>
      </c>
      <c r="AW239">
        <v>8</v>
      </c>
      <c r="AX239" t="s">
        <v>74</v>
      </c>
      <c r="AY239" t="s">
        <v>74</v>
      </c>
      <c r="AZ239" t="s">
        <v>74</v>
      </c>
      <c r="BA239" t="s">
        <v>74</v>
      </c>
      <c r="BB239" t="s">
        <v>74</v>
      </c>
      <c r="BC239" t="s">
        <v>74</v>
      </c>
      <c r="BD239" t="s">
        <v>4868</v>
      </c>
      <c r="BE239" t="s">
        <v>4869</v>
      </c>
      <c r="BF239" t="str">
        <f>HYPERLINK("http://dx.doi.org/10.1371/journal.pone.0104505","http://dx.doi.org/10.1371/journal.pone.0104505")</f>
        <v>http://dx.doi.org/10.1371/journal.pone.0104505</v>
      </c>
      <c r="BG239" t="s">
        <v>74</v>
      </c>
      <c r="BH239" t="s">
        <v>74</v>
      </c>
      <c r="BI239">
        <v>12</v>
      </c>
      <c r="BJ239" t="s">
        <v>660</v>
      </c>
      <c r="BK239" t="s">
        <v>102</v>
      </c>
      <c r="BL239" t="s">
        <v>661</v>
      </c>
      <c r="BM239" t="s">
        <v>4870</v>
      </c>
      <c r="BN239">
        <v>25101779</v>
      </c>
      <c r="BO239" t="s">
        <v>1381</v>
      </c>
      <c r="BP239" t="s">
        <v>74</v>
      </c>
      <c r="BQ239" t="s">
        <v>74</v>
      </c>
      <c r="BR239" t="s">
        <v>105</v>
      </c>
      <c r="BS239" t="s">
        <v>4871</v>
      </c>
      <c r="BT239" t="str">
        <f>HYPERLINK("https%3A%2F%2Fwww.webofscience.com%2Fwos%2Fwoscc%2Ffull-record%2FWOS:000339993900071","View Full Record in Web of Science")</f>
        <v>View Full Record in Web of Science</v>
      </c>
    </row>
    <row r="240" spans="1:72" x14ac:dyDescent="0.15">
      <c r="A240" t="s">
        <v>72</v>
      </c>
      <c r="B240" t="s">
        <v>4872</v>
      </c>
      <c r="C240" t="s">
        <v>74</v>
      </c>
      <c r="D240" t="s">
        <v>74</v>
      </c>
      <c r="E240" t="s">
        <v>74</v>
      </c>
      <c r="F240" t="s">
        <v>4873</v>
      </c>
      <c r="G240" t="s">
        <v>74</v>
      </c>
      <c r="H240" t="s">
        <v>74</v>
      </c>
      <c r="I240" t="s">
        <v>4874</v>
      </c>
      <c r="J240" t="s">
        <v>1083</v>
      </c>
      <c r="K240" t="s">
        <v>74</v>
      </c>
      <c r="L240" t="s">
        <v>74</v>
      </c>
      <c r="M240" t="s">
        <v>78</v>
      </c>
      <c r="N240" t="s">
        <v>79</v>
      </c>
      <c r="O240" t="s">
        <v>74</v>
      </c>
      <c r="P240" t="s">
        <v>74</v>
      </c>
      <c r="Q240" t="s">
        <v>74</v>
      </c>
      <c r="R240" t="s">
        <v>74</v>
      </c>
      <c r="S240" t="s">
        <v>74</v>
      </c>
      <c r="T240" t="s">
        <v>74</v>
      </c>
      <c r="U240" t="s">
        <v>4875</v>
      </c>
      <c r="V240" t="s">
        <v>4876</v>
      </c>
      <c r="W240" t="s">
        <v>4877</v>
      </c>
      <c r="X240" t="s">
        <v>4878</v>
      </c>
      <c r="Y240" t="s">
        <v>4879</v>
      </c>
      <c r="Z240" t="s">
        <v>4880</v>
      </c>
      <c r="AA240" t="s">
        <v>4881</v>
      </c>
      <c r="AB240" t="s">
        <v>4882</v>
      </c>
      <c r="AC240" t="s">
        <v>4883</v>
      </c>
      <c r="AD240" t="s">
        <v>4884</v>
      </c>
      <c r="AE240" t="s">
        <v>4885</v>
      </c>
      <c r="AF240" t="s">
        <v>74</v>
      </c>
      <c r="AG240">
        <v>63</v>
      </c>
      <c r="AH240">
        <v>16</v>
      </c>
      <c r="AI240">
        <v>17</v>
      </c>
      <c r="AJ240">
        <v>0</v>
      </c>
      <c r="AK240">
        <v>26</v>
      </c>
      <c r="AL240" t="s">
        <v>1090</v>
      </c>
      <c r="AM240" t="s">
        <v>1091</v>
      </c>
      <c r="AN240" t="s">
        <v>1092</v>
      </c>
      <c r="AO240" t="s">
        <v>1093</v>
      </c>
      <c r="AP240" t="s">
        <v>74</v>
      </c>
      <c r="AQ240" t="s">
        <v>74</v>
      </c>
      <c r="AR240" t="s">
        <v>1083</v>
      </c>
      <c r="AS240" t="s">
        <v>1094</v>
      </c>
      <c r="AT240" t="s">
        <v>4886</v>
      </c>
      <c r="AU240">
        <v>2014</v>
      </c>
      <c r="AV240">
        <v>9</v>
      </c>
      <c r="AW240">
        <v>8</v>
      </c>
      <c r="AX240" t="s">
        <v>74</v>
      </c>
      <c r="AY240" t="s">
        <v>74</v>
      </c>
      <c r="AZ240" t="s">
        <v>74</v>
      </c>
      <c r="BA240" t="s">
        <v>74</v>
      </c>
      <c r="BB240" t="s">
        <v>74</v>
      </c>
      <c r="BC240" t="s">
        <v>74</v>
      </c>
      <c r="BD240" t="s">
        <v>4887</v>
      </c>
      <c r="BE240" t="s">
        <v>4888</v>
      </c>
      <c r="BF240" t="str">
        <f>HYPERLINK("http://dx.doi.org/10.1371/journal.pone.0104526","http://dx.doi.org/10.1371/journal.pone.0104526")</f>
        <v>http://dx.doi.org/10.1371/journal.pone.0104526</v>
      </c>
      <c r="BG240" t="s">
        <v>74</v>
      </c>
      <c r="BH240" t="s">
        <v>74</v>
      </c>
      <c r="BI240">
        <v>12</v>
      </c>
      <c r="BJ240" t="s">
        <v>660</v>
      </c>
      <c r="BK240" t="s">
        <v>102</v>
      </c>
      <c r="BL240" t="s">
        <v>661</v>
      </c>
      <c r="BM240" t="s">
        <v>4889</v>
      </c>
      <c r="BN240">
        <v>25098249</v>
      </c>
      <c r="BO240" t="s">
        <v>4890</v>
      </c>
      <c r="BP240" t="s">
        <v>74</v>
      </c>
      <c r="BQ240" t="s">
        <v>74</v>
      </c>
      <c r="BR240" t="s">
        <v>105</v>
      </c>
      <c r="BS240" t="s">
        <v>4891</v>
      </c>
      <c r="BT240" t="str">
        <f>HYPERLINK("https%3A%2F%2Fwww.webofscience.com%2Fwos%2Fwoscc%2Ffull-record%2FWOS:000339995100081","View Full Record in Web of Science")</f>
        <v>View Full Record in Web of Science</v>
      </c>
    </row>
    <row r="241" spans="1:72" x14ac:dyDescent="0.15">
      <c r="A241" t="s">
        <v>72</v>
      </c>
      <c r="B241" t="s">
        <v>4892</v>
      </c>
      <c r="C241" t="s">
        <v>74</v>
      </c>
      <c r="D241" t="s">
        <v>74</v>
      </c>
      <c r="E241" t="s">
        <v>74</v>
      </c>
      <c r="F241" t="s">
        <v>4893</v>
      </c>
      <c r="G241" t="s">
        <v>74</v>
      </c>
      <c r="H241" t="s">
        <v>74</v>
      </c>
      <c r="I241" t="s">
        <v>4894</v>
      </c>
      <c r="J241" t="s">
        <v>1083</v>
      </c>
      <c r="K241" t="s">
        <v>74</v>
      </c>
      <c r="L241" t="s">
        <v>74</v>
      </c>
      <c r="M241" t="s">
        <v>78</v>
      </c>
      <c r="N241" t="s">
        <v>79</v>
      </c>
      <c r="O241" t="s">
        <v>74</v>
      </c>
      <c r="P241" t="s">
        <v>74</v>
      </c>
      <c r="Q241" t="s">
        <v>74</v>
      </c>
      <c r="R241" t="s">
        <v>74</v>
      </c>
      <c r="S241" t="s">
        <v>74</v>
      </c>
      <c r="T241" t="s">
        <v>74</v>
      </c>
      <c r="U241" t="s">
        <v>4895</v>
      </c>
      <c r="V241" t="s">
        <v>4896</v>
      </c>
      <c r="W241" t="s">
        <v>4897</v>
      </c>
      <c r="X241" t="s">
        <v>4898</v>
      </c>
      <c r="Y241" t="s">
        <v>4899</v>
      </c>
      <c r="Z241" t="s">
        <v>4900</v>
      </c>
      <c r="AA241" t="s">
        <v>4901</v>
      </c>
      <c r="AB241" t="s">
        <v>4902</v>
      </c>
      <c r="AC241" t="s">
        <v>4903</v>
      </c>
      <c r="AD241" t="s">
        <v>4904</v>
      </c>
      <c r="AE241" t="s">
        <v>4905</v>
      </c>
      <c r="AF241" t="s">
        <v>74</v>
      </c>
      <c r="AG241">
        <v>85</v>
      </c>
      <c r="AH241">
        <v>32</v>
      </c>
      <c r="AI241">
        <v>39</v>
      </c>
      <c r="AJ241">
        <v>0</v>
      </c>
      <c r="AK241">
        <v>2</v>
      </c>
      <c r="AL241" t="s">
        <v>1090</v>
      </c>
      <c r="AM241" t="s">
        <v>1091</v>
      </c>
      <c r="AN241" t="s">
        <v>1092</v>
      </c>
      <c r="AO241" t="s">
        <v>1093</v>
      </c>
      <c r="AP241" t="s">
        <v>74</v>
      </c>
      <c r="AQ241" t="s">
        <v>74</v>
      </c>
      <c r="AR241" t="s">
        <v>1083</v>
      </c>
      <c r="AS241" t="s">
        <v>1094</v>
      </c>
      <c r="AT241" t="s">
        <v>4906</v>
      </c>
      <c r="AU241">
        <v>2014</v>
      </c>
      <c r="AV241">
        <v>9</v>
      </c>
      <c r="AW241">
        <v>8</v>
      </c>
      <c r="AX241" t="s">
        <v>74</v>
      </c>
      <c r="AY241" t="s">
        <v>74</v>
      </c>
      <c r="AZ241" t="s">
        <v>74</v>
      </c>
      <c r="BA241" t="s">
        <v>74</v>
      </c>
      <c r="BB241" t="s">
        <v>74</v>
      </c>
      <c r="BC241" t="s">
        <v>74</v>
      </c>
      <c r="BD241" t="s">
        <v>4907</v>
      </c>
      <c r="BE241" t="s">
        <v>4908</v>
      </c>
      <c r="BF241" t="str">
        <f>HYPERLINK("http://dx.doi.org/10.1371/journal.pone.0103480","http://dx.doi.org/10.1371/journal.pone.0103480")</f>
        <v>http://dx.doi.org/10.1371/journal.pone.0103480</v>
      </c>
      <c r="BG241" t="s">
        <v>74</v>
      </c>
      <c r="BH241" t="s">
        <v>74</v>
      </c>
      <c r="BI241">
        <v>9</v>
      </c>
      <c r="BJ241" t="s">
        <v>660</v>
      </c>
      <c r="BK241" t="s">
        <v>102</v>
      </c>
      <c r="BL241" t="s">
        <v>661</v>
      </c>
      <c r="BM241" t="s">
        <v>4909</v>
      </c>
      <c r="BN241">
        <v>25090250</v>
      </c>
      <c r="BO241" t="s">
        <v>4910</v>
      </c>
      <c r="BP241" t="s">
        <v>74</v>
      </c>
      <c r="BQ241" t="s">
        <v>74</v>
      </c>
      <c r="BR241" t="s">
        <v>105</v>
      </c>
      <c r="BS241" t="s">
        <v>4911</v>
      </c>
      <c r="BT241" t="str">
        <f>HYPERLINK("https%3A%2F%2Fwww.webofscience.com%2Fwos%2Fwoscc%2Ffull-record%2FWOS:000339812700029","View Full Record in Web of Science")</f>
        <v>View Full Record in Web of Science</v>
      </c>
    </row>
    <row r="242" spans="1:72" x14ac:dyDescent="0.15">
      <c r="A242" t="s">
        <v>72</v>
      </c>
      <c r="B242" t="s">
        <v>4912</v>
      </c>
      <c r="C242" t="s">
        <v>74</v>
      </c>
      <c r="D242" t="s">
        <v>74</v>
      </c>
      <c r="E242" t="s">
        <v>74</v>
      </c>
      <c r="F242" t="s">
        <v>4913</v>
      </c>
      <c r="G242" t="s">
        <v>74</v>
      </c>
      <c r="H242" t="s">
        <v>74</v>
      </c>
      <c r="I242" t="s">
        <v>4914</v>
      </c>
      <c r="J242" t="s">
        <v>4915</v>
      </c>
      <c r="K242" t="s">
        <v>74</v>
      </c>
      <c r="L242" t="s">
        <v>74</v>
      </c>
      <c r="M242" t="s">
        <v>78</v>
      </c>
      <c r="N242" t="s">
        <v>79</v>
      </c>
      <c r="O242" t="s">
        <v>74</v>
      </c>
      <c r="P242" t="s">
        <v>74</v>
      </c>
      <c r="Q242" t="s">
        <v>74</v>
      </c>
      <c r="R242" t="s">
        <v>74</v>
      </c>
      <c r="S242" t="s">
        <v>74</v>
      </c>
      <c r="T242" t="s">
        <v>4916</v>
      </c>
      <c r="U242" t="s">
        <v>4917</v>
      </c>
      <c r="V242" t="s">
        <v>4918</v>
      </c>
      <c r="W242" t="s">
        <v>4919</v>
      </c>
      <c r="X242" t="s">
        <v>4920</v>
      </c>
      <c r="Y242" t="s">
        <v>4921</v>
      </c>
      <c r="Z242" t="s">
        <v>4922</v>
      </c>
      <c r="AA242" t="s">
        <v>4923</v>
      </c>
      <c r="AB242" t="s">
        <v>74</v>
      </c>
      <c r="AC242" t="s">
        <v>4924</v>
      </c>
      <c r="AD242" t="s">
        <v>4925</v>
      </c>
      <c r="AE242" t="s">
        <v>4926</v>
      </c>
      <c r="AF242" t="s">
        <v>74</v>
      </c>
      <c r="AG242">
        <v>46</v>
      </c>
      <c r="AH242">
        <v>11</v>
      </c>
      <c r="AI242">
        <v>12</v>
      </c>
      <c r="AJ242">
        <v>1</v>
      </c>
      <c r="AK242">
        <v>26</v>
      </c>
      <c r="AL242" t="s">
        <v>4927</v>
      </c>
      <c r="AM242" t="s">
        <v>4928</v>
      </c>
      <c r="AN242" t="s">
        <v>4929</v>
      </c>
      <c r="AO242" t="s">
        <v>4930</v>
      </c>
      <c r="AP242" t="s">
        <v>4931</v>
      </c>
      <c r="AQ242" t="s">
        <v>74</v>
      </c>
      <c r="AR242" t="s">
        <v>4932</v>
      </c>
      <c r="AS242" t="s">
        <v>4933</v>
      </c>
      <c r="AT242" t="s">
        <v>4934</v>
      </c>
      <c r="AU242">
        <v>2014</v>
      </c>
      <c r="AV242">
        <v>74</v>
      </c>
      <c r="AW242">
        <v>3</v>
      </c>
      <c r="AX242" t="s">
        <v>74</v>
      </c>
      <c r="AY242" t="s">
        <v>74</v>
      </c>
      <c r="AZ242" t="s">
        <v>74</v>
      </c>
      <c r="BA242" t="s">
        <v>74</v>
      </c>
      <c r="BB242">
        <v>545</v>
      </c>
      <c r="BC242">
        <v>552</v>
      </c>
      <c r="BD242" t="s">
        <v>74</v>
      </c>
      <c r="BE242" t="s">
        <v>4935</v>
      </c>
      <c r="BF242" t="str">
        <f>HYPERLINK("http://dx.doi.org/10.1590/bjb.2014.0080","http://dx.doi.org/10.1590/bjb.2014.0080")</f>
        <v>http://dx.doi.org/10.1590/bjb.2014.0080</v>
      </c>
      <c r="BG242" t="s">
        <v>74</v>
      </c>
      <c r="BH242" t="s">
        <v>74</v>
      </c>
      <c r="BI242">
        <v>8</v>
      </c>
      <c r="BJ242" t="s">
        <v>1300</v>
      </c>
      <c r="BK242" t="s">
        <v>102</v>
      </c>
      <c r="BL242" t="s">
        <v>1301</v>
      </c>
      <c r="BM242" t="s">
        <v>4936</v>
      </c>
      <c r="BN242">
        <v>25296201</v>
      </c>
      <c r="BO242" t="s">
        <v>1898</v>
      </c>
      <c r="BP242" t="s">
        <v>74</v>
      </c>
      <c r="BQ242" t="s">
        <v>74</v>
      </c>
      <c r="BR242" t="s">
        <v>105</v>
      </c>
      <c r="BS242" t="s">
        <v>4937</v>
      </c>
      <c r="BT242" t="str">
        <f>HYPERLINK("https%3A%2F%2Fwww.webofscience.com%2Fwos%2Fwoscc%2Ffull-record%2FWOS:000343679100004","View Full Record in Web of Science")</f>
        <v>View Full Record in Web of Science</v>
      </c>
    </row>
    <row r="243" spans="1:72" x14ac:dyDescent="0.15">
      <c r="A243" t="s">
        <v>72</v>
      </c>
      <c r="B243" t="s">
        <v>4938</v>
      </c>
      <c r="C243" t="s">
        <v>74</v>
      </c>
      <c r="D243" t="s">
        <v>74</v>
      </c>
      <c r="E243" t="s">
        <v>74</v>
      </c>
      <c r="F243" t="s">
        <v>4939</v>
      </c>
      <c r="G243" t="s">
        <v>74</v>
      </c>
      <c r="H243" t="s">
        <v>74</v>
      </c>
      <c r="I243" t="s">
        <v>4940</v>
      </c>
      <c r="J243" t="s">
        <v>4941</v>
      </c>
      <c r="K243" t="s">
        <v>74</v>
      </c>
      <c r="L243" t="s">
        <v>74</v>
      </c>
      <c r="M243" t="s">
        <v>850</v>
      </c>
      <c r="N243" t="s">
        <v>79</v>
      </c>
      <c r="O243" t="s">
        <v>74</v>
      </c>
      <c r="P243" t="s">
        <v>74</v>
      </c>
      <c r="Q243" t="s">
        <v>74</v>
      </c>
      <c r="R243" t="s">
        <v>74</v>
      </c>
      <c r="S243" t="s">
        <v>74</v>
      </c>
      <c r="T243" t="s">
        <v>4942</v>
      </c>
      <c r="U243" t="s">
        <v>4943</v>
      </c>
      <c r="V243" t="s">
        <v>4944</v>
      </c>
      <c r="W243" t="s">
        <v>4945</v>
      </c>
      <c r="X243" t="s">
        <v>4946</v>
      </c>
      <c r="Y243" t="s">
        <v>4947</v>
      </c>
      <c r="Z243" t="s">
        <v>4948</v>
      </c>
      <c r="AA243" t="s">
        <v>74</v>
      </c>
      <c r="AB243" t="s">
        <v>4949</v>
      </c>
      <c r="AC243" t="s">
        <v>74</v>
      </c>
      <c r="AD243" t="s">
        <v>74</v>
      </c>
      <c r="AE243" t="s">
        <v>74</v>
      </c>
      <c r="AF243" t="s">
        <v>74</v>
      </c>
      <c r="AG243">
        <v>93</v>
      </c>
      <c r="AH243">
        <v>4</v>
      </c>
      <c r="AI243">
        <v>4</v>
      </c>
      <c r="AJ243">
        <v>0</v>
      </c>
      <c r="AK243">
        <v>5</v>
      </c>
      <c r="AL243" t="s">
        <v>4950</v>
      </c>
      <c r="AM243" t="s">
        <v>4951</v>
      </c>
      <c r="AN243" t="s">
        <v>4952</v>
      </c>
      <c r="AO243" t="s">
        <v>4953</v>
      </c>
      <c r="AP243" t="s">
        <v>4954</v>
      </c>
      <c r="AQ243" t="s">
        <v>74</v>
      </c>
      <c r="AR243" t="s">
        <v>4941</v>
      </c>
      <c r="AS243" t="s">
        <v>4955</v>
      </c>
      <c r="AT243" t="s">
        <v>4956</v>
      </c>
      <c r="AU243">
        <v>2014</v>
      </c>
      <c r="AV243">
        <v>51</v>
      </c>
      <c r="AW243">
        <v>4</v>
      </c>
      <c r="AX243" t="s">
        <v>74</v>
      </c>
      <c r="AY243" t="s">
        <v>74</v>
      </c>
      <c r="AZ243" t="s">
        <v>74</v>
      </c>
      <c r="BA243" t="s">
        <v>74</v>
      </c>
      <c r="BB243">
        <v>311</v>
      </c>
      <c r="BC243">
        <v>332</v>
      </c>
      <c r="BD243" t="s">
        <v>74</v>
      </c>
      <c r="BE243" t="s">
        <v>4957</v>
      </c>
      <c r="BF243" t="str">
        <f>HYPERLINK("http://dx.doi.org/10.5710/AMGH.25.04.2014.2230","http://dx.doi.org/10.5710/AMGH.25.04.2014.2230")</f>
        <v>http://dx.doi.org/10.5710/AMGH.25.04.2014.2230</v>
      </c>
      <c r="BG243" t="s">
        <v>74</v>
      </c>
      <c r="BH243" t="s">
        <v>74</v>
      </c>
      <c r="BI243">
        <v>22</v>
      </c>
      <c r="BJ243" t="s">
        <v>2604</v>
      </c>
      <c r="BK243" t="s">
        <v>102</v>
      </c>
      <c r="BL243" t="s">
        <v>2604</v>
      </c>
      <c r="BM243" t="s">
        <v>4958</v>
      </c>
      <c r="BN243" t="s">
        <v>74</v>
      </c>
      <c r="BO243" t="s">
        <v>1274</v>
      </c>
      <c r="BP243" t="s">
        <v>74</v>
      </c>
      <c r="BQ243" t="s">
        <v>74</v>
      </c>
      <c r="BR243" t="s">
        <v>105</v>
      </c>
      <c r="BS243" t="s">
        <v>4959</v>
      </c>
      <c r="BT243" t="str">
        <f>HYPERLINK("https%3A%2F%2Fwww.webofscience.com%2Fwos%2Fwoscc%2Ffull-record%2FWOS:000342962900004","View Full Record in Web of Science")</f>
        <v>View Full Record in Web of Science</v>
      </c>
    </row>
    <row r="244" spans="1:72" x14ac:dyDescent="0.15">
      <c r="A244" t="s">
        <v>72</v>
      </c>
      <c r="B244" t="s">
        <v>4960</v>
      </c>
      <c r="C244" t="s">
        <v>74</v>
      </c>
      <c r="D244" t="s">
        <v>74</v>
      </c>
      <c r="E244" t="s">
        <v>74</v>
      </c>
      <c r="F244" t="s">
        <v>4961</v>
      </c>
      <c r="G244" t="s">
        <v>74</v>
      </c>
      <c r="H244" t="s">
        <v>74</v>
      </c>
      <c r="I244" t="s">
        <v>4962</v>
      </c>
      <c r="J244" t="s">
        <v>4963</v>
      </c>
      <c r="K244" t="s">
        <v>74</v>
      </c>
      <c r="L244" t="s">
        <v>74</v>
      </c>
      <c r="M244" t="s">
        <v>78</v>
      </c>
      <c r="N244" t="s">
        <v>79</v>
      </c>
      <c r="O244" t="s">
        <v>74</v>
      </c>
      <c r="P244" t="s">
        <v>74</v>
      </c>
      <c r="Q244" t="s">
        <v>74</v>
      </c>
      <c r="R244" t="s">
        <v>74</v>
      </c>
      <c r="S244" t="s">
        <v>74</v>
      </c>
      <c r="T244" t="s">
        <v>4964</v>
      </c>
      <c r="U244" t="s">
        <v>4965</v>
      </c>
      <c r="V244" t="s">
        <v>4966</v>
      </c>
      <c r="W244" t="s">
        <v>4967</v>
      </c>
      <c r="X244" t="s">
        <v>4968</v>
      </c>
      <c r="Y244" t="s">
        <v>4969</v>
      </c>
      <c r="Z244" t="s">
        <v>4970</v>
      </c>
      <c r="AA244" t="s">
        <v>74</v>
      </c>
      <c r="AB244" t="s">
        <v>74</v>
      </c>
      <c r="AC244" t="s">
        <v>4971</v>
      </c>
      <c r="AD244" t="s">
        <v>4972</v>
      </c>
      <c r="AE244" t="s">
        <v>4973</v>
      </c>
      <c r="AF244" t="s">
        <v>74</v>
      </c>
      <c r="AG244">
        <v>31</v>
      </c>
      <c r="AH244">
        <v>10</v>
      </c>
      <c r="AI244">
        <v>12</v>
      </c>
      <c r="AJ244">
        <v>0</v>
      </c>
      <c r="AK244">
        <v>8</v>
      </c>
      <c r="AL244" t="s">
        <v>4974</v>
      </c>
      <c r="AM244" t="s">
        <v>4975</v>
      </c>
      <c r="AN244" t="s">
        <v>4976</v>
      </c>
      <c r="AO244" t="s">
        <v>4977</v>
      </c>
      <c r="AP244" t="s">
        <v>4978</v>
      </c>
      <c r="AQ244" t="s">
        <v>74</v>
      </c>
      <c r="AR244" t="s">
        <v>4979</v>
      </c>
      <c r="AS244" t="s">
        <v>4980</v>
      </c>
      <c r="AT244" t="s">
        <v>4934</v>
      </c>
      <c r="AU244">
        <v>2014</v>
      </c>
      <c r="AV244">
        <v>35</v>
      </c>
      <c r="AW244">
        <v>3</v>
      </c>
      <c r="AX244" t="s">
        <v>74</v>
      </c>
      <c r="AY244" t="s">
        <v>74</v>
      </c>
      <c r="AZ244" t="s">
        <v>74</v>
      </c>
      <c r="BA244" t="s">
        <v>74</v>
      </c>
      <c r="BB244">
        <v>245</v>
      </c>
      <c r="BC244">
        <v>257</v>
      </c>
      <c r="BD244" t="s">
        <v>74</v>
      </c>
      <c r="BE244" t="s">
        <v>4981</v>
      </c>
      <c r="BF244" t="str">
        <f>HYPERLINK("http://dx.doi.org/10.7872/crya.v35.iss3.2014.245","http://dx.doi.org/10.7872/crya.v35.iss3.2014.245")</f>
        <v>http://dx.doi.org/10.7872/crya.v35.iss3.2014.245</v>
      </c>
      <c r="BG244" t="s">
        <v>74</v>
      </c>
      <c r="BH244" t="s">
        <v>74</v>
      </c>
      <c r="BI244">
        <v>13</v>
      </c>
      <c r="BJ244" t="s">
        <v>4982</v>
      </c>
      <c r="BK244" t="s">
        <v>102</v>
      </c>
      <c r="BL244" t="s">
        <v>4982</v>
      </c>
      <c r="BM244" t="s">
        <v>4983</v>
      </c>
      <c r="BN244" t="s">
        <v>74</v>
      </c>
      <c r="BO244" t="s">
        <v>74</v>
      </c>
      <c r="BP244" t="s">
        <v>74</v>
      </c>
      <c r="BQ244" t="s">
        <v>74</v>
      </c>
      <c r="BR244" t="s">
        <v>105</v>
      </c>
      <c r="BS244" t="s">
        <v>4984</v>
      </c>
      <c r="BT244" t="str">
        <f>HYPERLINK("https%3A%2F%2Fwww.webofscience.com%2Fwos%2Fwoscc%2Ffull-record%2FWOS:000343029700003","View Full Record in Web of Science")</f>
        <v>View Full Record in Web of Science</v>
      </c>
    </row>
    <row r="245" spans="1:72" x14ac:dyDescent="0.15">
      <c r="A245" t="s">
        <v>72</v>
      </c>
      <c r="B245" t="s">
        <v>4985</v>
      </c>
      <c r="C245" t="s">
        <v>74</v>
      </c>
      <c r="D245" t="s">
        <v>74</v>
      </c>
      <c r="E245" t="s">
        <v>74</v>
      </c>
      <c r="F245" t="s">
        <v>4986</v>
      </c>
      <c r="G245" t="s">
        <v>74</v>
      </c>
      <c r="H245" t="s">
        <v>74</v>
      </c>
      <c r="I245" t="s">
        <v>4987</v>
      </c>
      <c r="J245" t="s">
        <v>4988</v>
      </c>
      <c r="K245" t="s">
        <v>74</v>
      </c>
      <c r="L245" t="s">
        <v>74</v>
      </c>
      <c r="M245" t="s">
        <v>78</v>
      </c>
      <c r="N245" t="s">
        <v>79</v>
      </c>
      <c r="O245" t="s">
        <v>74</v>
      </c>
      <c r="P245" t="s">
        <v>74</v>
      </c>
      <c r="Q245" t="s">
        <v>74</v>
      </c>
      <c r="R245" t="s">
        <v>74</v>
      </c>
      <c r="S245" t="s">
        <v>74</v>
      </c>
      <c r="T245" t="s">
        <v>4989</v>
      </c>
      <c r="U245" t="s">
        <v>4990</v>
      </c>
      <c r="V245" t="s">
        <v>4991</v>
      </c>
      <c r="W245" t="s">
        <v>4992</v>
      </c>
      <c r="X245" t="s">
        <v>4993</v>
      </c>
      <c r="Y245" t="s">
        <v>4994</v>
      </c>
      <c r="Z245" t="s">
        <v>4995</v>
      </c>
      <c r="AA245" t="s">
        <v>4996</v>
      </c>
      <c r="AB245" t="s">
        <v>4997</v>
      </c>
      <c r="AC245" t="s">
        <v>4998</v>
      </c>
      <c r="AD245" t="s">
        <v>4999</v>
      </c>
      <c r="AE245" t="s">
        <v>5000</v>
      </c>
      <c r="AF245" t="s">
        <v>74</v>
      </c>
      <c r="AG245">
        <v>42</v>
      </c>
      <c r="AH245">
        <v>8</v>
      </c>
      <c r="AI245">
        <v>8</v>
      </c>
      <c r="AJ245">
        <v>0</v>
      </c>
      <c r="AK245">
        <v>25</v>
      </c>
      <c r="AL245" t="s">
        <v>331</v>
      </c>
      <c r="AM245" t="s">
        <v>332</v>
      </c>
      <c r="AN245" t="s">
        <v>333</v>
      </c>
      <c r="AO245" t="s">
        <v>5001</v>
      </c>
      <c r="AP245" t="s">
        <v>5002</v>
      </c>
      <c r="AQ245" t="s">
        <v>74</v>
      </c>
      <c r="AR245" t="s">
        <v>5003</v>
      </c>
      <c r="AS245" t="s">
        <v>5004</v>
      </c>
      <c r="AT245" t="s">
        <v>4934</v>
      </c>
      <c r="AU245">
        <v>2014</v>
      </c>
      <c r="AV245">
        <v>28</v>
      </c>
      <c r="AW245">
        <v>8</v>
      </c>
      <c r="AX245" t="s">
        <v>74</v>
      </c>
      <c r="AY245" t="s">
        <v>74</v>
      </c>
      <c r="AZ245" t="s">
        <v>74</v>
      </c>
      <c r="BA245" t="s">
        <v>74</v>
      </c>
      <c r="BB245">
        <v>775</v>
      </c>
      <c r="BC245">
        <v>785</v>
      </c>
      <c r="BD245" t="s">
        <v>74</v>
      </c>
      <c r="BE245" t="s">
        <v>5005</v>
      </c>
      <c r="BF245" t="str">
        <f>HYPERLINK("http://dx.doi.org/10.1002/2013GB004786","http://dx.doi.org/10.1002/2013GB004786")</f>
        <v>http://dx.doi.org/10.1002/2013GB004786</v>
      </c>
      <c r="BG245" t="s">
        <v>74</v>
      </c>
      <c r="BH245" t="s">
        <v>74</v>
      </c>
      <c r="BI245">
        <v>11</v>
      </c>
      <c r="BJ245" t="s">
        <v>5006</v>
      </c>
      <c r="BK245" t="s">
        <v>102</v>
      </c>
      <c r="BL245" t="s">
        <v>5007</v>
      </c>
      <c r="BM245" t="s">
        <v>5008</v>
      </c>
      <c r="BN245" t="s">
        <v>74</v>
      </c>
      <c r="BO245" t="s">
        <v>179</v>
      </c>
      <c r="BP245" t="s">
        <v>74</v>
      </c>
      <c r="BQ245" t="s">
        <v>74</v>
      </c>
      <c r="BR245" t="s">
        <v>105</v>
      </c>
      <c r="BS245" t="s">
        <v>5009</v>
      </c>
      <c r="BT245" t="str">
        <f>HYPERLINK("https%3A%2F%2Fwww.webofscience.com%2Fwos%2Fwoscc%2Ffull-record%2FWOS:000342722000001","View Full Record in Web of Science")</f>
        <v>View Full Record in Web of Science</v>
      </c>
    </row>
    <row r="246" spans="1:72" x14ac:dyDescent="0.15">
      <c r="A246" t="s">
        <v>72</v>
      </c>
      <c r="B246" t="s">
        <v>5010</v>
      </c>
      <c r="C246" t="s">
        <v>74</v>
      </c>
      <c r="D246" t="s">
        <v>74</v>
      </c>
      <c r="E246" t="s">
        <v>74</v>
      </c>
      <c r="F246" t="s">
        <v>5011</v>
      </c>
      <c r="G246" t="s">
        <v>74</v>
      </c>
      <c r="H246" t="s">
        <v>74</v>
      </c>
      <c r="I246" t="s">
        <v>5012</v>
      </c>
      <c r="J246" t="s">
        <v>5013</v>
      </c>
      <c r="K246" t="s">
        <v>74</v>
      </c>
      <c r="L246" t="s">
        <v>74</v>
      </c>
      <c r="M246" t="s">
        <v>78</v>
      </c>
      <c r="N246" t="s">
        <v>79</v>
      </c>
      <c r="O246" t="s">
        <v>74</v>
      </c>
      <c r="P246" t="s">
        <v>74</v>
      </c>
      <c r="Q246" t="s">
        <v>74</v>
      </c>
      <c r="R246" t="s">
        <v>74</v>
      </c>
      <c r="S246" t="s">
        <v>74</v>
      </c>
      <c r="T246" t="s">
        <v>5014</v>
      </c>
      <c r="U246" t="s">
        <v>5015</v>
      </c>
      <c r="V246" t="s">
        <v>5016</v>
      </c>
      <c r="W246" t="s">
        <v>5017</v>
      </c>
      <c r="X246" t="s">
        <v>5018</v>
      </c>
      <c r="Y246" t="s">
        <v>5019</v>
      </c>
      <c r="Z246" t="s">
        <v>5020</v>
      </c>
      <c r="AA246" t="s">
        <v>5021</v>
      </c>
      <c r="AB246" t="s">
        <v>5022</v>
      </c>
      <c r="AC246" t="s">
        <v>5023</v>
      </c>
      <c r="AD246" t="s">
        <v>5024</v>
      </c>
      <c r="AE246" t="s">
        <v>5025</v>
      </c>
      <c r="AF246" t="s">
        <v>74</v>
      </c>
      <c r="AG246">
        <v>112</v>
      </c>
      <c r="AH246">
        <v>13</v>
      </c>
      <c r="AI246">
        <v>16</v>
      </c>
      <c r="AJ246">
        <v>1</v>
      </c>
      <c r="AK246">
        <v>24</v>
      </c>
      <c r="AL246" t="s">
        <v>331</v>
      </c>
      <c r="AM246" t="s">
        <v>332</v>
      </c>
      <c r="AN246" t="s">
        <v>333</v>
      </c>
      <c r="AO246" t="s">
        <v>74</v>
      </c>
      <c r="AP246" t="s">
        <v>5026</v>
      </c>
      <c r="AQ246" t="s">
        <v>74</v>
      </c>
      <c r="AR246" t="s">
        <v>5027</v>
      </c>
      <c r="AS246" t="s">
        <v>5028</v>
      </c>
      <c r="AT246" t="s">
        <v>4934</v>
      </c>
      <c r="AU246">
        <v>2014</v>
      </c>
      <c r="AV246">
        <v>15</v>
      </c>
      <c r="AW246">
        <v>8</v>
      </c>
      <c r="AX246" t="s">
        <v>74</v>
      </c>
      <c r="AY246" t="s">
        <v>74</v>
      </c>
      <c r="AZ246" t="s">
        <v>74</v>
      </c>
      <c r="BA246" t="s">
        <v>74</v>
      </c>
      <c r="BB246">
        <v>3258</v>
      </c>
      <c r="BC246">
        <v>3280</v>
      </c>
      <c r="BD246" t="s">
        <v>74</v>
      </c>
      <c r="BE246" t="s">
        <v>5029</v>
      </c>
      <c r="BF246" t="str">
        <f>HYPERLINK("http://dx.doi.org/10.1002/2014GC005422","http://dx.doi.org/10.1002/2014GC005422")</f>
        <v>http://dx.doi.org/10.1002/2014GC005422</v>
      </c>
      <c r="BG246" t="s">
        <v>74</v>
      </c>
      <c r="BH246" t="s">
        <v>74</v>
      </c>
      <c r="BI246">
        <v>23</v>
      </c>
      <c r="BJ246" t="s">
        <v>425</v>
      </c>
      <c r="BK246" t="s">
        <v>102</v>
      </c>
      <c r="BL246" t="s">
        <v>425</v>
      </c>
      <c r="BM246" t="s">
        <v>5030</v>
      </c>
      <c r="BN246" t="s">
        <v>74</v>
      </c>
      <c r="BO246" t="s">
        <v>2037</v>
      </c>
      <c r="BP246" t="s">
        <v>74</v>
      </c>
      <c r="BQ246" t="s">
        <v>74</v>
      </c>
      <c r="BR246" t="s">
        <v>105</v>
      </c>
      <c r="BS246" t="s">
        <v>5031</v>
      </c>
      <c r="BT246" t="str">
        <f>HYPERLINK("https%3A%2F%2Fwww.webofscience.com%2Fwos%2Fwoscc%2Ffull-record%2FWOS:000342693400011","View Full Record in Web of Science")</f>
        <v>View Full Record in Web of Science</v>
      </c>
    </row>
    <row r="247" spans="1:72" x14ac:dyDescent="0.15">
      <c r="A247" t="s">
        <v>72</v>
      </c>
      <c r="B247" t="s">
        <v>5032</v>
      </c>
      <c r="C247" t="s">
        <v>74</v>
      </c>
      <c r="D247" t="s">
        <v>74</v>
      </c>
      <c r="E247" t="s">
        <v>74</v>
      </c>
      <c r="F247" t="s">
        <v>5033</v>
      </c>
      <c r="G247" t="s">
        <v>74</v>
      </c>
      <c r="H247" t="s">
        <v>74</v>
      </c>
      <c r="I247" t="s">
        <v>5034</v>
      </c>
      <c r="J247" t="s">
        <v>5013</v>
      </c>
      <c r="K247" t="s">
        <v>74</v>
      </c>
      <c r="L247" t="s">
        <v>74</v>
      </c>
      <c r="M247" t="s">
        <v>78</v>
      </c>
      <c r="N247" t="s">
        <v>79</v>
      </c>
      <c r="O247" t="s">
        <v>74</v>
      </c>
      <c r="P247" t="s">
        <v>74</v>
      </c>
      <c r="Q247" t="s">
        <v>74</v>
      </c>
      <c r="R247" t="s">
        <v>74</v>
      </c>
      <c r="S247" t="s">
        <v>74</v>
      </c>
      <c r="T247" t="s">
        <v>5035</v>
      </c>
      <c r="U247" t="s">
        <v>5036</v>
      </c>
      <c r="V247" t="s">
        <v>5037</v>
      </c>
      <c r="W247" t="s">
        <v>5038</v>
      </c>
      <c r="X247" t="s">
        <v>5039</v>
      </c>
      <c r="Y247" t="s">
        <v>5040</v>
      </c>
      <c r="Z247" t="s">
        <v>5041</v>
      </c>
      <c r="AA247" t="s">
        <v>5042</v>
      </c>
      <c r="AB247" t="s">
        <v>5043</v>
      </c>
      <c r="AC247" t="s">
        <v>5044</v>
      </c>
      <c r="AD247" t="s">
        <v>5045</v>
      </c>
      <c r="AE247" t="s">
        <v>5046</v>
      </c>
      <c r="AF247" t="s">
        <v>74</v>
      </c>
      <c r="AG247">
        <v>37</v>
      </c>
      <c r="AH247">
        <v>36</v>
      </c>
      <c r="AI247">
        <v>37</v>
      </c>
      <c r="AJ247">
        <v>1</v>
      </c>
      <c r="AK247">
        <v>30</v>
      </c>
      <c r="AL247" t="s">
        <v>331</v>
      </c>
      <c r="AM247" t="s">
        <v>332</v>
      </c>
      <c r="AN247" t="s">
        <v>333</v>
      </c>
      <c r="AO247" t="s">
        <v>74</v>
      </c>
      <c r="AP247" t="s">
        <v>5026</v>
      </c>
      <c r="AQ247" t="s">
        <v>74</v>
      </c>
      <c r="AR247" t="s">
        <v>5027</v>
      </c>
      <c r="AS247" t="s">
        <v>5028</v>
      </c>
      <c r="AT247" t="s">
        <v>4934</v>
      </c>
      <c r="AU247">
        <v>2014</v>
      </c>
      <c r="AV247">
        <v>15</v>
      </c>
      <c r="AW247">
        <v>8</v>
      </c>
      <c r="AX247" t="s">
        <v>74</v>
      </c>
      <c r="AY247" t="s">
        <v>74</v>
      </c>
      <c r="AZ247" t="s">
        <v>74</v>
      </c>
      <c r="BA247" t="s">
        <v>74</v>
      </c>
      <c r="BB247">
        <v>3448</v>
      </c>
      <c r="BC247">
        <v>3458</v>
      </c>
      <c r="BD247" t="s">
        <v>74</v>
      </c>
      <c r="BE247" t="s">
        <v>5047</v>
      </c>
      <c r="BF247" t="str">
        <f>HYPERLINK("http://dx.doi.org/10.1002/2014GC005454","http://dx.doi.org/10.1002/2014GC005454")</f>
        <v>http://dx.doi.org/10.1002/2014GC005454</v>
      </c>
      <c r="BG247" t="s">
        <v>74</v>
      </c>
      <c r="BH247" t="s">
        <v>74</v>
      </c>
      <c r="BI247">
        <v>11</v>
      </c>
      <c r="BJ247" t="s">
        <v>425</v>
      </c>
      <c r="BK247" t="s">
        <v>102</v>
      </c>
      <c r="BL247" t="s">
        <v>425</v>
      </c>
      <c r="BM247" t="s">
        <v>5030</v>
      </c>
      <c r="BN247" t="s">
        <v>74</v>
      </c>
      <c r="BO247" t="s">
        <v>2647</v>
      </c>
      <c r="BP247" t="s">
        <v>74</v>
      </c>
      <c r="BQ247" t="s">
        <v>74</v>
      </c>
      <c r="BR247" t="s">
        <v>105</v>
      </c>
      <c r="BS247" t="s">
        <v>5048</v>
      </c>
      <c r="BT247" t="str">
        <f>HYPERLINK("https%3A%2F%2Fwww.webofscience.com%2Fwos%2Fwoscc%2Ffull-record%2FWOS:000342693400020","View Full Record in Web of Science")</f>
        <v>View Full Record in Web of Science</v>
      </c>
    </row>
    <row r="248" spans="1:72" x14ac:dyDescent="0.15">
      <c r="A248" t="s">
        <v>72</v>
      </c>
      <c r="B248" t="s">
        <v>5049</v>
      </c>
      <c r="C248" t="s">
        <v>74</v>
      </c>
      <c r="D248" t="s">
        <v>74</v>
      </c>
      <c r="E248" t="s">
        <v>74</v>
      </c>
      <c r="F248" t="s">
        <v>5050</v>
      </c>
      <c r="G248" t="s">
        <v>74</v>
      </c>
      <c r="H248" t="s">
        <v>74</v>
      </c>
      <c r="I248" t="s">
        <v>5051</v>
      </c>
      <c r="J248" t="s">
        <v>1951</v>
      </c>
      <c r="K248" t="s">
        <v>74</v>
      </c>
      <c r="L248" t="s">
        <v>74</v>
      </c>
      <c r="M248" t="s">
        <v>78</v>
      </c>
      <c r="N248" t="s">
        <v>79</v>
      </c>
      <c r="O248" t="s">
        <v>74</v>
      </c>
      <c r="P248" t="s">
        <v>74</v>
      </c>
      <c r="Q248" t="s">
        <v>74</v>
      </c>
      <c r="R248" t="s">
        <v>74</v>
      </c>
      <c r="S248" t="s">
        <v>74</v>
      </c>
      <c r="T248" t="s">
        <v>74</v>
      </c>
      <c r="U248" t="s">
        <v>5052</v>
      </c>
      <c r="V248" t="s">
        <v>5053</v>
      </c>
      <c r="W248" t="s">
        <v>5054</v>
      </c>
      <c r="X248" t="s">
        <v>5055</v>
      </c>
      <c r="Y248" t="s">
        <v>5056</v>
      </c>
      <c r="Z248" t="s">
        <v>5057</v>
      </c>
      <c r="AA248" t="s">
        <v>74</v>
      </c>
      <c r="AB248" t="s">
        <v>74</v>
      </c>
      <c r="AC248" t="s">
        <v>5058</v>
      </c>
      <c r="AD248" t="s">
        <v>5059</v>
      </c>
      <c r="AE248" t="s">
        <v>5060</v>
      </c>
      <c r="AF248" t="s">
        <v>74</v>
      </c>
      <c r="AG248">
        <v>56</v>
      </c>
      <c r="AH248">
        <v>6</v>
      </c>
      <c r="AI248">
        <v>8</v>
      </c>
      <c r="AJ248">
        <v>0</v>
      </c>
      <c r="AK248">
        <v>19</v>
      </c>
      <c r="AL248" t="s">
        <v>331</v>
      </c>
      <c r="AM248" t="s">
        <v>332</v>
      </c>
      <c r="AN248" t="s">
        <v>333</v>
      </c>
      <c r="AO248" t="s">
        <v>1963</v>
      </c>
      <c r="AP248" t="s">
        <v>1964</v>
      </c>
      <c r="AQ248" t="s">
        <v>74</v>
      </c>
      <c r="AR248" t="s">
        <v>1965</v>
      </c>
      <c r="AS248" t="s">
        <v>1966</v>
      </c>
      <c r="AT248" t="s">
        <v>4934</v>
      </c>
      <c r="AU248">
        <v>2014</v>
      </c>
      <c r="AV248">
        <v>119</v>
      </c>
      <c r="AW248">
        <v>8</v>
      </c>
      <c r="AX248" t="s">
        <v>74</v>
      </c>
      <c r="AY248" t="s">
        <v>74</v>
      </c>
      <c r="AZ248" t="s">
        <v>74</v>
      </c>
      <c r="BA248" t="s">
        <v>74</v>
      </c>
      <c r="BB248">
        <v>4761</v>
      </c>
      <c r="BC248">
        <v>4776</v>
      </c>
      <c r="BD248" t="s">
        <v>74</v>
      </c>
      <c r="BE248" t="s">
        <v>5061</v>
      </c>
      <c r="BF248" t="str">
        <f>HYPERLINK("http://dx.doi.org/10.1002/2014JC009853","http://dx.doi.org/10.1002/2014JC009853")</f>
        <v>http://dx.doi.org/10.1002/2014JC009853</v>
      </c>
      <c r="BG248" t="s">
        <v>74</v>
      </c>
      <c r="BH248" t="s">
        <v>74</v>
      </c>
      <c r="BI248">
        <v>16</v>
      </c>
      <c r="BJ248" t="s">
        <v>152</v>
      </c>
      <c r="BK248" t="s">
        <v>102</v>
      </c>
      <c r="BL248" t="s">
        <v>152</v>
      </c>
      <c r="BM248" t="s">
        <v>5062</v>
      </c>
      <c r="BN248" t="s">
        <v>74</v>
      </c>
      <c r="BO248" t="s">
        <v>1053</v>
      </c>
      <c r="BP248" t="s">
        <v>74</v>
      </c>
      <c r="BQ248" t="s">
        <v>74</v>
      </c>
      <c r="BR248" t="s">
        <v>105</v>
      </c>
      <c r="BS248" t="s">
        <v>5063</v>
      </c>
      <c r="BT248" t="str">
        <f>HYPERLINK("https%3A%2F%2Fwww.webofscience.com%2Fwos%2Fwoscc%2Ffull-record%2FWOS:000342519500005","View Full Record in Web of Science")</f>
        <v>View Full Record in Web of Science</v>
      </c>
    </row>
    <row r="249" spans="1:72" x14ac:dyDescent="0.15">
      <c r="A249" t="s">
        <v>72</v>
      </c>
      <c r="B249" t="s">
        <v>5064</v>
      </c>
      <c r="C249" t="s">
        <v>74</v>
      </c>
      <c r="D249" t="s">
        <v>74</v>
      </c>
      <c r="E249" t="s">
        <v>74</v>
      </c>
      <c r="F249" t="s">
        <v>5065</v>
      </c>
      <c r="G249" t="s">
        <v>74</v>
      </c>
      <c r="H249" t="s">
        <v>74</v>
      </c>
      <c r="I249" t="s">
        <v>5066</v>
      </c>
      <c r="J249" t="s">
        <v>1951</v>
      </c>
      <c r="K249" t="s">
        <v>74</v>
      </c>
      <c r="L249" t="s">
        <v>74</v>
      </c>
      <c r="M249" t="s">
        <v>78</v>
      </c>
      <c r="N249" t="s">
        <v>79</v>
      </c>
      <c r="O249" t="s">
        <v>74</v>
      </c>
      <c r="P249" t="s">
        <v>74</v>
      </c>
      <c r="Q249" t="s">
        <v>74</v>
      </c>
      <c r="R249" t="s">
        <v>74</v>
      </c>
      <c r="S249" t="s">
        <v>74</v>
      </c>
      <c r="T249" t="s">
        <v>74</v>
      </c>
      <c r="U249" t="s">
        <v>5067</v>
      </c>
      <c r="V249" t="s">
        <v>5068</v>
      </c>
      <c r="W249" t="s">
        <v>5069</v>
      </c>
      <c r="X249" t="s">
        <v>5070</v>
      </c>
      <c r="Y249" t="s">
        <v>5071</v>
      </c>
      <c r="Z249" t="s">
        <v>5072</v>
      </c>
      <c r="AA249" t="s">
        <v>5073</v>
      </c>
      <c r="AB249" t="s">
        <v>74</v>
      </c>
      <c r="AC249" t="s">
        <v>5074</v>
      </c>
      <c r="AD249" t="s">
        <v>5075</v>
      </c>
      <c r="AE249" t="s">
        <v>5076</v>
      </c>
      <c r="AF249" t="s">
        <v>74</v>
      </c>
      <c r="AG249">
        <v>69</v>
      </c>
      <c r="AH249">
        <v>39</v>
      </c>
      <c r="AI249">
        <v>42</v>
      </c>
      <c r="AJ249">
        <v>0</v>
      </c>
      <c r="AK249">
        <v>12</v>
      </c>
      <c r="AL249" t="s">
        <v>331</v>
      </c>
      <c r="AM249" t="s">
        <v>332</v>
      </c>
      <c r="AN249" t="s">
        <v>333</v>
      </c>
      <c r="AO249" t="s">
        <v>1963</v>
      </c>
      <c r="AP249" t="s">
        <v>1964</v>
      </c>
      <c r="AQ249" t="s">
        <v>74</v>
      </c>
      <c r="AR249" t="s">
        <v>1965</v>
      </c>
      <c r="AS249" t="s">
        <v>1966</v>
      </c>
      <c r="AT249" t="s">
        <v>4934</v>
      </c>
      <c r="AU249">
        <v>2014</v>
      </c>
      <c r="AV249">
        <v>119</v>
      </c>
      <c r="AW249">
        <v>8</v>
      </c>
      <c r="AX249" t="s">
        <v>74</v>
      </c>
      <c r="AY249" t="s">
        <v>74</v>
      </c>
      <c r="AZ249" t="s">
        <v>74</v>
      </c>
      <c r="BA249" t="s">
        <v>74</v>
      </c>
      <c r="BB249">
        <v>5140</v>
      </c>
      <c r="BC249">
        <v>5159</v>
      </c>
      <c r="BD249" t="s">
        <v>74</v>
      </c>
      <c r="BE249" t="s">
        <v>5077</v>
      </c>
      <c r="BF249" t="str">
        <f>HYPERLINK("http://dx.doi.org/10.1002/2014JC009994","http://dx.doi.org/10.1002/2014JC009994")</f>
        <v>http://dx.doi.org/10.1002/2014JC009994</v>
      </c>
      <c r="BG249" t="s">
        <v>74</v>
      </c>
      <c r="BH249" t="s">
        <v>74</v>
      </c>
      <c r="BI249">
        <v>20</v>
      </c>
      <c r="BJ249" t="s">
        <v>152</v>
      </c>
      <c r="BK249" t="s">
        <v>102</v>
      </c>
      <c r="BL249" t="s">
        <v>152</v>
      </c>
      <c r="BM249" t="s">
        <v>5062</v>
      </c>
      <c r="BN249" t="s">
        <v>74</v>
      </c>
      <c r="BO249" t="s">
        <v>179</v>
      </c>
      <c r="BP249" t="s">
        <v>74</v>
      </c>
      <c r="BQ249" t="s">
        <v>74</v>
      </c>
      <c r="BR249" t="s">
        <v>105</v>
      </c>
      <c r="BS249" t="s">
        <v>5078</v>
      </c>
      <c r="BT249" t="str">
        <f>HYPERLINK("https%3A%2F%2Fwww.webofscience.com%2Fwos%2Fwoscc%2Ffull-record%2FWOS:000342519500025","View Full Record in Web of Science")</f>
        <v>View Full Record in Web of Science</v>
      </c>
    </row>
    <row r="250" spans="1:72" x14ac:dyDescent="0.15">
      <c r="A250" t="s">
        <v>72</v>
      </c>
      <c r="B250" t="s">
        <v>5079</v>
      </c>
      <c r="C250" t="s">
        <v>74</v>
      </c>
      <c r="D250" t="s">
        <v>74</v>
      </c>
      <c r="E250" t="s">
        <v>74</v>
      </c>
      <c r="F250" t="s">
        <v>5080</v>
      </c>
      <c r="G250" t="s">
        <v>74</v>
      </c>
      <c r="H250" t="s">
        <v>74</v>
      </c>
      <c r="I250" t="s">
        <v>5081</v>
      </c>
      <c r="J250" t="s">
        <v>1951</v>
      </c>
      <c r="K250" t="s">
        <v>74</v>
      </c>
      <c r="L250" t="s">
        <v>74</v>
      </c>
      <c r="M250" t="s">
        <v>78</v>
      </c>
      <c r="N250" t="s">
        <v>79</v>
      </c>
      <c r="O250" t="s">
        <v>74</v>
      </c>
      <c r="P250" t="s">
        <v>74</v>
      </c>
      <c r="Q250" t="s">
        <v>74</v>
      </c>
      <c r="R250" t="s">
        <v>74</v>
      </c>
      <c r="S250" t="s">
        <v>74</v>
      </c>
      <c r="T250" t="s">
        <v>74</v>
      </c>
      <c r="U250" t="s">
        <v>5082</v>
      </c>
      <c r="V250" t="s">
        <v>5083</v>
      </c>
      <c r="W250" t="s">
        <v>5084</v>
      </c>
      <c r="X250" t="s">
        <v>5085</v>
      </c>
      <c r="Y250" t="s">
        <v>5086</v>
      </c>
      <c r="Z250" t="s">
        <v>5087</v>
      </c>
      <c r="AA250" t="s">
        <v>74</v>
      </c>
      <c r="AB250" t="s">
        <v>74</v>
      </c>
      <c r="AC250" t="s">
        <v>5088</v>
      </c>
      <c r="AD250" t="s">
        <v>5089</v>
      </c>
      <c r="AE250" t="s">
        <v>5090</v>
      </c>
      <c r="AF250" t="s">
        <v>74</v>
      </c>
      <c r="AG250">
        <v>47</v>
      </c>
      <c r="AH250">
        <v>29</v>
      </c>
      <c r="AI250">
        <v>32</v>
      </c>
      <c r="AJ250">
        <v>0</v>
      </c>
      <c r="AK250">
        <v>25</v>
      </c>
      <c r="AL250" t="s">
        <v>331</v>
      </c>
      <c r="AM250" t="s">
        <v>332</v>
      </c>
      <c r="AN250" t="s">
        <v>333</v>
      </c>
      <c r="AO250" t="s">
        <v>1963</v>
      </c>
      <c r="AP250" t="s">
        <v>1964</v>
      </c>
      <c r="AQ250" t="s">
        <v>74</v>
      </c>
      <c r="AR250" t="s">
        <v>1965</v>
      </c>
      <c r="AS250" t="s">
        <v>1966</v>
      </c>
      <c r="AT250" t="s">
        <v>4934</v>
      </c>
      <c r="AU250">
        <v>2014</v>
      </c>
      <c r="AV250">
        <v>119</v>
      </c>
      <c r="AW250">
        <v>8</v>
      </c>
      <c r="AX250" t="s">
        <v>74</v>
      </c>
      <c r="AY250" t="s">
        <v>74</v>
      </c>
      <c r="AZ250" t="s">
        <v>74</v>
      </c>
      <c r="BA250" t="s">
        <v>74</v>
      </c>
      <c r="BB250">
        <v>5203</v>
      </c>
      <c r="BC250">
        <v>5220</v>
      </c>
      <c r="BD250" t="s">
        <v>74</v>
      </c>
      <c r="BE250" t="s">
        <v>5091</v>
      </c>
      <c r="BF250" t="str">
        <f>HYPERLINK("http://dx.doi.org/10.1002/2013JC009124","http://dx.doi.org/10.1002/2013JC009124")</f>
        <v>http://dx.doi.org/10.1002/2013JC009124</v>
      </c>
      <c r="BG250" t="s">
        <v>74</v>
      </c>
      <c r="BH250" t="s">
        <v>74</v>
      </c>
      <c r="BI250">
        <v>18</v>
      </c>
      <c r="BJ250" t="s">
        <v>152</v>
      </c>
      <c r="BK250" t="s">
        <v>102</v>
      </c>
      <c r="BL250" t="s">
        <v>152</v>
      </c>
      <c r="BM250" t="s">
        <v>5062</v>
      </c>
      <c r="BN250" t="s">
        <v>74</v>
      </c>
      <c r="BO250" t="s">
        <v>1274</v>
      </c>
      <c r="BP250" t="s">
        <v>74</v>
      </c>
      <c r="BQ250" t="s">
        <v>74</v>
      </c>
      <c r="BR250" t="s">
        <v>105</v>
      </c>
      <c r="BS250" t="s">
        <v>5092</v>
      </c>
      <c r="BT250" t="str">
        <f>HYPERLINK("https%3A%2F%2Fwww.webofscience.com%2Fwos%2Fwoscc%2Ffull-record%2FWOS:000342519500029","View Full Record in Web of Science")</f>
        <v>View Full Record in Web of Science</v>
      </c>
    </row>
    <row r="251" spans="1:72" x14ac:dyDescent="0.15">
      <c r="A251" t="s">
        <v>72</v>
      </c>
      <c r="B251" t="s">
        <v>5093</v>
      </c>
      <c r="C251" t="s">
        <v>74</v>
      </c>
      <c r="D251" t="s">
        <v>74</v>
      </c>
      <c r="E251" t="s">
        <v>74</v>
      </c>
      <c r="F251" t="s">
        <v>5094</v>
      </c>
      <c r="G251" t="s">
        <v>74</v>
      </c>
      <c r="H251" t="s">
        <v>74</v>
      </c>
      <c r="I251" t="s">
        <v>5095</v>
      </c>
      <c r="J251" t="s">
        <v>1951</v>
      </c>
      <c r="K251" t="s">
        <v>74</v>
      </c>
      <c r="L251" t="s">
        <v>74</v>
      </c>
      <c r="M251" t="s">
        <v>78</v>
      </c>
      <c r="N251" t="s">
        <v>79</v>
      </c>
      <c r="O251" t="s">
        <v>74</v>
      </c>
      <c r="P251" t="s">
        <v>74</v>
      </c>
      <c r="Q251" t="s">
        <v>74</v>
      </c>
      <c r="R251" t="s">
        <v>74</v>
      </c>
      <c r="S251" t="s">
        <v>74</v>
      </c>
      <c r="T251" t="s">
        <v>74</v>
      </c>
      <c r="U251" t="s">
        <v>5096</v>
      </c>
      <c r="V251" t="s">
        <v>5097</v>
      </c>
      <c r="W251" t="s">
        <v>5098</v>
      </c>
      <c r="X251" t="s">
        <v>5099</v>
      </c>
      <c r="Y251" t="s">
        <v>5100</v>
      </c>
      <c r="Z251" t="s">
        <v>5101</v>
      </c>
      <c r="AA251" t="s">
        <v>5102</v>
      </c>
      <c r="AB251" t="s">
        <v>5103</v>
      </c>
      <c r="AC251" t="s">
        <v>5104</v>
      </c>
      <c r="AD251" t="s">
        <v>5105</v>
      </c>
      <c r="AE251" t="s">
        <v>5106</v>
      </c>
      <c r="AF251" t="s">
        <v>74</v>
      </c>
      <c r="AG251">
        <v>49</v>
      </c>
      <c r="AH251">
        <v>27</v>
      </c>
      <c r="AI251">
        <v>30</v>
      </c>
      <c r="AJ251">
        <v>0</v>
      </c>
      <c r="AK251">
        <v>5</v>
      </c>
      <c r="AL251" t="s">
        <v>331</v>
      </c>
      <c r="AM251" t="s">
        <v>332</v>
      </c>
      <c r="AN251" t="s">
        <v>333</v>
      </c>
      <c r="AO251" t="s">
        <v>1963</v>
      </c>
      <c r="AP251" t="s">
        <v>1964</v>
      </c>
      <c r="AQ251" t="s">
        <v>74</v>
      </c>
      <c r="AR251" t="s">
        <v>1965</v>
      </c>
      <c r="AS251" t="s">
        <v>1966</v>
      </c>
      <c r="AT251" t="s">
        <v>4934</v>
      </c>
      <c r="AU251">
        <v>2014</v>
      </c>
      <c r="AV251">
        <v>119</v>
      </c>
      <c r="AW251">
        <v>8</v>
      </c>
      <c r="AX251" t="s">
        <v>74</v>
      </c>
      <c r="AY251" t="s">
        <v>74</v>
      </c>
      <c r="AZ251" t="s">
        <v>74</v>
      </c>
      <c r="BA251" t="s">
        <v>74</v>
      </c>
      <c r="BB251">
        <v>5221</v>
      </c>
      <c r="BC251">
        <v>5243</v>
      </c>
      <c r="BD251" t="s">
        <v>74</v>
      </c>
      <c r="BE251" t="s">
        <v>5107</v>
      </c>
      <c r="BF251" t="str">
        <f>HYPERLINK("http://dx.doi.org/10.1002/2013JC009516","http://dx.doi.org/10.1002/2013JC009516")</f>
        <v>http://dx.doi.org/10.1002/2013JC009516</v>
      </c>
      <c r="BG251" t="s">
        <v>74</v>
      </c>
      <c r="BH251" t="s">
        <v>74</v>
      </c>
      <c r="BI251">
        <v>23</v>
      </c>
      <c r="BJ251" t="s">
        <v>152</v>
      </c>
      <c r="BK251" t="s">
        <v>102</v>
      </c>
      <c r="BL251" t="s">
        <v>152</v>
      </c>
      <c r="BM251" t="s">
        <v>5062</v>
      </c>
      <c r="BN251" t="s">
        <v>74</v>
      </c>
      <c r="BO251" t="s">
        <v>74</v>
      </c>
      <c r="BP251" t="s">
        <v>74</v>
      </c>
      <c r="BQ251" t="s">
        <v>74</v>
      </c>
      <c r="BR251" t="s">
        <v>105</v>
      </c>
      <c r="BS251" t="s">
        <v>5108</v>
      </c>
      <c r="BT251" t="str">
        <f>HYPERLINK("https%3A%2F%2Fwww.webofscience.com%2Fwos%2Fwoscc%2Ffull-record%2FWOS:000342519500030","View Full Record in Web of Science")</f>
        <v>View Full Record in Web of Science</v>
      </c>
    </row>
    <row r="252" spans="1:72" x14ac:dyDescent="0.15">
      <c r="A252" t="s">
        <v>72</v>
      </c>
      <c r="B252" t="s">
        <v>5109</v>
      </c>
      <c r="C252" t="s">
        <v>74</v>
      </c>
      <c r="D252" t="s">
        <v>74</v>
      </c>
      <c r="E252" t="s">
        <v>74</v>
      </c>
      <c r="F252" t="s">
        <v>5110</v>
      </c>
      <c r="G252" t="s">
        <v>74</v>
      </c>
      <c r="H252" t="s">
        <v>74</v>
      </c>
      <c r="I252" t="s">
        <v>5111</v>
      </c>
      <c r="J252" t="s">
        <v>1951</v>
      </c>
      <c r="K252" t="s">
        <v>74</v>
      </c>
      <c r="L252" t="s">
        <v>74</v>
      </c>
      <c r="M252" t="s">
        <v>78</v>
      </c>
      <c r="N252" t="s">
        <v>79</v>
      </c>
      <c r="O252" t="s">
        <v>74</v>
      </c>
      <c r="P252" t="s">
        <v>74</v>
      </c>
      <c r="Q252" t="s">
        <v>74</v>
      </c>
      <c r="R252" t="s">
        <v>74</v>
      </c>
      <c r="S252" t="s">
        <v>74</v>
      </c>
      <c r="T252" t="s">
        <v>74</v>
      </c>
      <c r="U252" t="s">
        <v>5112</v>
      </c>
      <c r="V252" t="s">
        <v>5113</v>
      </c>
      <c r="W252" t="s">
        <v>5114</v>
      </c>
      <c r="X252" t="s">
        <v>5115</v>
      </c>
      <c r="Y252" t="s">
        <v>5116</v>
      </c>
      <c r="Z252" t="s">
        <v>5117</v>
      </c>
      <c r="AA252" t="s">
        <v>74</v>
      </c>
      <c r="AB252" t="s">
        <v>5118</v>
      </c>
      <c r="AC252" t="s">
        <v>5119</v>
      </c>
      <c r="AD252" t="s">
        <v>5119</v>
      </c>
      <c r="AE252" t="s">
        <v>5120</v>
      </c>
      <c r="AF252" t="s">
        <v>74</v>
      </c>
      <c r="AG252">
        <v>41</v>
      </c>
      <c r="AH252">
        <v>37</v>
      </c>
      <c r="AI252">
        <v>39</v>
      </c>
      <c r="AJ252">
        <v>0</v>
      </c>
      <c r="AK252">
        <v>18</v>
      </c>
      <c r="AL252" t="s">
        <v>331</v>
      </c>
      <c r="AM252" t="s">
        <v>332</v>
      </c>
      <c r="AN252" t="s">
        <v>333</v>
      </c>
      <c r="AO252" t="s">
        <v>1963</v>
      </c>
      <c r="AP252" t="s">
        <v>1964</v>
      </c>
      <c r="AQ252" t="s">
        <v>74</v>
      </c>
      <c r="AR252" t="s">
        <v>1965</v>
      </c>
      <c r="AS252" t="s">
        <v>1966</v>
      </c>
      <c r="AT252" t="s">
        <v>4934</v>
      </c>
      <c r="AU252">
        <v>2014</v>
      </c>
      <c r="AV252">
        <v>119</v>
      </c>
      <c r="AW252">
        <v>8</v>
      </c>
      <c r="AX252" t="s">
        <v>74</v>
      </c>
      <c r="AY252" t="s">
        <v>74</v>
      </c>
      <c r="AZ252" t="s">
        <v>74</v>
      </c>
      <c r="BA252" t="s">
        <v>74</v>
      </c>
      <c r="BB252">
        <v>5407</v>
      </c>
      <c r="BC252">
        <v>5433</v>
      </c>
      <c r="BD252" t="s">
        <v>74</v>
      </c>
      <c r="BE252" t="s">
        <v>5121</v>
      </c>
      <c r="BF252" t="str">
        <f>HYPERLINK("http://dx.doi.org/10.1002/2014JC009966","http://dx.doi.org/10.1002/2014JC009966")</f>
        <v>http://dx.doi.org/10.1002/2014JC009966</v>
      </c>
      <c r="BG252" t="s">
        <v>74</v>
      </c>
      <c r="BH252" t="s">
        <v>74</v>
      </c>
      <c r="BI252">
        <v>27</v>
      </c>
      <c r="BJ252" t="s">
        <v>152</v>
      </c>
      <c r="BK252" t="s">
        <v>102</v>
      </c>
      <c r="BL252" t="s">
        <v>152</v>
      </c>
      <c r="BM252" t="s">
        <v>5062</v>
      </c>
      <c r="BN252" t="s">
        <v>74</v>
      </c>
      <c r="BO252" t="s">
        <v>2037</v>
      </c>
      <c r="BP252" t="s">
        <v>74</v>
      </c>
      <c r="BQ252" t="s">
        <v>74</v>
      </c>
      <c r="BR252" t="s">
        <v>105</v>
      </c>
      <c r="BS252" t="s">
        <v>5122</v>
      </c>
      <c r="BT252" t="str">
        <f>HYPERLINK("https%3A%2F%2Fwww.webofscience.com%2Fwos%2Fwoscc%2Ffull-record%2FWOS:000342519500040","View Full Record in Web of Science")</f>
        <v>View Full Record in Web of Science</v>
      </c>
    </row>
    <row r="253" spans="1:72" x14ac:dyDescent="0.15">
      <c r="A253" t="s">
        <v>72</v>
      </c>
      <c r="B253" t="s">
        <v>5123</v>
      </c>
      <c r="C253" t="s">
        <v>74</v>
      </c>
      <c r="D253" t="s">
        <v>74</v>
      </c>
      <c r="E253" t="s">
        <v>74</v>
      </c>
      <c r="F253" t="s">
        <v>5124</v>
      </c>
      <c r="G253" t="s">
        <v>74</v>
      </c>
      <c r="H253" t="s">
        <v>74</v>
      </c>
      <c r="I253" t="s">
        <v>5125</v>
      </c>
      <c r="J253" t="s">
        <v>1951</v>
      </c>
      <c r="K253" t="s">
        <v>74</v>
      </c>
      <c r="L253" t="s">
        <v>74</v>
      </c>
      <c r="M253" t="s">
        <v>78</v>
      </c>
      <c r="N253" t="s">
        <v>79</v>
      </c>
      <c r="O253" t="s">
        <v>74</v>
      </c>
      <c r="P253" t="s">
        <v>74</v>
      </c>
      <c r="Q253" t="s">
        <v>74</v>
      </c>
      <c r="R253" t="s">
        <v>74</v>
      </c>
      <c r="S253" t="s">
        <v>74</v>
      </c>
      <c r="T253" t="s">
        <v>74</v>
      </c>
      <c r="U253" t="s">
        <v>5126</v>
      </c>
      <c r="V253" t="s">
        <v>5127</v>
      </c>
      <c r="W253" t="s">
        <v>5128</v>
      </c>
      <c r="X253" t="s">
        <v>5129</v>
      </c>
      <c r="Y253" t="s">
        <v>5130</v>
      </c>
      <c r="Z253" t="s">
        <v>5131</v>
      </c>
      <c r="AA253" t="s">
        <v>74</v>
      </c>
      <c r="AB253" t="s">
        <v>74</v>
      </c>
      <c r="AC253" t="s">
        <v>5132</v>
      </c>
      <c r="AD253" t="s">
        <v>5133</v>
      </c>
      <c r="AE253" t="s">
        <v>5134</v>
      </c>
      <c r="AF253" t="s">
        <v>74</v>
      </c>
      <c r="AG253">
        <v>73</v>
      </c>
      <c r="AH253">
        <v>46</v>
      </c>
      <c r="AI253">
        <v>50</v>
      </c>
      <c r="AJ253">
        <v>3</v>
      </c>
      <c r="AK253">
        <v>39</v>
      </c>
      <c r="AL253" t="s">
        <v>331</v>
      </c>
      <c r="AM253" t="s">
        <v>332</v>
      </c>
      <c r="AN253" t="s">
        <v>333</v>
      </c>
      <c r="AO253" t="s">
        <v>1963</v>
      </c>
      <c r="AP253" t="s">
        <v>1964</v>
      </c>
      <c r="AQ253" t="s">
        <v>74</v>
      </c>
      <c r="AR253" t="s">
        <v>1965</v>
      </c>
      <c r="AS253" t="s">
        <v>1966</v>
      </c>
      <c r="AT253" t="s">
        <v>4934</v>
      </c>
      <c r="AU253">
        <v>2014</v>
      </c>
      <c r="AV253">
        <v>119</v>
      </c>
      <c r="AW253">
        <v>8</v>
      </c>
      <c r="AX253" t="s">
        <v>74</v>
      </c>
      <c r="AY253" t="s">
        <v>74</v>
      </c>
      <c r="AZ253" t="s">
        <v>74</v>
      </c>
      <c r="BA253" t="s">
        <v>74</v>
      </c>
      <c r="BB253">
        <v>5563</v>
      </c>
      <c r="BC253">
        <v>5584</v>
      </c>
      <c r="BD253" t="s">
        <v>74</v>
      </c>
      <c r="BE253" t="s">
        <v>5135</v>
      </c>
      <c r="BF253" t="str">
        <f>HYPERLINK("http://dx.doi.org/10.1002/2013JC009729","http://dx.doi.org/10.1002/2013JC009729")</f>
        <v>http://dx.doi.org/10.1002/2013JC009729</v>
      </c>
      <c r="BG253" t="s">
        <v>74</v>
      </c>
      <c r="BH253" t="s">
        <v>74</v>
      </c>
      <c r="BI253">
        <v>22</v>
      </c>
      <c r="BJ253" t="s">
        <v>152</v>
      </c>
      <c r="BK253" t="s">
        <v>102</v>
      </c>
      <c r="BL253" t="s">
        <v>152</v>
      </c>
      <c r="BM253" t="s">
        <v>5062</v>
      </c>
      <c r="BN253" t="s">
        <v>74</v>
      </c>
      <c r="BO253" t="s">
        <v>5136</v>
      </c>
      <c r="BP253" t="s">
        <v>74</v>
      </c>
      <c r="BQ253" t="s">
        <v>74</v>
      </c>
      <c r="BR253" t="s">
        <v>105</v>
      </c>
      <c r="BS253" t="s">
        <v>5137</v>
      </c>
      <c r="BT253" t="str">
        <f>HYPERLINK("https%3A%2F%2Fwww.webofscience.com%2Fwos%2Fwoscc%2Ffull-record%2FWOS:000342519500050","View Full Record in Web of Science")</f>
        <v>View Full Record in Web of Science</v>
      </c>
    </row>
    <row r="254" spans="1:72" x14ac:dyDescent="0.15">
      <c r="A254" t="s">
        <v>72</v>
      </c>
      <c r="B254" t="s">
        <v>5138</v>
      </c>
      <c r="C254" t="s">
        <v>74</v>
      </c>
      <c r="D254" t="s">
        <v>74</v>
      </c>
      <c r="E254" t="s">
        <v>74</v>
      </c>
      <c r="F254" t="s">
        <v>5139</v>
      </c>
      <c r="G254" t="s">
        <v>74</v>
      </c>
      <c r="H254" t="s">
        <v>74</v>
      </c>
      <c r="I254" t="s">
        <v>5140</v>
      </c>
      <c r="J254" t="s">
        <v>5141</v>
      </c>
      <c r="K254" t="s">
        <v>74</v>
      </c>
      <c r="L254" t="s">
        <v>74</v>
      </c>
      <c r="M254" t="s">
        <v>78</v>
      </c>
      <c r="N254" t="s">
        <v>79</v>
      </c>
      <c r="O254" t="s">
        <v>74</v>
      </c>
      <c r="P254" t="s">
        <v>74</v>
      </c>
      <c r="Q254" t="s">
        <v>74</v>
      </c>
      <c r="R254" t="s">
        <v>74</v>
      </c>
      <c r="S254" t="s">
        <v>74</v>
      </c>
      <c r="T254" t="s">
        <v>74</v>
      </c>
      <c r="U254" t="s">
        <v>5142</v>
      </c>
      <c r="V254" t="s">
        <v>5143</v>
      </c>
      <c r="W254" t="s">
        <v>5144</v>
      </c>
      <c r="X254" t="s">
        <v>5145</v>
      </c>
      <c r="Y254" t="s">
        <v>5146</v>
      </c>
      <c r="Z254" t="s">
        <v>5147</v>
      </c>
      <c r="AA254" t="s">
        <v>74</v>
      </c>
      <c r="AB254" t="s">
        <v>5148</v>
      </c>
      <c r="AC254" t="s">
        <v>74</v>
      </c>
      <c r="AD254" t="s">
        <v>74</v>
      </c>
      <c r="AE254" t="s">
        <v>74</v>
      </c>
      <c r="AF254" t="s">
        <v>74</v>
      </c>
      <c r="AG254">
        <v>85</v>
      </c>
      <c r="AH254">
        <v>45</v>
      </c>
      <c r="AI254">
        <v>50</v>
      </c>
      <c r="AJ254">
        <v>1</v>
      </c>
      <c r="AK254">
        <v>15</v>
      </c>
      <c r="AL254" t="s">
        <v>331</v>
      </c>
      <c r="AM254" t="s">
        <v>332</v>
      </c>
      <c r="AN254" t="s">
        <v>333</v>
      </c>
      <c r="AO254" t="s">
        <v>5149</v>
      </c>
      <c r="AP254" t="s">
        <v>5150</v>
      </c>
      <c r="AQ254" t="s">
        <v>74</v>
      </c>
      <c r="AR254" t="s">
        <v>5151</v>
      </c>
      <c r="AS254" t="s">
        <v>5152</v>
      </c>
      <c r="AT254" t="s">
        <v>4934</v>
      </c>
      <c r="AU254">
        <v>2014</v>
      </c>
      <c r="AV254">
        <v>119</v>
      </c>
      <c r="AW254">
        <v>8</v>
      </c>
      <c r="AX254" t="s">
        <v>74</v>
      </c>
      <c r="AY254" t="s">
        <v>74</v>
      </c>
      <c r="AZ254" t="s">
        <v>74</v>
      </c>
      <c r="BA254" t="s">
        <v>74</v>
      </c>
      <c r="BB254">
        <v>6372</v>
      </c>
      <c r="BC254">
        <v>6398</v>
      </c>
      <c r="BD254" t="s">
        <v>74</v>
      </c>
      <c r="BE254" t="s">
        <v>5153</v>
      </c>
      <c r="BF254" t="str">
        <f>HYPERLINK("http://dx.doi.org/10.1002/2014JB010950","http://dx.doi.org/10.1002/2014JB010950")</f>
        <v>http://dx.doi.org/10.1002/2014JB010950</v>
      </c>
      <c r="BG254" t="s">
        <v>74</v>
      </c>
      <c r="BH254" t="s">
        <v>74</v>
      </c>
      <c r="BI254">
        <v>27</v>
      </c>
      <c r="BJ254" t="s">
        <v>425</v>
      </c>
      <c r="BK254" t="s">
        <v>102</v>
      </c>
      <c r="BL254" t="s">
        <v>425</v>
      </c>
      <c r="BM254" t="s">
        <v>5154</v>
      </c>
      <c r="BN254" t="s">
        <v>74</v>
      </c>
      <c r="BO254" t="s">
        <v>179</v>
      </c>
      <c r="BP254" t="s">
        <v>74</v>
      </c>
      <c r="BQ254" t="s">
        <v>74</v>
      </c>
      <c r="BR254" t="s">
        <v>105</v>
      </c>
      <c r="BS254" t="s">
        <v>5155</v>
      </c>
      <c r="BT254" t="str">
        <f>HYPERLINK("https%3A%2F%2Fwww.webofscience.com%2Fwos%2Fwoscc%2Ffull-record%2FWOS:000342512900016","View Full Record in Web of Science")</f>
        <v>View Full Record in Web of Science</v>
      </c>
    </row>
    <row r="255" spans="1:72" x14ac:dyDescent="0.15">
      <c r="A255" t="s">
        <v>72</v>
      </c>
      <c r="B255" t="s">
        <v>5156</v>
      </c>
      <c r="C255" t="s">
        <v>74</v>
      </c>
      <c r="D255" t="s">
        <v>74</v>
      </c>
      <c r="E255" t="s">
        <v>74</v>
      </c>
      <c r="F255" t="s">
        <v>5157</v>
      </c>
      <c r="G255" t="s">
        <v>74</v>
      </c>
      <c r="H255" t="s">
        <v>74</v>
      </c>
      <c r="I255" t="s">
        <v>5158</v>
      </c>
      <c r="J255" t="s">
        <v>5159</v>
      </c>
      <c r="K255" t="s">
        <v>74</v>
      </c>
      <c r="L255" t="s">
        <v>74</v>
      </c>
      <c r="M255" t="s">
        <v>78</v>
      </c>
      <c r="N255" t="s">
        <v>79</v>
      </c>
      <c r="O255" t="s">
        <v>74</v>
      </c>
      <c r="P255" t="s">
        <v>74</v>
      </c>
      <c r="Q255" t="s">
        <v>74</v>
      </c>
      <c r="R255" t="s">
        <v>74</v>
      </c>
      <c r="S255" t="s">
        <v>74</v>
      </c>
      <c r="T255" t="s">
        <v>5160</v>
      </c>
      <c r="U255" t="s">
        <v>5161</v>
      </c>
      <c r="V255" t="s">
        <v>5162</v>
      </c>
      <c r="W255" t="s">
        <v>5163</v>
      </c>
      <c r="X255" t="s">
        <v>1109</v>
      </c>
      <c r="Y255" t="s">
        <v>5164</v>
      </c>
      <c r="Z255" t="s">
        <v>5165</v>
      </c>
      <c r="AA255" t="s">
        <v>5166</v>
      </c>
      <c r="AB255" t="s">
        <v>5167</v>
      </c>
      <c r="AC255" t="s">
        <v>74</v>
      </c>
      <c r="AD255" t="s">
        <v>74</v>
      </c>
      <c r="AE255" t="s">
        <v>74</v>
      </c>
      <c r="AF255" t="s">
        <v>74</v>
      </c>
      <c r="AG255">
        <v>26</v>
      </c>
      <c r="AH255">
        <v>10</v>
      </c>
      <c r="AI255">
        <v>10</v>
      </c>
      <c r="AJ255">
        <v>0</v>
      </c>
      <c r="AK255">
        <v>7</v>
      </c>
      <c r="AL255" t="s">
        <v>92</v>
      </c>
      <c r="AM255" t="s">
        <v>93</v>
      </c>
      <c r="AN255" t="s">
        <v>94</v>
      </c>
      <c r="AO255" t="s">
        <v>5168</v>
      </c>
      <c r="AP255" t="s">
        <v>5169</v>
      </c>
      <c r="AQ255" t="s">
        <v>74</v>
      </c>
      <c r="AR255" t="s">
        <v>5170</v>
      </c>
      <c r="AS255" t="s">
        <v>5171</v>
      </c>
      <c r="AT255" t="s">
        <v>4934</v>
      </c>
      <c r="AU255">
        <v>2014</v>
      </c>
      <c r="AV255">
        <v>88</v>
      </c>
      <c r="AW255">
        <v>4</v>
      </c>
      <c r="AX255" t="s">
        <v>74</v>
      </c>
      <c r="AY255" t="s">
        <v>74</v>
      </c>
      <c r="AZ255" t="s">
        <v>74</v>
      </c>
      <c r="BA255" t="s">
        <v>74</v>
      </c>
      <c r="BB255">
        <v>1145</v>
      </c>
      <c r="BC255">
        <v>1156</v>
      </c>
      <c r="BD255" t="s">
        <v>74</v>
      </c>
      <c r="BE255" t="s">
        <v>5172</v>
      </c>
      <c r="BF255" t="str">
        <f>HYPERLINK("http://dx.doi.org/10.1111/1755-6724.12279","http://dx.doi.org/10.1111/1755-6724.12279")</f>
        <v>http://dx.doi.org/10.1111/1755-6724.12279</v>
      </c>
      <c r="BG255" t="s">
        <v>74</v>
      </c>
      <c r="BH255" t="s">
        <v>74</v>
      </c>
      <c r="BI255">
        <v>12</v>
      </c>
      <c r="BJ255" t="s">
        <v>685</v>
      </c>
      <c r="BK255" t="s">
        <v>102</v>
      </c>
      <c r="BL255" t="s">
        <v>686</v>
      </c>
      <c r="BM255" t="s">
        <v>5173</v>
      </c>
      <c r="BN255" t="s">
        <v>74</v>
      </c>
      <c r="BO255" t="s">
        <v>74</v>
      </c>
      <c r="BP255" t="s">
        <v>74</v>
      </c>
      <c r="BQ255" t="s">
        <v>74</v>
      </c>
      <c r="BR255" t="s">
        <v>105</v>
      </c>
      <c r="BS255" t="s">
        <v>5174</v>
      </c>
      <c r="BT255" t="str">
        <f>HYPERLINK("https%3A%2F%2Fwww.webofscience.com%2Fwos%2Fwoscc%2Ffull-record%2FWOS:000341580300015","View Full Record in Web of Science")</f>
        <v>View Full Record in Web of Science</v>
      </c>
    </row>
    <row r="256" spans="1:72" x14ac:dyDescent="0.15">
      <c r="A256" t="s">
        <v>72</v>
      </c>
      <c r="B256" t="s">
        <v>5175</v>
      </c>
      <c r="C256" t="s">
        <v>74</v>
      </c>
      <c r="D256" t="s">
        <v>74</v>
      </c>
      <c r="E256" t="s">
        <v>74</v>
      </c>
      <c r="F256" t="s">
        <v>5176</v>
      </c>
      <c r="G256" t="s">
        <v>74</v>
      </c>
      <c r="H256" t="s">
        <v>74</v>
      </c>
      <c r="I256" t="s">
        <v>5177</v>
      </c>
      <c r="J256" t="s">
        <v>5178</v>
      </c>
      <c r="K256" t="s">
        <v>74</v>
      </c>
      <c r="L256" t="s">
        <v>74</v>
      </c>
      <c r="M256" t="s">
        <v>850</v>
      </c>
      <c r="N256" t="s">
        <v>79</v>
      </c>
      <c r="O256" t="s">
        <v>74</v>
      </c>
      <c r="P256" t="s">
        <v>74</v>
      </c>
      <c r="Q256" t="s">
        <v>74</v>
      </c>
      <c r="R256" t="s">
        <v>74</v>
      </c>
      <c r="S256" t="s">
        <v>74</v>
      </c>
      <c r="T256" t="s">
        <v>5179</v>
      </c>
      <c r="U256" t="s">
        <v>5180</v>
      </c>
      <c r="V256" t="s">
        <v>5181</v>
      </c>
      <c r="W256" t="s">
        <v>5182</v>
      </c>
      <c r="X256" t="s">
        <v>5183</v>
      </c>
      <c r="Y256" t="s">
        <v>5184</v>
      </c>
      <c r="Z256" t="s">
        <v>5185</v>
      </c>
      <c r="AA256" t="s">
        <v>5186</v>
      </c>
      <c r="AB256" t="s">
        <v>5187</v>
      </c>
      <c r="AC256" t="s">
        <v>74</v>
      </c>
      <c r="AD256" t="s">
        <v>74</v>
      </c>
      <c r="AE256" t="s">
        <v>74</v>
      </c>
      <c r="AF256" t="s">
        <v>74</v>
      </c>
      <c r="AG256">
        <v>31</v>
      </c>
      <c r="AH256">
        <v>1</v>
      </c>
      <c r="AI256">
        <v>3</v>
      </c>
      <c r="AJ256">
        <v>1</v>
      </c>
      <c r="AK256">
        <v>17</v>
      </c>
      <c r="AL256" t="s">
        <v>5188</v>
      </c>
      <c r="AM256" t="s">
        <v>858</v>
      </c>
      <c r="AN256" t="s">
        <v>5189</v>
      </c>
      <c r="AO256" t="s">
        <v>5190</v>
      </c>
      <c r="AP256" t="s">
        <v>5191</v>
      </c>
      <c r="AQ256" t="s">
        <v>74</v>
      </c>
      <c r="AR256" t="s">
        <v>5192</v>
      </c>
      <c r="AS256" t="s">
        <v>5193</v>
      </c>
      <c r="AT256" t="s">
        <v>4934</v>
      </c>
      <c r="AU256">
        <v>2014</v>
      </c>
      <c r="AV256">
        <v>49</v>
      </c>
      <c r="AW256">
        <v>2</v>
      </c>
      <c r="AX256" t="s">
        <v>74</v>
      </c>
      <c r="AY256" t="s">
        <v>74</v>
      </c>
      <c r="AZ256" t="s">
        <v>74</v>
      </c>
      <c r="BA256" t="s">
        <v>74</v>
      </c>
      <c r="BB256">
        <v>361</v>
      </c>
      <c r="BC256">
        <v>366</v>
      </c>
      <c r="BD256" t="s">
        <v>74</v>
      </c>
      <c r="BE256" t="s">
        <v>5194</v>
      </c>
      <c r="BF256" t="str">
        <f>HYPERLINK("http://dx.doi.org/10.4067/S0718-19572014000200014","http://dx.doi.org/10.4067/S0718-19572014000200014")</f>
        <v>http://dx.doi.org/10.4067/S0718-19572014000200014</v>
      </c>
      <c r="BG256" t="s">
        <v>74</v>
      </c>
      <c r="BH256" t="s">
        <v>74</v>
      </c>
      <c r="BI256">
        <v>6</v>
      </c>
      <c r="BJ256" t="s">
        <v>2511</v>
      </c>
      <c r="BK256" t="s">
        <v>102</v>
      </c>
      <c r="BL256" t="s">
        <v>2511</v>
      </c>
      <c r="BM256" t="s">
        <v>5195</v>
      </c>
      <c r="BN256" t="s">
        <v>74</v>
      </c>
      <c r="BO256" t="s">
        <v>5196</v>
      </c>
      <c r="BP256" t="s">
        <v>74</v>
      </c>
      <c r="BQ256" t="s">
        <v>74</v>
      </c>
      <c r="BR256" t="s">
        <v>105</v>
      </c>
      <c r="BS256" t="s">
        <v>5197</v>
      </c>
      <c r="BT256" t="str">
        <f>HYPERLINK("https%3A%2F%2Fwww.webofscience.com%2Fwos%2Fwoscc%2Ffull-record%2FWOS:000341591700014","View Full Record in Web of Science")</f>
        <v>View Full Record in Web of Science</v>
      </c>
    </row>
    <row r="257" spans="1:72" x14ac:dyDescent="0.15">
      <c r="A257" t="s">
        <v>72</v>
      </c>
      <c r="B257" t="s">
        <v>5198</v>
      </c>
      <c r="C257" t="s">
        <v>74</v>
      </c>
      <c r="D257" t="s">
        <v>74</v>
      </c>
      <c r="E257" t="s">
        <v>74</v>
      </c>
      <c r="F257" t="s">
        <v>5199</v>
      </c>
      <c r="G257" t="s">
        <v>74</v>
      </c>
      <c r="H257" t="s">
        <v>74</v>
      </c>
      <c r="I257" t="s">
        <v>5200</v>
      </c>
      <c r="J257" t="s">
        <v>5178</v>
      </c>
      <c r="K257" t="s">
        <v>74</v>
      </c>
      <c r="L257" t="s">
        <v>74</v>
      </c>
      <c r="M257" t="s">
        <v>850</v>
      </c>
      <c r="N257" t="s">
        <v>79</v>
      </c>
      <c r="O257" t="s">
        <v>74</v>
      </c>
      <c r="P257" t="s">
        <v>74</v>
      </c>
      <c r="Q257" t="s">
        <v>74</v>
      </c>
      <c r="R257" t="s">
        <v>74</v>
      </c>
      <c r="S257" t="s">
        <v>74</v>
      </c>
      <c r="T257" t="s">
        <v>5201</v>
      </c>
      <c r="U257" t="s">
        <v>74</v>
      </c>
      <c r="V257" t="s">
        <v>5202</v>
      </c>
      <c r="W257" t="s">
        <v>5203</v>
      </c>
      <c r="X257" t="s">
        <v>5204</v>
      </c>
      <c r="Y257" t="s">
        <v>5184</v>
      </c>
      <c r="Z257" t="s">
        <v>5185</v>
      </c>
      <c r="AA257" t="s">
        <v>5205</v>
      </c>
      <c r="AB257" t="s">
        <v>5206</v>
      </c>
      <c r="AC257" t="s">
        <v>74</v>
      </c>
      <c r="AD257" t="s">
        <v>74</v>
      </c>
      <c r="AE257" t="s">
        <v>74</v>
      </c>
      <c r="AF257" t="s">
        <v>74</v>
      </c>
      <c r="AG257">
        <v>13</v>
      </c>
      <c r="AH257">
        <v>4</v>
      </c>
      <c r="AI257">
        <v>4</v>
      </c>
      <c r="AJ257">
        <v>0</v>
      </c>
      <c r="AK257">
        <v>12</v>
      </c>
      <c r="AL257" t="s">
        <v>5207</v>
      </c>
      <c r="AM257" t="s">
        <v>858</v>
      </c>
      <c r="AN257" t="s">
        <v>5208</v>
      </c>
      <c r="AO257" t="s">
        <v>5190</v>
      </c>
      <c r="AP257" t="s">
        <v>5191</v>
      </c>
      <c r="AQ257" t="s">
        <v>74</v>
      </c>
      <c r="AR257" t="s">
        <v>5192</v>
      </c>
      <c r="AS257" t="s">
        <v>5193</v>
      </c>
      <c r="AT257" t="s">
        <v>4934</v>
      </c>
      <c r="AU257">
        <v>2014</v>
      </c>
      <c r="AV257">
        <v>49</v>
      </c>
      <c r="AW257">
        <v>2</v>
      </c>
      <c r="AX257" t="s">
        <v>74</v>
      </c>
      <c r="AY257" t="s">
        <v>74</v>
      </c>
      <c r="AZ257" t="s">
        <v>74</v>
      </c>
      <c r="BA257" t="s">
        <v>74</v>
      </c>
      <c r="BB257">
        <v>373</v>
      </c>
      <c r="BC257">
        <v>377</v>
      </c>
      <c r="BD257" t="s">
        <v>74</v>
      </c>
      <c r="BE257" t="s">
        <v>5209</v>
      </c>
      <c r="BF257" t="str">
        <f>HYPERLINK("http://dx.doi.org/10.4067/S0718-19572014000200016","http://dx.doi.org/10.4067/S0718-19572014000200016")</f>
        <v>http://dx.doi.org/10.4067/S0718-19572014000200016</v>
      </c>
      <c r="BG257" t="s">
        <v>74</v>
      </c>
      <c r="BH257" t="s">
        <v>74</v>
      </c>
      <c r="BI257">
        <v>5</v>
      </c>
      <c r="BJ257" t="s">
        <v>2511</v>
      </c>
      <c r="BK257" t="s">
        <v>102</v>
      </c>
      <c r="BL257" t="s">
        <v>2511</v>
      </c>
      <c r="BM257" t="s">
        <v>5195</v>
      </c>
      <c r="BN257" t="s">
        <v>74</v>
      </c>
      <c r="BO257" t="s">
        <v>5196</v>
      </c>
      <c r="BP257" t="s">
        <v>74</v>
      </c>
      <c r="BQ257" t="s">
        <v>74</v>
      </c>
      <c r="BR257" t="s">
        <v>105</v>
      </c>
      <c r="BS257" t="s">
        <v>5210</v>
      </c>
      <c r="BT257" t="str">
        <f>HYPERLINK("https%3A%2F%2Fwww.webofscience.com%2Fwos%2Fwoscc%2Ffull-record%2FWOS:000341591700016","View Full Record in Web of Science")</f>
        <v>View Full Record in Web of Science</v>
      </c>
    </row>
    <row r="258" spans="1:72" x14ac:dyDescent="0.15">
      <c r="A258" t="s">
        <v>72</v>
      </c>
      <c r="B258" t="s">
        <v>5211</v>
      </c>
      <c r="C258" t="s">
        <v>74</v>
      </c>
      <c r="D258" t="s">
        <v>74</v>
      </c>
      <c r="E258" t="s">
        <v>74</v>
      </c>
      <c r="F258" t="s">
        <v>5212</v>
      </c>
      <c r="G258" t="s">
        <v>74</v>
      </c>
      <c r="H258" t="s">
        <v>74</v>
      </c>
      <c r="I258" t="s">
        <v>5213</v>
      </c>
      <c r="J258" t="s">
        <v>5214</v>
      </c>
      <c r="K258" t="s">
        <v>74</v>
      </c>
      <c r="L258" t="s">
        <v>74</v>
      </c>
      <c r="M258" t="s">
        <v>78</v>
      </c>
      <c r="N258" t="s">
        <v>79</v>
      </c>
      <c r="O258" t="s">
        <v>74</v>
      </c>
      <c r="P258" t="s">
        <v>74</v>
      </c>
      <c r="Q258" t="s">
        <v>74</v>
      </c>
      <c r="R258" t="s">
        <v>74</v>
      </c>
      <c r="S258" t="s">
        <v>74</v>
      </c>
      <c r="T258" t="s">
        <v>5215</v>
      </c>
      <c r="U258" t="s">
        <v>5216</v>
      </c>
      <c r="V258" t="s">
        <v>5217</v>
      </c>
      <c r="W258" t="s">
        <v>5218</v>
      </c>
      <c r="X258" t="s">
        <v>5219</v>
      </c>
      <c r="Y258" t="s">
        <v>5220</v>
      </c>
      <c r="Z258" t="s">
        <v>5221</v>
      </c>
      <c r="AA258" t="s">
        <v>5222</v>
      </c>
      <c r="AB258" t="s">
        <v>5223</v>
      </c>
      <c r="AC258" t="s">
        <v>74</v>
      </c>
      <c r="AD258" t="s">
        <v>74</v>
      </c>
      <c r="AE258" t="s">
        <v>74</v>
      </c>
      <c r="AF258" t="s">
        <v>74</v>
      </c>
      <c r="AG258">
        <v>41</v>
      </c>
      <c r="AH258">
        <v>3</v>
      </c>
      <c r="AI258">
        <v>4</v>
      </c>
      <c r="AJ258">
        <v>0</v>
      </c>
      <c r="AK258">
        <v>20</v>
      </c>
      <c r="AL258" t="s">
        <v>250</v>
      </c>
      <c r="AM258" t="s">
        <v>251</v>
      </c>
      <c r="AN258" t="s">
        <v>252</v>
      </c>
      <c r="AO258" t="s">
        <v>5224</v>
      </c>
      <c r="AP258" t="s">
        <v>74</v>
      </c>
      <c r="AQ258" t="s">
        <v>74</v>
      </c>
      <c r="AR258" t="s">
        <v>5225</v>
      </c>
      <c r="AS258" t="s">
        <v>5226</v>
      </c>
      <c r="AT258" t="s">
        <v>4934</v>
      </c>
      <c r="AU258">
        <v>2014</v>
      </c>
      <c r="AV258">
        <v>135</v>
      </c>
      <c r="AW258" t="s">
        <v>74</v>
      </c>
      <c r="AX258" t="s">
        <v>74</v>
      </c>
      <c r="AY258" t="s">
        <v>74</v>
      </c>
      <c r="AZ258" t="s">
        <v>74</v>
      </c>
      <c r="BA258" t="s">
        <v>74</v>
      </c>
      <c r="BB258">
        <v>81</v>
      </c>
      <c r="BC258">
        <v>90</v>
      </c>
      <c r="BD258" t="s">
        <v>74</v>
      </c>
      <c r="BE258" t="s">
        <v>5227</v>
      </c>
      <c r="BF258" t="str">
        <f>HYPERLINK("http://dx.doi.org/10.1016/j.physbeh.2014.05.045","http://dx.doi.org/10.1016/j.physbeh.2014.05.045")</f>
        <v>http://dx.doi.org/10.1016/j.physbeh.2014.05.045</v>
      </c>
      <c r="BG258" t="s">
        <v>74</v>
      </c>
      <c r="BH258" t="s">
        <v>74</v>
      </c>
      <c r="BI258">
        <v>10</v>
      </c>
      <c r="BJ258" t="s">
        <v>5228</v>
      </c>
      <c r="BK258" t="s">
        <v>1690</v>
      </c>
      <c r="BL258" t="s">
        <v>5229</v>
      </c>
      <c r="BM258" t="s">
        <v>5230</v>
      </c>
      <c r="BN258">
        <v>24910139</v>
      </c>
      <c r="BO258" t="s">
        <v>74</v>
      </c>
      <c r="BP258" t="s">
        <v>74</v>
      </c>
      <c r="BQ258" t="s">
        <v>74</v>
      </c>
      <c r="BR258" t="s">
        <v>105</v>
      </c>
      <c r="BS258" t="s">
        <v>5231</v>
      </c>
      <c r="BT258" t="str">
        <f>HYPERLINK("https%3A%2F%2Fwww.webofscience.com%2Fwos%2Fwoscc%2Ffull-record%2FWOS:000341556800010","View Full Record in Web of Science")</f>
        <v>View Full Record in Web of Science</v>
      </c>
    </row>
    <row r="259" spans="1:72" x14ac:dyDescent="0.15">
      <c r="A259" t="s">
        <v>72</v>
      </c>
      <c r="B259" t="s">
        <v>5232</v>
      </c>
      <c r="C259" t="s">
        <v>74</v>
      </c>
      <c r="D259" t="s">
        <v>74</v>
      </c>
      <c r="E259" t="s">
        <v>74</v>
      </c>
      <c r="F259" t="s">
        <v>5233</v>
      </c>
      <c r="G259" t="s">
        <v>74</v>
      </c>
      <c r="H259" t="s">
        <v>74</v>
      </c>
      <c r="I259" t="s">
        <v>5234</v>
      </c>
      <c r="J259" t="s">
        <v>5235</v>
      </c>
      <c r="K259" t="s">
        <v>74</v>
      </c>
      <c r="L259" t="s">
        <v>74</v>
      </c>
      <c r="M259" t="s">
        <v>78</v>
      </c>
      <c r="N259" t="s">
        <v>79</v>
      </c>
      <c r="O259" t="s">
        <v>74</v>
      </c>
      <c r="P259" t="s">
        <v>74</v>
      </c>
      <c r="Q259" t="s">
        <v>74</v>
      </c>
      <c r="R259" t="s">
        <v>74</v>
      </c>
      <c r="S259" t="s">
        <v>74</v>
      </c>
      <c r="T259" t="s">
        <v>74</v>
      </c>
      <c r="U259" t="s">
        <v>5236</v>
      </c>
      <c r="V259" t="s">
        <v>5237</v>
      </c>
      <c r="W259" t="s">
        <v>5238</v>
      </c>
      <c r="X259" t="s">
        <v>5239</v>
      </c>
      <c r="Y259" t="s">
        <v>5240</v>
      </c>
      <c r="Z259" t="s">
        <v>5241</v>
      </c>
      <c r="AA259" t="s">
        <v>74</v>
      </c>
      <c r="AB259" t="s">
        <v>5242</v>
      </c>
      <c r="AC259" t="s">
        <v>5243</v>
      </c>
      <c r="AD259" t="s">
        <v>5244</v>
      </c>
      <c r="AE259" t="s">
        <v>5245</v>
      </c>
      <c r="AF259" t="s">
        <v>74</v>
      </c>
      <c r="AG259">
        <v>49</v>
      </c>
      <c r="AH259">
        <v>26</v>
      </c>
      <c r="AI259">
        <v>31</v>
      </c>
      <c r="AJ259">
        <v>2</v>
      </c>
      <c r="AK259">
        <v>46</v>
      </c>
      <c r="AL259" t="s">
        <v>250</v>
      </c>
      <c r="AM259" t="s">
        <v>251</v>
      </c>
      <c r="AN259" t="s">
        <v>252</v>
      </c>
      <c r="AO259" t="s">
        <v>5246</v>
      </c>
      <c r="AP259" t="s">
        <v>74</v>
      </c>
      <c r="AQ259" t="s">
        <v>74</v>
      </c>
      <c r="AR259" t="s">
        <v>5247</v>
      </c>
      <c r="AS259" t="s">
        <v>5248</v>
      </c>
      <c r="AT259" t="s">
        <v>4934</v>
      </c>
      <c r="AU259">
        <v>2014</v>
      </c>
      <c r="AV259">
        <v>47</v>
      </c>
      <c r="AW259" t="s">
        <v>74</v>
      </c>
      <c r="AX259" t="s">
        <v>74</v>
      </c>
      <c r="AY259" t="s">
        <v>74</v>
      </c>
      <c r="AZ259" t="s">
        <v>74</v>
      </c>
      <c r="BA259" t="s">
        <v>74</v>
      </c>
      <c r="BB259">
        <v>109</v>
      </c>
      <c r="BC259">
        <v>121</v>
      </c>
      <c r="BD259" t="s">
        <v>74</v>
      </c>
      <c r="BE259" t="s">
        <v>5249</v>
      </c>
      <c r="BF259" t="str">
        <f>HYPERLINK("http://dx.doi.org/10.1016/j.apgeochem.2014.05.019","http://dx.doi.org/10.1016/j.apgeochem.2014.05.019")</f>
        <v>http://dx.doi.org/10.1016/j.apgeochem.2014.05.019</v>
      </c>
      <c r="BG259" t="s">
        <v>74</v>
      </c>
      <c r="BH259" t="s">
        <v>74</v>
      </c>
      <c r="BI259">
        <v>13</v>
      </c>
      <c r="BJ259" t="s">
        <v>425</v>
      </c>
      <c r="BK259" t="s">
        <v>102</v>
      </c>
      <c r="BL259" t="s">
        <v>425</v>
      </c>
      <c r="BM259" t="s">
        <v>5250</v>
      </c>
      <c r="BN259" t="s">
        <v>74</v>
      </c>
      <c r="BO259" t="s">
        <v>74</v>
      </c>
      <c r="BP259" t="s">
        <v>74</v>
      </c>
      <c r="BQ259" t="s">
        <v>74</v>
      </c>
      <c r="BR259" t="s">
        <v>105</v>
      </c>
      <c r="BS259" t="s">
        <v>5251</v>
      </c>
      <c r="BT259" t="str">
        <f>HYPERLINK("https%3A%2F%2Fwww.webofscience.com%2Fwos%2Fwoscc%2Ffull-record%2FWOS:000341340200011","View Full Record in Web of Science")</f>
        <v>View Full Record in Web of Science</v>
      </c>
    </row>
    <row r="260" spans="1:72" x14ac:dyDescent="0.15">
      <c r="A260" t="s">
        <v>72</v>
      </c>
      <c r="B260" t="s">
        <v>5252</v>
      </c>
      <c r="C260" t="s">
        <v>74</v>
      </c>
      <c r="D260" t="s">
        <v>74</v>
      </c>
      <c r="E260" t="s">
        <v>74</v>
      </c>
      <c r="F260" t="s">
        <v>5253</v>
      </c>
      <c r="G260" t="s">
        <v>74</v>
      </c>
      <c r="H260" t="s">
        <v>74</v>
      </c>
      <c r="I260" t="s">
        <v>5254</v>
      </c>
      <c r="J260" t="s">
        <v>5255</v>
      </c>
      <c r="K260" t="s">
        <v>74</v>
      </c>
      <c r="L260" t="s">
        <v>74</v>
      </c>
      <c r="M260" t="s">
        <v>78</v>
      </c>
      <c r="N260" t="s">
        <v>79</v>
      </c>
      <c r="O260" t="s">
        <v>74</v>
      </c>
      <c r="P260" t="s">
        <v>74</v>
      </c>
      <c r="Q260" t="s">
        <v>74</v>
      </c>
      <c r="R260" t="s">
        <v>74</v>
      </c>
      <c r="S260" t="s">
        <v>74</v>
      </c>
      <c r="T260" t="s">
        <v>74</v>
      </c>
      <c r="U260" t="s">
        <v>5256</v>
      </c>
      <c r="V260" t="s">
        <v>5257</v>
      </c>
      <c r="W260" t="s">
        <v>5258</v>
      </c>
      <c r="X260" t="s">
        <v>5259</v>
      </c>
      <c r="Y260" t="s">
        <v>5260</v>
      </c>
      <c r="Z260" t="s">
        <v>5261</v>
      </c>
      <c r="AA260" t="s">
        <v>5262</v>
      </c>
      <c r="AB260" t="s">
        <v>5263</v>
      </c>
      <c r="AC260" t="s">
        <v>5264</v>
      </c>
      <c r="AD260" t="s">
        <v>4830</v>
      </c>
      <c r="AE260" t="s">
        <v>5265</v>
      </c>
      <c r="AF260" t="s">
        <v>74</v>
      </c>
      <c r="AG260">
        <v>50</v>
      </c>
      <c r="AH260">
        <v>23</v>
      </c>
      <c r="AI260">
        <v>27</v>
      </c>
      <c r="AJ260">
        <v>2</v>
      </c>
      <c r="AK260">
        <v>83</v>
      </c>
      <c r="AL260" t="s">
        <v>5266</v>
      </c>
      <c r="AM260" t="s">
        <v>1938</v>
      </c>
      <c r="AN260" t="s">
        <v>5267</v>
      </c>
      <c r="AO260" t="s">
        <v>5268</v>
      </c>
      <c r="AP260" t="s">
        <v>5269</v>
      </c>
      <c r="AQ260" t="s">
        <v>74</v>
      </c>
      <c r="AR260" t="s">
        <v>5270</v>
      </c>
      <c r="AS260" t="s">
        <v>5271</v>
      </c>
      <c r="AT260" t="s">
        <v>4934</v>
      </c>
      <c r="AU260">
        <v>2014</v>
      </c>
      <c r="AV260">
        <v>46</v>
      </c>
      <c r="AW260">
        <v>3</v>
      </c>
      <c r="AX260" t="s">
        <v>74</v>
      </c>
      <c r="AY260" t="s">
        <v>74</v>
      </c>
      <c r="AZ260" t="s">
        <v>74</v>
      </c>
      <c r="BA260" t="s">
        <v>74</v>
      </c>
      <c r="BB260">
        <v>535</v>
      </c>
      <c r="BC260">
        <v>541</v>
      </c>
      <c r="BD260" t="s">
        <v>74</v>
      </c>
      <c r="BE260" t="s">
        <v>5272</v>
      </c>
      <c r="BF260" t="str">
        <f>HYPERLINK("http://dx.doi.org/10.1657/1938-4246-46.3.535","http://dx.doi.org/10.1657/1938-4246-46.3.535")</f>
        <v>http://dx.doi.org/10.1657/1938-4246-46.3.535</v>
      </c>
      <c r="BG260" t="s">
        <v>74</v>
      </c>
      <c r="BH260" t="s">
        <v>74</v>
      </c>
      <c r="BI260">
        <v>7</v>
      </c>
      <c r="BJ260" t="s">
        <v>5273</v>
      </c>
      <c r="BK260" t="s">
        <v>102</v>
      </c>
      <c r="BL260" t="s">
        <v>103</v>
      </c>
      <c r="BM260" t="s">
        <v>5274</v>
      </c>
      <c r="BN260" t="s">
        <v>74</v>
      </c>
      <c r="BO260" t="s">
        <v>1969</v>
      </c>
      <c r="BP260" t="s">
        <v>74</v>
      </c>
      <c r="BQ260" t="s">
        <v>74</v>
      </c>
      <c r="BR260" t="s">
        <v>105</v>
      </c>
      <c r="BS260" t="s">
        <v>5275</v>
      </c>
      <c r="BT260" t="str">
        <f>HYPERLINK("https%3A%2F%2Fwww.webofscience.com%2Fwos%2Fwoscc%2Ffull-record%2FWOS:000341282400001","View Full Record in Web of Science")</f>
        <v>View Full Record in Web of Science</v>
      </c>
    </row>
    <row r="261" spans="1:72" x14ac:dyDescent="0.15">
      <c r="A261" t="s">
        <v>72</v>
      </c>
      <c r="B261" t="s">
        <v>5276</v>
      </c>
      <c r="C261" t="s">
        <v>74</v>
      </c>
      <c r="D261" t="s">
        <v>74</v>
      </c>
      <c r="E261" t="s">
        <v>74</v>
      </c>
      <c r="F261" t="s">
        <v>5277</v>
      </c>
      <c r="G261" t="s">
        <v>74</v>
      </c>
      <c r="H261" t="s">
        <v>74</v>
      </c>
      <c r="I261" t="s">
        <v>5278</v>
      </c>
      <c r="J261" t="s">
        <v>5255</v>
      </c>
      <c r="K261" t="s">
        <v>74</v>
      </c>
      <c r="L261" t="s">
        <v>74</v>
      </c>
      <c r="M261" t="s">
        <v>78</v>
      </c>
      <c r="N261" t="s">
        <v>79</v>
      </c>
      <c r="O261" t="s">
        <v>74</v>
      </c>
      <c r="P261" t="s">
        <v>74</v>
      </c>
      <c r="Q261" t="s">
        <v>74</v>
      </c>
      <c r="R261" t="s">
        <v>74</v>
      </c>
      <c r="S261" t="s">
        <v>74</v>
      </c>
      <c r="T261" t="s">
        <v>74</v>
      </c>
      <c r="U261" t="s">
        <v>5279</v>
      </c>
      <c r="V261" t="s">
        <v>5280</v>
      </c>
      <c r="W261" t="s">
        <v>5281</v>
      </c>
      <c r="X261" t="s">
        <v>5282</v>
      </c>
      <c r="Y261" t="s">
        <v>5283</v>
      </c>
      <c r="Z261" t="s">
        <v>5284</v>
      </c>
      <c r="AA261" t="s">
        <v>74</v>
      </c>
      <c r="AB261" t="s">
        <v>5285</v>
      </c>
      <c r="AC261" t="s">
        <v>5286</v>
      </c>
      <c r="AD261" t="s">
        <v>5287</v>
      </c>
      <c r="AE261" t="s">
        <v>5288</v>
      </c>
      <c r="AF261" t="s">
        <v>74</v>
      </c>
      <c r="AG261">
        <v>52</v>
      </c>
      <c r="AH261">
        <v>2</v>
      </c>
      <c r="AI261">
        <v>2</v>
      </c>
      <c r="AJ261">
        <v>0</v>
      </c>
      <c r="AK261">
        <v>14</v>
      </c>
      <c r="AL261" t="s">
        <v>1764</v>
      </c>
      <c r="AM261" t="s">
        <v>1765</v>
      </c>
      <c r="AN261" t="s">
        <v>3608</v>
      </c>
      <c r="AO261" t="s">
        <v>5268</v>
      </c>
      <c r="AP261" t="s">
        <v>5269</v>
      </c>
      <c r="AQ261" t="s">
        <v>74</v>
      </c>
      <c r="AR261" t="s">
        <v>5270</v>
      </c>
      <c r="AS261" t="s">
        <v>5271</v>
      </c>
      <c r="AT261" t="s">
        <v>4934</v>
      </c>
      <c r="AU261">
        <v>2014</v>
      </c>
      <c r="AV261">
        <v>46</v>
      </c>
      <c r="AW261">
        <v>3</v>
      </c>
      <c r="AX261" t="s">
        <v>74</v>
      </c>
      <c r="AY261" t="s">
        <v>74</v>
      </c>
      <c r="AZ261" t="s">
        <v>74</v>
      </c>
      <c r="BA261" t="s">
        <v>74</v>
      </c>
      <c r="BB261">
        <v>542</v>
      </c>
      <c r="BC261">
        <v>547</v>
      </c>
      <c r="BD261" t="s">
        <v>74</v>
      </c>
      <c r="BE261" t="s">
        <v>5289</v>
      </c>
      <c r="BF261" t="str">
        <f>HYPERLINK("http://dx.doi.org/10.1657/1938-4246-46.3.542","http://dx.doi.org/10.1657/1938-4246-46.3.542")</f>
        <v>http://dx.doi.org/10.1657/1938-4246-46.3.542</v>
      </c>
      <c r="BG261" t="s">
        <v>74</v>
      </c>
      <c r="BH261" t="s">
        <v>74</v>
      </c>
      <c r="BI261">
        <v>6</v>
      </c>
      <c r="BJ261" t="s">
        <v>5273</v>
      </c>
      <c r="BK261" t="s">
        <v>102</v>
      </c>
      <c r="BL261" t="s">
        <v>103</v>
      </c>
      <c r="BM261" t="s">
        <v>5274</v>
      </c>
      <c r="BN261" t="s">
        <v>74</v>
      </c>
      <c r="BO261" t="s">
        <v>1053</v>
      </c>
      <c r="BP261" t="s">
        <v>74</v>
      </c>
      <c r="BQ261" t="s">
        <v>74</v>
      </c>
      <c r="BR261" t="s">
        <v>105</v>
      </c>
      <c r="BS261" t="s">
        <v>5290</v>
      </c>
      <c r="BT261" t="str">
        <f>HYPERLINK("https%3A%2F%2Fwww.webofscience.com%2Fwos%2Fwoscc%2Ffull-record%2FWOS:000341282400002","View Full Record in Web of Science")</f>
        <v>View Full Record in Web of Science</v>
      </c>
    </row>
    <row r="262" spans="1:72" x14ac:dyDescent="0.15">
      <c r="A262" t="s">
        <v>72</v>
      </c>
      <c r="B262" t="s">
        <v>5291</v>
      </c>
      <c r="C262" t="s">
        <v>74</v>
      </c>
      <c r="D262" t="s">
        <v>74</v>
      </c>
      <c r="E262" t="s">
        <v>74</v>
      </c>
      <c r="F262" t="s">
        <v>5292</v>
      </c>
      <c r="G262" t="s">
        <v>74</v>
      </c>
      <c r="H262" t="s">
        <v>74</v>
      </c>
      <c r="I262" t="s">
        <v>5293</v>
      </c>
      <c r="J262" t="s">
        <v>5255</v>
      </c>
      <c r="K262" t="s">
        <v>74</v>
      </c>
      <c r="L262" t="s">
        <v>74</v>
      </c>
      <c r="M262" t="s">
        <v>78</v>
      </c>
      <c r="N262" t="s">
        <v>79</v>
      </c>
      <c r="O262" t="s">
        <v>74</v>
      </c>
      <c r="P262" t="s">
        <v>74</v>
      </c>
      <c r="Q262" t="s">
        <v>74</v>
      </c>
      <c r="R262" t="s">
        <v>74</v>
      </c>
      <c r="S262" t="s">
        <v>74</v>
      </c>
      <c r="T262" t="s">
        <v>74</v>
      </c>
      <c r="U262" t="s">
        <v>5294</v>
      </c>
      <c r="V262" t="s">
        <v>5295</v>
      </c>
      <c r="W262" t="s">
        <v>5296</v>
      </c>
      <c r="X262" t="s">
        <v>5297</v>
      </c>
      <c r="Y262" t="s">
        <v>5298</v>
      </c>
      <c r="Z262" t="s">
        <v>5299</v>
      </c>
      <c r="AA262" t="s">
        <v>5300</v>
      </c>
      <c r="AB262" t="s">
        <v>5301</v>
      </c>
      <c r="AC262" t="s">
        <v>5302</v>
      </c>
      <c r="AD262" t="s">
        <v>5302</v>
      </c>
      <c r="AE262" t="s">
        <v>5303</v>
      </c>
      <c r="AF262" t="s">
        <v>74</v>
      </c>
      <c r="AG262">
        <v>60</v>
      </c>
      <c r="AH262">
        <v>11</v>
      </c>
      <c r="AI262">
        <v>13</v>
      </c>
      <c r="AJ262">
        <v>0</v>
      </c>
      <c r="AK262">
        <v>35</v>
      </c>
      <c r="AL262" t="s">
        <v>1764</v>
      </c>
      <c r="AM262" t="s">
        <v>1765</v>
      </c>
      <c r="AN262" t="s">
        <v>3608</v>
      </c>
      <c r="AO262" t="s">
        <v>5268</v>
      </c>
      <c r="AP262" t="s">
        <v>5269</v>
      </c>
      <c r="AQ262" t="s">
        <v>74</v>
      </c>
      <c r="AR262" t="s">
        <v>5270</v>
      </c>
      <c r="AS262" t="s">
        <v>5271</v>
      </c>
      <c r="AT262" t="s">
        <v>4934</v>
      </c>
      <c r="AU262">
        <v>2014</v>
      </c>
      <c r="AV262">
        <v>46</v>
      </c>
      <c r="AW262">
        <v>3</v>
      </c>
      <c r="AX262" t="s">
        <v>74</v>
      </c>
      <c r="AY262" t="s">
        <v>74</v>
      </c>
      <c r="AZ262" t="s">
        <v>74</v>
      </c>
      <c r="BA262" t="s">
        <v>74</v>
      </c>
      <c r="BB262">
        <v>558</v>
      </c>
      <c r="BC262">
        <v>567</v>
      </c>
      <c r="BD262" t="s">
        <v>74</v>
      </c>
      <c r="BE262" t="s">
        <v>5304</v>
      </c>
      <c r="BF262" t="str">
        <f>HYPERLINK("http://dx.doi.org/10.1657/1938-4246-46.3.558","http://dx.doi.org/10.1657/1938-4246-46.3.558")</f>
        <v>http://dx.doi.org/10.1657/1938-4246-46.3.558</v>
      </c>
      <c r="BG262" t="s">
        <v>74</v>
      </c>
      <c r="BH262" t="s">
        <v>74</v>
      </c>
      <c r="BI262">
        <v>10</v>
      </c>
      <c r="BJ262" t="s">
        <v>5273</v>
      </c>
      <c r="BK262" t="s">
        <v>102</v>
      </c>
      <c r="BL262" t="s">
        <v>103</v>
      </c>
      <c r="BM262" t="s">
        <v>5274</v>
      </c>
      <c r="BN262" t="s">
        <v>74</v>
      </c>
      <c r="BO262" t="s">
        <v>1053</v>
      </c>
      <c r="BP262" t="s">
        <v>74</v>
      </c>
      <c r="BQ262" t="s">
        <v>74</v>
      </c>
      <c r="BR262" t="s">
        <v>105</v>
      </c>
      <c r="BS262" t="s">
        <v>5305</v>
      </c>
      <c r="BT262" t="str">
        <f>HYPERLINK("https%3A%2F%2Fwww.webofscience.com%2Fwos%2Fwoscc%2Ffull-record%2FWOS:000341282400004","View Full Record in Web of Science")</f>
        <v>View Full Record in Web of Science</v>
      </c>
    </row>
    <row r="263" spans="1:72" x14ac:dyDescent="0.15">
      <c r="A263" t="s">
        <v>72</v>
      </c>
      <c r="B263" t="s">
        <v>5306</v>
      </c>
      <c r="C263" t="s">
        <v>74</v>
      </c>
      <c r="D263" t="s">
        <v>74</v>
      </c>
      <c r="E263" t="s">
        <v>74</v>
      </c>
      <c r="F263" t="s">
        <v>5307</v>
      </c>
      <c r="G263" t="s">
        <v>74</v>
      </c>
      <c r="H263" t="s">
        <v>74</v>
      </c>
      <c r="I263" t="s">
        <v>5308</v>
      </c>
      <c r="J263" t="s">
        <v>5255</v>
      </c>
      <c r="K263" t="s">
        <v>74</v>
      </c>
      <c r="L263" t="s">
        <v>74</v>
      </c>
      <c r="M263" t="s">
        <v>78</v>
      </c>
      <c r="N263" t="s">
        <v>79</v>
      </c>
      <c r="O263" t="s">
        <v>74</v>
      </c>
      <c r="P263" t="s">
        <v>74</v>
      </c>
      <c r="Q263" t="s">
        <v>74</v>
      </c>
      <c r="R263" t="s">
        <v>74</v>
      </c>
      <c r="S263" t="s">
        <v>74</v>
      </c>
      <c r="T263" t="s">
        <v>74</v>
      </c>
      <c r="U263" t="s">
        <v>5309</v>
      </c>
      <c r="V263" t="s">
        <v>5310</v>
      </c>
      <c r="W263" t="s">
        <v>5311</v>
      </c>
      <c r="X263" t="s">
        <v>5312</v>
      </c>
      <c r="Y263" t="s">
        <v>5313</v>
      </c>
      <c r="Z263" t="s">
        <v>5314</v>
      </c>
      <c r="AA263" t="s">
        <v>5315</v>
      </c>
      <c r="AB263" t="s">
        <v>5316</v>
      </c>
      <c r="AC263" t="s">
        <v>5317</v>
      </c>
      <c r="AD263" t="s">
        <v>5318</v>
      </c>
      <c r="AE263" t="s">
        <v>5319</v>
      </c>
      <c r="AF263" t="s">
        <v>74</v>
      </c>
      <c r="AG263">
        <v>58</v>
      </c>
      <c r="AH263">
        <v>15</v>
      </c>
      <c r="AI263">
        <v>18</v>
      </c>
      <c r="AJ263">
        <v>1</v>
      </c>
      <c r="AK263">
        <v>34</v>
      </c>
      <c r="AL263" t="s">
        <v>1764</v>
      </c>
      <c r="AM263" t="s">
        <v>1765</v>
      </c>
      <c r="AN263" t="s">
        <v>3608</v>
      </c>
      <c r="AO263" t="s">
        <v>5268</v>
      </c>
      <c r="AP263" t="s">
        <v>5269</v>
      </c>
      <c r="AQ263" t="s">
        <v>74</v>
      </c>
      <c r="AR263" t="s">
        <v>5270</v>
      </c>
      <c r="AS263" t="s">
        <v>5271</v>
      </c>
      <c r="AT263" t="s">
        <v>4934</v>
      </c>
      <c r="AU263">
        <v>2014</v>
      </c>
      <c r="AV263">
        <v>46</v>
      </c>
      <c r="AW263">
        <v>3</v>
      </c>
      <c r="AX263" t="s">
        <v>74</v>
      </c>
      <c r="AY263" t="s">
        <v>74</v>
      </c>
      <c r="AZ263" t="s">
        <v>74</v>
      </c>
      <c r="BA263" t="s">
        <v>74</v>
      </c>
      <c r="BB263">
        <v>581</v>
      </c>
      <c r="BC263">
        <v>590</v>
      </c>
      <c r="BD263" t="s">
        <v>74</v>
      </c>
      <c r="BE263" t="s">
        <v>5320</v>
      </c>
      <c r="BF263" t="str">
        <f>HYPERLINK("http://dx.doi.org/10.1657/1938-4246-46.3.581","http://dx.doi.org/10.1657/1938-4246-46.3.581")</f>
        <v>http://dx.doi.org/10.1657/1938-4246-46.3.581</v>
      </c>
      <c r="BG263" t="s">
        <v>74</v>
      </c>
      <c r="BH263" t="s">
        <v>74</v>
      </c>
      <c r="BI263">
        <v>10</v>
      </c>
      <c r="BJ263" t="s">
        <v>5273</v>
      </c>
      <c r="BK263" t="s">
        <v>102</v>
      </c>
      <c r="BL263" t="s">
        <v>103</v>
      </c>
      <c r="BM263" t="s">
        <v>5274</v>
      </c>
      <c r="BN263" t="s">
        <v>74</v>
      </c>
      <c r="BO263" t="s">
        <v>74</v>
      </c>
      <c r="BP263" t="s">
        <v>74</v>
      </c>
      <c r="BQ263" t="s">
        <v>74</v>
      </c>
      <c r="BR263" t="s">
        <v>105</v>
      </c>
      <c r="BS263" t="s">
        <v>5321</v>
      </c>
      <c r="BT263" t="str">
        <f>HYPERLINK("https%3A%2F%2Fwww.webofscience.com%2Fwos%2Fwoscc%2Ffull-record%2FWOS:000341282400006","View Full Record in Web of Science")</f>
        <v>View Full Record in Web of Science</v>
      </c>
    </row>
    <row r="264" spans="1:72" x14ac:dyDescent="0.15">
      <c r="A264" t="s">
        <v>72</v>
      </c>
      <c r="B264" t="s">
        <v>5322</v>
      </c>
      <c r="C264" t="s">
        <v>74</v>
      </c>
      <c r="D264" t="s">
        <v>74</v>
      </c>
      <c r="E264" t="s">
        <v>74</v>
      </c>
      <c r="F264" t="s">
        <v>5323</v>
      </c>
      <c r="G264" t="s">
        <v>74</v>
      </c>
      <c r="H264" t="s">
        <v>74</v>
      </c>
      <c r="I264" t="s">
        <v>5324</v>
      </c>
      <c r="J264" t="s">
        <v>5255</v>
      </c>
      <c r="K264" t="s">
        <v>74</v>
      </c>
      <c r="L264" t="s">
        <v>74</v>
      </c>
      <c r="M264" t="s">
        <v>78</v>
      </c>
      <c r="N264" t="s">
        <v>79</v>
      </c>
      <c r="O264" t="s">
        <v>74</v>
      </c>
      <c r="P264" t="s">
        <v>74</v>
      </c>
      <c r="Q264" t="s">
        <v>74</v>
      </c>
      <c r="R264" t="s">
        <v>74</v>
      </c>
      <c r="S264" t="s">
        <v>74</v>
      </c>
      <c r="T264" t="s">
        <v>74</v>
      </c>
      <c r="U264" t="s">
        <v>5325</v>
      </c>
      <c r="V264" t="s">
        <v>5326</v>
      </c>
      <c r="W264" t="s">
        <v>5327</v>
      </c>
      <c r="X264" t="s">
        <v>5328</v>
      </c>
      <c r="Y264" t="s">
        <v>5329</v>
      </c>
      <c r="Z264" t="s">
        <v>5330</v>
      </c>
      <c r="AA264" t="s">
        <v>74</v>
      </c>
      <c r="AB264" t="s">
        <v>5331</v>
      </c>
      <c r="AC264" t="s">
        <v>74</v>
      </c>
      <c r="AD264" t="s">
        <v>74</v>
      </c>
      <c r="AE264" t="s">
        <v>74</v>
      </c>
      <c r="AF264" t="s">
        <v>74</v>
      </c>
      <c r="AG264">
        <v>44</v>
      </c>
      <c r="AH264">
        <v>24</v>
      </c>
      <c r="AI264">
        <v>25</v>
      </c>
      <c r="AJ264">
        <v>0</v>
      </c>
      <c r="AK264">
        <v>21</v>
      </c>
      <c r="AL264" t="s">
        <v>1764</v>
      </c>
      <c r="AM264" t="s">
        <v>1765</v>
      </c>
      <c r="AN264" t="s">
        <v>3608</v>
      </c>
      <c r="AO264" t="s">
        <v>5268</v>
      </c>
      <c r="AP264" t="s">
        <v>5269</v>
      </c>
      <c r="AQ264" t="s">
        <v>74</v>
      </c>
      <c r="AR264" t="s">
        <v>5270</v>
      </c>
      <c r="AS264" t="s">
        <v>5271</v>
      </c>
      <c r="AT264" t="s">
        <v>4934</v>
      </c>
      <c r="AU264">
        <v>2014</v>
      </c>
      <c r="AV264">
        <v>46</v>
      </c>
      <c r="AW264">
        <v>3</v>
      </c>
      <c r="AX264" t="s">
        <v>74</v>
      </c>
      <c r="AY264" t="s">
        <v>74</v>
      </c>
      <c r="AZ264" t="s">
        <v>74</v>
      </c>
      <c r="BA264" t="s">
        <v>74</v>
      </c>
      <c r="BB264">
        <v>591</v>
      </c>
      <c r="BC264">
        <v>599</v>
      </c>
      <c r="BD264" t="s">
        <v>74</v>
      </c>
      <c r="BE264" t="s">
        <v>5332</v>
      </c>
      <c r="BF264" t="str">
        <f>HYPERLINK("http://dx.doi.org/10.1657/1938-4246-46.3.591","http://dx.doi.org/10.1657/1938-4246-46.3.591")</f>
        <v>http://dx.doi.org/10.1657/1938-4246-46.3.591</v>
      </c>
      <c r="BG264" t="s">
        <v>74</v>
      </c>
      <c r="BH264" t="s">
        <v>74</v>
      </c>
      <c r="BI264">
        <v>9</v>
      </c>
      <c r="BJ264" t="s">
        <v>5273</v>
      </c>
      <c r="BK264" t="s">
        <v>102</v>
      </c>
      <c r="BL264" t="s">
        <v>103</v>
      </c>
      <c r="BM264" t="s">
        <v>5274</v>
      </c>
      <c r="BN264" t="s">
        <v>74</v>
      </c>
      <c r="BO264" t="s">
        <v>1053</v>
      </c>
      <c r="BP264" t="s">
        <v>74</v>
      </c>
      <c r="BQ264" t="s">
        <v>74</v>
      </c>
      <c r="BR264" t="s">
        <v>105</v>
      </c>
      <c r="BS264" t="s">
        <v>5333</v>
      </c>
      <c r="BT264" t="str">
        <f>HYPERLINK("https%3A%2F%2Fwww.webofscience.com%2Fwos%2Fwoscc%2Ffull-record%2FWOS:000341282400007","View Full Record in Web of Science")</f>
        <v>View Full Record in Web of Science</v>
      </c>
    </row>
    <row r="265" spans="1:72" x14ac:dyDescent="0.15">
      <c r="A265" t="s">
        <v>72</v>
      </c>
      <c r="B265" t="s">
        <v>5334</v>
      </c>
      <c r="C265" t="s">
        <v>74</v>
      </c>
      <c r="D265" t="s">
        <v>74</v>
      </c>
      <c r="E265" t="s">
        <v>74</v>
      </c>
      <c r="F265" t="s">
        <v>5335</v>
      </c>
      <c r="G265" t="s">
        <v>74</v>
      </c>
      <c r="H265" t="s">
        <v>74</v>
      </c>
      <c r="I265" t="s">
        <v>5336</v>
      </c>
      <c r="J265" t="s">
        <v>5255</v>
      </c>
      <c r="K265" t="s">
        <v>74</v>
      </c>
      <c r="L265" t="s">
        <v>74</v>
      </c>
      <c r="M265" t="s">
        <v>78</v>
      </c>
      <c r="N265" t="s">
        <v>79</v>
      </c>
      <c r="O265" t="s">
        <v>74</v>
      </c>
      <c r="P265" t="s">
        <v>74</v>
      </c>
      <c r="Q265" t="s">
        <v>74</v>
      </c>
      <c r="R265" t="s">
        <v>74</v>
      </c>
      <c r="S265" t="s">
        <v>74</v>
      </c>
      <c r="T265" t="s">
        <v>74</v>
      </c>
      <c r="U265" t="s">
        <v>5337</v>
      </c>
      <c r="V265" t="s">
        <v>5338</v>
      </c>
      <c r="W265" t="s">
        <v>5339</v>
      </c>
      <c r="X265" t="s">
        <v>5340</v>
      </c>
      <c r="Y265" t="s">
        <v>5341</v>
      </c>
      <c r="Z265" t="s">
        <v>5342</v>
      </c>
      <c r="AA265" t="s">
        <v>5343</v>
      </c>
      <c r="AB265" t="s">
        <v>5344</v>
      </c>
      <c r="AC265" t="s">
        <v>5345</v>
      </c>
      <c r="AD265" t="s">
        <v>5346</v>
      </c>
      <c r="AE265" t="s">
        <v>5347</v>
      </c>
      <c r="AF265" t="s">
        <v>74</v>
      </c>
      <c r="AG265">
        <v>92</v>
      </c>
      <c r="AH265">
        <v>5</v>
      </c>
      <c r="AI265">
        <v>8</v>
      </c>
      <c r="AJ265">
        <v>0</v>
      </c>
      <c r="AK265">
        <v>32</v>
      </c>
      <c r="AL265" t="s">
        <v>1764</v>
      </c>
      <c r="AM265" t="s">
        <v>1765</v>
      </c>
      <c r="AN265" t="s">
        <v>3608</v>
      </c>
      <c r="AO265" t="s">
        <v>5268</v>
      </c>
      <c r="AP265" t="s">
        <v>5269</v>
      </c>
      <c r="AQ265" t="s">
        <v>74</v>
      </c>
      <c r="AR265" t="s">
        <v>5270</v>
      </c>
      <c r="AS265" t="s">
        <v>5271</v>
      </c>
      <c r="AT265" t="s">
        <v>4934</v>
      </c>
      <c r="AU265">
        <v>2014</v>
      </c>
      <c r="AV265">
        <v>46</v>
      </c>
      <c r="AW265">
        <v>3</v>
      </c>
      <c r="AX265" t="s">
        <v>74</v>
      </c>
      <c r="AY265" t="s">
        <v>74</v>
      </c>
      <c r="AZ265" t="s">
        <v>74</v>
      </c>
      <c r="BA265" t="s">
        <v>74</v>
      </c>
      <c r="BB265">
        <v>600</v>
      </c>
      <c r="BC265">
        <v>615</v>
      </c>
      <c r="BD265" t="s">
        <v>74</v>
      </c>
      <c r="BE265" t="s">
        <v>5348</v>
      </c>
      <c r="BF265" t="str">
        <f>HYPERLINK("http://dx.doi.org/10.1657/1938-4246-46.3.600","http://dx.doi.org/10.1657/1938-4246-46.3.600")</f>
        <v>http://dx.doi.org/10.1657/1938-4246-46.3.600</v>
      </c>
      <c r="BG265" t="s">
        <v>74</v>
      </c>
      <c r="BH265" t="s">
        <v>74</v>
      </c>
      <c r="BI265">
        <v>16</v>
      </c>
      <c r="BJ265" t="s">
        <v>5273</v>
      </c>
      <c r="BK265" t="s">
        <v>102</v>
      </c>
      <c r="BL265" t="s">
        <v>103</v>
      </c>
      <c r="BM265" t="s">
        <v>5274</v>
      </c>
      <c r="BN265" t="s">
        <v>74</v>
      </c>
      <c r="BO265" t="s">
        <v>2037</v>
      </c>
      <c r="BP265" t="s">
        <v>74</v>
      </c>
      <c r="BQ265" t="s">
        <v>74</v>
      </c>
      <c r="BR265" t="s">
        <v>105</v>
      </c>
      <c r="BS265" t="s">
        <v>5349</v>
      </c>
      <c r="BT265" t="str">
        <f>HYPERLINK("https%3A%2F%2Fwww.webofscience.com%2Fwos%2Fwoscc%2Ffull-record%2FWOS:000341282400008","View Full Record in Web of Science")</f>
        <v>View Full Record in Web of Science</v>
      </c>
    </row>
    <row r="266" spans="1:72" x14ac:dyDescent="0.15">
      <c r="A266" t="s">
        <v>72</v>
      </c>
      <c r="B266" t="s">
        <v>5350</v>
      </c>
      <c r="C266" t="s">
        <v>74</v>
      </c>
      <c r="D266" t="s">
        <v>74</v>
      </c>
      <c r="E266" t="s">
        <v>74</v>
      </c>
      <c r="F266" t="s">
        <v>5351</v>
      </c>
      <c r="G266" t="s">
        <v>74</v>
      </c>
      <c r="H266" t="s">
        <v>74</v>
      </c>
      <c r="I266" t="s">
        <v>5352</v>
      </c>
      <c r="J266" t="s">
        <v>5255</v>
      </c>
      <c r="K266" t="s">
        <v>74</v>
      </c>
      <c r="L266" t="s">
        <v>74</v>
      </c>
      <c r="M266" t="s">
        <v>78</v>
      </c>
      <c r="N266" t="s">
        <v>79</v>
      </c>
      <c r="O266" t="s">
        <v>74</v>
      </c>
      <c r="P266" t="s">
        <v>74</v>
      </c>
      <c r="Q266" t="s">
        <v>74</v>
      </c>
      <c r="R266" t="s">
        <v>74</v>
      </c>
      <c r="S266" t="s">
        <v>74</v>
      </c>
      <c r="T266" t="s">
        <v>74</v>
      </c>
      <c r="U266" t="s">
        <v>5353</v>
      </c>
      <c r="V266" t="s">
        <v>5354</v>
      </c>
      <c r="W266" t="s">
        <v>5355</v>
      </c>
      <c r="X266" t="s">
        <v>5356</v>
      </c>
      <c r="Y266" t="s">
        <v>5357</v>
      </c>
      <c r="Z266" t="s">
        <v>5358</v>
      </c>
      <c r="AA266" t="s">
        <v>5359</v>
      </c>
      <c r="AB266" t="s">
        <v>5360</v>
      </c>
      <c r="AC266" t="s">
        <v>5361</v>
      </c>
      <c r="AD266" t="s">
        <v>5361</v>
      </c>
      <c r="AE266" t="s">
        <v>5362</v>
      </c>
      <c r="AF266" t="s">
        <v>74</v>
      </c>
      <c r="AG266">
        <v>38</v>
      </c>
      <c r="AH266">
        <v>33</v>
      </c>
      <c r="AI266">
        <v>39</v>
      </c>
      <c r="AJ266">
        <v>0</v>
      </c>
      <c r="AK266">
        <v>30</v>
      </c>
      <c r="AL266" t="s">
        <v>1764</v>
      </c>
      <c r="AM266" t="s">
        <v>1765</v>
      </c>
      <c r="AN266" t="s">
        <v>3608</v>
      </c>
      <c r="AO266" t="s">
        <v>5268</v>
      </c>
      <c r="AP266" t="s">
        <v>5269</v>
      </c>
      <c r="AQ266" t="s">
        <v>74</v>
      </c>
      <c r="AR266" t="s">
        <v>5270</v>
      </c>
      <c r="AS266" t="s">
        <v>5271</v>
      </c>
      <c r="AT266" t="s">
        <v>4934</v>
      </c>
      <c r="AU266">
        <v>2014</v>
      </c>
      <c r="AV266">
        <v>46</v>
      </c>
      <c r="AW266">
        <v>3</v>
      </c>
      <c r="AX266" t="s">
        <v>74</v>
      </c>
      <c r="AY266" t="s">
        <v>74</v>
      </c>
      <c r="AZ266" t="s">
        <v>74</v>
      </c>
      <c r="BA266" t="s">
        <v>74</v>
      </c>
      <c r="BB266">
        <v>645</v>
      </c>
      <c r="BC266">
        <v>658</v>
      </c>
      <c r="BD266" t="s">
        <v>74</v>
      </c>
      <c r="BE266" t="s">
        <v>5363</v>
      </c>
      <c r="BF266" t="str">
        <f>HYPERLINK("http://dx.doi.org/10.1657/1938-4246-46.3.645","http://dx.doi.org/10.1657/1938-4246-46.3.645")</f>
        <v>http://dx.doi.org/10.1657/1938-4246-46.3.645</v>
      </c>
      <c r="BG266" t="s">
        <v>74</v>
      </c>
      <c r="BH266" t="s">
        <v>74</v>
      </c>
      <c r="BI266">
        <v>14</v>
      </c>
      <c r="BJ266" t="s">
        <v>5273</v>
      </c>
      <c r="BK266" t="s">
        <v>102</v>
      </c>
      <c r="BL266" t="s">
        <v>103</v>
      </c>
      <c r="BM266" t="s">
        <v>5274</v>
      </c>
      <c r="BN266" t="s">
        <v>74</v>
      </c>
      <c r="BO266" t="s">
        <v>1274</v>
      </c>
      <c r="BP266" t="s">
        <v>74</v>
      </c>
      <c r="BQ266" t="s">
        <v>74</v>
      </c>
      <c r="BR266" t="s">
        <v>105</v>
      </c>
      <c r="BS266" t="s">
        <v>5364</v>
      </c>
      <c r="BT266" t="str">
        <f>HYPERLINK("https%3A%2F%2Fwww.webofscience.com%2Fwos%2Fwoscc%2Ffull-record%2FWOS:000341282400011","View Full Record in Web of Science")</f>
        <v>View Full Record in Web of Science</v>
      </c>
    </row>
    <row r="267" spans="1:72" x14ac:dyDescent="0.15">
      <c r="A267" t="s">
        <v>72</v>
      </c>
      <c r="B267" t="s">
        <v>5365</v>
      </c>
      <c r="C267" t="s">
        <v>74</v>
      </c>
      <c r="D267" t="s">
        <v>74</v>
      </c>
      <c r="E267" t="s">
        <v>74</v>
      </c>
      <c r="F267" t="s">
        <v>5366</v>
      </c>
      <c r="G267" t="s">
        <v>74</v>
      </c>
      <c r="H267" t="s">
        <v>74</v>
      </c>
      <c r="I267" t="s">
        <v>5367</v>
      </c>
      <c r="J267" t="s">
        <v>5255</v>
      </c>
      <c r="K267" t="s">
        <v>74</v>
      </c>
      <c r="L267" t="s">
        <v>74</v>
      </c>
      <c r="M267" t="s">
        <v>78</v>
      </c>
      <c r="N267" t="s">
        <v>79</v>
      </c>
      <c r="O267" t="s">
        <v>74</v>
      </c>
      <c r="P267" t="s">
        <v>74</v>
      </c>
      <c r="Q267" t="s">
        <v>74</v>
      </c>
      <c r="R267" t="s">
        <v>74</v>
      </c>
      <c r="S267" t="s">
        <v>74</v>
      </c>
      <c r="T267" t="s">
        <v>74</v>
      </c>
      <c r="U267" t="s">
        <v>5368</v>
      </c>
      <c r="V267" t="s">
        <v>5369</v>
      </c>
      <c r="W267" t="s">
        <v>5370</v>
      </c>
      <c r="X267" t="s">
        <v>5371</v>
      </c>
      <c r="Y267" t="s">
        <v>5372</v>
      </c>
      <c r="Z267" t="s">
        <v>5373</v>
      </c>
      <c r="AA267" t="s">
        <v>5374</v>
      </c>
      <c r="AB267" t="s">
        <v>5375</v>
      </c>
      <c r="AC267" t="s">
        <v>5376</v>
      </c>
      <c r="AD267" t="s">
        <v>3150</v>
      </c>
      <c r="AE267" t="s">
        <v>5377</v>
      </c>
      <c r="AF267" t="s">
        <v>74</v>
      </c>
      <c r="AG267">
        <v>78</v>
      </c>
      <c r="AH267">
        <v>10</v>
      </c>
      <c r="AI267">
        <v>12</v>
      </c>
      <c r="AJ267">
        <v>3</v>
      </c>
      <c r="AK267">
        <v>50</v>
      </c>
      <c r="AL267" t="s">
        <v>1764</v>
      </c>
      <c r="AM267" t="s">
        <v>1765</v>
      </c>
      <c r="AN267" t="s">
        <v>3608</v>
      </c>
      <c r="AO267" t="s">
        <v>5268</v>
      </c>
      <c r="AP267" t="s">
        <v>5269</v>
      </c>
      <c r="AQ267" t="s">
        <v>74</v>
      </c>
      <c r="AR267" t="s">
        <v>5270</v>
      </c>
      <c r="AS267" t="s">
        <v>5271</v>
      </c>
      <c r="AT267" t="s">
        <v>4934</v>
      </c>
      <c r="AU267">
        <v>2014</v>
      </c>
      <c r="AV267">
        <v>46</v>
      </c>
      <c r="AW267">
        <v>3</v>
      </c>
      <c r="AX267" t="s">
        <v>74</v>
      </c>
      <c r="AY267" t="s">
        <v>74</v>
      </c>
      <c r="AZ267" t="s">
        <v>74</v>
      </c>
      <c r="BA267" t="s">
        <v>74</v>
      </c>
      <c r="BB267">
        <v>659</v>
      </c>
      <c r="BC267">
        <v>668</v>
      </c>
      <c r="BD267" t="s">
        <v>74</v>
      </c>
      <c r="BE267" t="s">
        <v>5378</v>
      </c>
      <c r="BF267" t="str">
        <f>HYPERLINK("http://dx.doi.org/10.1657/1938-4246-46.3.659","http://dx.doi.org/10.1657/1938-4246-46.3.659")</f>
        <v>http://dx.doi.org/10.1657/1938-4246-46.3.659</v>
      </c>
      <c r="BG267" t="s">
        <v>74</v>
      </c>
      <c r="BH267" t="s">
        <v>74</v>
      </c>
      <c r="BI267">
        <v>10</v>
      </c>
      <c r="BJ267" t="s">
        <v>5273</v>
      </c>
      <c r="BK267" t="s">
        <v>102</v>
      </c>
      <c r="BL267" t="s">
        <v>103</v>
      </c>
      <c r="BM267" t="s">
        <v>5274</v>
      </c>
      <c r="BN267" t="s">
        <v>74</v>
      </c>
      <c r="BO267" t="s">
        <v>1053</v>
      </c>
      <c r="BP267" t="s">
        <v>74</v>
      </c>
      <c r="BQ267" t="s">
        <v>74</v>
      </c>
      <c r="BR267" t="s">
        <v>105</v>
      </c>
      <c r="BS267" t="s">
        <v>5379</v>
      </c>
      <c r="BT267" t="str">
        <f>HYPERLINK("https%3A%2F%2Fwww.webofscience.com%2Fwos%2Fwoscc%2Ffull-record%2FWOS:000341282400012","View Full Record in Web of Science")</f>
        <v>View Full Record in Web of Science</v>
      </c>
    </row>
    <row r="268" spans="1:72" x14ac:dyDescent="0.15">
      <c r="A268" t="s">
        <v>72</v>
      </c>
      <c r="B268" t="s">
        <v>5380</v>
      </c>
      <c r="C268" t="s">
        <v>74</v>
      </c>
      <c r="D268" t="s">
        <v>74</v>
      </c>
      <c r="E268" t="s">
        <v>74</v>
      </c>
      <c r="F268" t="s">
        <v>5381</v>
      </c>
      <c r="G268" t="s">
        <v>74</v>
      </c>
      <c r="H268" t="s">
        <v>74</v>
      </c>
      <c r="I268" t="s">
        <v>5382</v>
      </c>
      <c r="J268" t="s">
        <v>5255</v>
      </c>
      <c r="K268" t="s">
        <v>74</v>
      </c>
      <c r="L268" t="s">
        <v>74</v>
      </c>
      <c r="M268" t="s">
        <v>78</v>
      </c>
      <c r="N268" t="s">
        <v>79</v>
      </c>
      <c r="O268" t="s">
        <v>74</v>
      </c>
      <c r="P268" t="s">
        <v>74</v>
      </c>
      <c r="Q268" t="s">
        <v>74</v>
      </c>
      <c r="R268" t="s">
        <v>74</v>
      </c>
      <c r="S268" t="s">
        <v>74</v>
      </c>
      <c r="T268" t="s">
        <v>74</v>
      </c>
      <c r="U268" t="s">
        <v>5383</v>
      </c>
      <c r="V268" t="s">
        <v>5384</v>
      </c>
      <c r="W268" t="s">
        <v>5385</v>
      </c>
      <c r="X268" t="s">
        <v>5386</v>
      </c>
      <c r="Y268" t="s">
        <v>5387</v>
      </c>
      <c r="Z268" t="s">
        <v>5388</v>
      </c>
      <c r="AA268" t="s">
        <v>5389</v>
      </c>
      <c r="AB268" t="s">
        <v>5390</v>
      </c>
      <c r="AC268" t="s">
        <v>5391</v>
      </c>
      <c r="AD268" t="s">
        <v>5392</v>
      </c>
      <c r="AE268" t="s">
        <v>5393</v>
      </c>
      <c r="AF268" t="s">
        <v>74</v>
      </c>
      <c r="AG268">
        <v>92</v>
      </c>
      <c r="AH268">
        <v>20</v>
      </c>
      <c r="AI268">
        <v>24</v>
      </c>
      <c r="AJ268">
        <v>0</v>
      </c>
      <c r="AK268">
        <v>65</v>
      </c>
      <c r="AL268" t="s">
        <v>1764</v>
      </c>
      <c r="AM268" t="s">
        <v>1765</v>
      </c>
      <c r="AN268" t="s">
        <v>3608</v>
      </c>
      <c r="AO268" t="s">
        <v>5268</v>
      </c>
      <c r="AP268" t="s">
        <v>5269</v>
      </c>
      <c r="AQ268" t="s">
        <v>74</v>
      </c>
      <c r="AR268" t="s">
        <v>5270</v>
      </c>
      <c r="AS268" t="s">
        <v>5271</v>
      </c>
      <c r="AT268" t="s">
        <v>4934</v>
      </c>
      <c r="AU268">
        <v>2014</v>
      </c>
      <c r="AV268">
        <v>46</v>
      </c>
      <c r="AW268">
        <v>3</v>
      </c>
      <c r="AX268" t="s">
        <v>74</v>
      </c>
      <c r="AY268" t="s">
        <v>74</v>
      </c>
      <c r="AZ268" t="s">
        <v>74</v>
      </c>
      <c r="BA268" t="s">
        <v>74</v>
      </c>
      <c r="BB268">
        <v>682</v>
      </c>
      <c r="BC268">
        <v>697</v>
      </c>
      <c r="BD268" t="s">
        <v>74</v>
      </c>
      <c r="BE268" t="s">
        <v>5394</v>
      </c>
      <c r="BF268" t="str">
        <f>HYPERLINK("http://dx.doi.org/10.1657/1938-4246-46.3.682","http://dx.doi.org/10.1657/1938-4246-46.3.682")</f>
        <v>http://dx.doi.org/10.1657/1938-4246-46.3.682</v>
      </c>
      <c r="BG268" t="s">
        <v>74</v>
      </c>
      <c r="BH268" t="s">
        <v>74</v>
      </c>
      <c r="BI268">
        <v>16</v>
      </c>
      <c r="BJ268" t="s">
        <v>5273</v>
      </c>
      <c r="BK268" t="s">
        <v>102</v>
      </c>
      <c r="BL268" t="s">
        <v>103</v>
      </c>
      <c r="BM268" t="s">
        <v>5274</v>
      </c>
      <c r="BN268" t="s">
        <v>74</v>
      </c>
      <c r="BO268" t="s">
        <v>1274</v>
      </c>
      <c r="BP268" t="s">
        <v>74</v>
      </c>
      <c r="BQ268" t="s">
        <v>74</v>
      </c>
      <c r="BR268" t="s">
        <v>105</v>
      </c>
      <c r="BS268" t="s">
        <v>5395</v>
      </c>
      <c r="BT268" t="str">
        <f>HYPERLINK("https%3A%2F%2Fwww.webofscience.com%2Fwos%2Fwoscc%2Ffull-record%2FWOS:000341282400014","View Full Record in Web of Science")</f>
        <v>View Full Record in Web of Science</v>
      </c>
    </row>
    <row r="269" spans="1:72" x14ac:dyDescent="0.15">
      <c r="A269" t="s">
        <v>72</v>
      </c>
      <c r="B269" t="s">
        <v>5396</v>
      </c>
      <c r="C269" t="s">
        <v>74</v>
      </c>
      <c r="D269" t="s">
        <v>74</v>
      </c>
      <c r="E269" t="s">
        <v>74</v>
      </c>
      <c r="F269" t="s">
        <v>5397</v>
      </c>
      <c r="G269" t="s">
        <v>74</v>
      </c>
      <c r="H269" t="s">
        <v>74</v>
      </c>
      <c r="I269" t="s">
        <v>5398</v>
      </c>
      <c r="J269" t="s">
        <v>3677</v>
      </c>
      <c r="K269" t="s">
        <v>74</v>
      </c>
      <c r="L269" t="s">
        <v>74</v>
      </c>
      <c r="M269" t="s">
        <v>78</v>
      </c>
      <c r="N269" t="s">
        <v>79</v>
      </c>
      <c r="O269" t="s">
        <v>74</v>
      </c>
      <c r="P269" t="s">
        <v>74</v>
      </c>
      <c r="Q269" t="s">
        <v>74</v>
      </c>
      <c r="R269" t="s">
        <v>74</v>
      </c>
      <c r="S269" t="s">
        <v>74</v>
      </c>
      <c r="T269" t="s">
        <v>5399</v>
      </c>
      <c r="U269" t="s">
        <v>5400</v>
      </c>
      <c r="V269" t="s">
        <v>5401</v>
      </c>
      <c r="W269" t="s">
        <v>5402</v>
      </c>
      <c r="X269" t="s">
        <v>5403</v>
      </c>
      <c r="Y269" t="s">
        <v>5404</v>
      </c>
      <c r="Z269" t="s">
        <v>5405</v>
      </c>
      <c r="AA269" t="s">
        <v>74</v>
      </c>
      <c r="AB269" t="s">
        <v>5406</v>
      </c>
      <c r="AC269" t="s">
        <v>5407</v>
      </c>
      <c r="AD269" t="s">
        <v>5408</v>
      </c>
      <c r="AE269" t="s">
        <v>5409</v>
      </c>
      <c r="AF269" t="s">
        <v>74</v>
      </c>
      <c r="AG269">
        <v>63</v>
      </c>
      <c r="AH269">
        <v>8</v>
      </c>
      <c r="AI269">
        <v>9</v>
      </c>
      <c r="AJ269">
        <v>1</v>
      </c>
      <c r="AK269">
        <v>37</v>
      </c>
      <c r="AL269" t="s">
        <v>5410</v>
      </c>
      <c r="AM269" t="s">
        <v>1293</v>
      </c>
      <c r="AN269" t="s">
        <v>5411</v>
      </c>
      <c r="AO269" t="s">
        <v>3688</v>
      </c>
      <c r="AP269" t="s">
        <v>3689</v>
      </c>
      <c r="AQ269" t="s">
        <v>74</v>
      </c>
      <c r="AR269" t="s">
        <v>3690</v>
      </c>
      <c r="AS269" t="s">
        <v>3691</v>
      </c>
      <c r="AT269" t="s">
        <v>4934</v>
      </c>
      <c r="AU269">
        <v>2014</v>
      </c>
      <c r="AV269">
        <v>217</v>
      </c>
      <c r="AW269">
        <v>15</v>
      </c>
      <c r="AX269" t="s">
        <v>74</v>
      </c>
      <c r="AY269" t="s">
        <v>74</v>
      </c>
      <c r="AZ269" t="s">
        <v>74</v>
      </c>
      <c r="BA269" t="s">
        <v>74</v>
      </c>
      <c r="BB269">
        <v>2710</v>
      </c>
      <c r="BC269">
        <v>2716</v>
      </c>
      <c r="BD269" t="s">
        <v>74</v>
      </c>
      <c r="BE269" t="s">
        <v>5412</v>
      </c>
      <c r="BF269" t="str">
        <f>HYPERLINK("http://dx.doi.org/10.1242/jeb.106872","http://dx.doi.org/10.1242/jeb.106872")</f>
        <v>http://dx.doi.org/10.1242/jeb.106872</v>
      </c>
      <c r="BG269" t="s">
        <v>74</v>
      </c>
      <c r="BH269" t="s">
        <v>74</v>
      </c>
      <c r="BI269">
        <v>7</v>
      </c>
      <c r="BJ269" t="s">
        <v>1300</v>
      </c>
      <c r="BK269" t="s">
        <v>102</v>
      </c>
      <c r="BL269" t="s">
        <v>1301</v>
      </c>
      <c r="BM269" t="s">
        <v>5413</v>
      </c>
      <c r="BN269">
        <v>25079893</v>
      </c>
      <c r="BO269" t="s">
        <v>1053</v>
      </c>
      <c r="BP269" t="s">
        <v>74</v>
      </c>
      <c r="BQ269" t="s">
        <v>74</v>
      </c>
      <c r="BR269" t="s">
        <v>105</v>
      </c>
      <c r="BS269" t="s">
        <v>5414</v>
      </c>
      <c r="BT269" t="str">
        <f>HYPERLINK("https%3A%2F%2Fwww.webofscience.com%2Fwos%2Fwoscc%2Ffull-record%2FWOS:000341189200020","View Full Record in Web of Science")</f>
        <v>View Full Record in Web of Science</v>
      </c>
    </row>
    <row r="270" spans="1:72" x14ac:dyDescent="0.15">
      <c r="A270" t="s">
        <v>72</v>
      </c>
      <c r="B270" t="s">
        <v>5415</v>
      </c>
      <c r="C270" t="s">
        <v>74</v>
      </c>
      <c r="D270" t="s">
        <v>74</v>
      </c>
      <c r="E270" t="s">
        <v>74</v>
      </c>
      <c r="F270" t="s">
        <v>5416</v>
      </c>
      <c r="G270" t="s">
        <v>74</v>
      </c>
      <c r="H270" t="s">
        <v>74</v>
      </c>
      <c r="I270" t="s">
        <v>5417</v>
      </c>
      <c r="J270" t="s">
        <v>765</v>
      </c>
      <c r="K270" t="s">
        <v>74</v>
      </c>
      <c r="L270" t="s">
        <v>74</v>
      </c>
      <c r="M270" t="s">
        <v>78</v>
      </c>
      <c r="N270" t="s">
        <v>79</v>
      </c>
      <c r="O270" t="s">
        <v>74</v>
      </c>
      <c r="P270" t="s">
        <v>74</v>
      </c>
      <c r="Q270" t="s">
        <v>74</v>
      </c>
      <c r="R270" t="s">
        <v>74</v>
      </c>
      <c r="S270" t="s">
        <v>74</v>
      </c>
      <c r="T270" t="s">
        <v>5418</v>
      </c>
      <c r="U270" t="s">
        <v>5419</v>
      </c>
      <c r="V270" t="s">
        <v>5420</v>
      </c>
      <c r="W270" t="s">
        <v>5421</v>
      </c>
      <c r="X270" t="s">
        <v>5422</v>
      </c>
      <c r="Y270" t="s">
        <v>5423</v>
      </c>
      <c r="Z270" t="s">
        <v>5424</v>
      </c>
      <c r="AA270" t="s">
        <v>74</v>
      </c>
      <c r="AB270" t="s">
        <v>74</v>
      </c>
      <c r="AC270" t="s">
        <v>74</v>
      </c>
      <c r="AD270" t="s">
        <v>74</v>
      </c>
      <c r="AE270" t="s">
        <v>74</v>
      </c>
      <c r="AF270" t="s">
        <v>74</v>
      </c>
      <c r="AG270">
        <v>54</v>
      </c>
      <c r="AH270">
        <v>8</v>
      </c>
      <c r="AI270">
        <v>9</v>
      </c>
      <c r="AJ270">
        <v>2</v>
      </c>
      <c r="AK270">
        <v>69</v>
      </c>
      <c r="AL270" t="s">
        <v>224</v>
      </c>
      <c r="AM270" t="s">
        <v>576</v>
      </c>
      <c r="AN270" t="s">
        <v>778</v>
      </c>
      <c r="AO270" t="s">
        <v>779</v>
      </c>
      <c r="AP270" t="s">
        <v>780</v>
      </c>
      <c r="AQ270" t="s">
        <v>74</v>
      </c>
      <c r="AR270" t="s">
        <v>781</v>
      </c>
      <c r="AS270" t="s">
        <v>782</v>
      </c>
      <c r="AT270" t="s">
        <v>4934</v>
      </c>
      <c r="AU270">
        <v>2014</v>
      </c>
      <c r="AV270">
        <v>37</v>
      </c>
      <c r="AW270">
        <v>8</v>
      </c>
      <c r="AX270" t="s">
        <v>74</v>
      </c>
      <c r="AY270" t="s">
        <v>74</v>
      </c>
      <c r="AZ270" t="s">
        <v>74</v>
      </c>
      <c r="BA270" t="s">
        <v>74</v>
      </c>
      <c r="BB270">
        <v>1083</v>
      </c>
      <c r="BC270">
        <v>1097</v>
      </c>
      <c r="BD270" t="s">
        <v>74</v>
      </c>
      <c r="BE270" t="s">
        <v>5425</v>
      </c>
      <c r="BF270" t="str">
        <f>HYPERLINK("http://dx.doi.org/10.1007/s00300-014-1502-1","http://dx.doi.org/10.1007/s00300-014-1502-1")</f>
        <v>http://dx.doi.org/10.1007/s00300-014-1502-1</v>
      </c>
      <c r="BG270" t="s">
        <v>74</v>
      </c>
      <c r="BH270" t="s">
        <v>74</v>
      </c>
      <c r="BI270">
        <v>15</v>
      </c>
      <c r="BJ270" t="s">
        <v>784</v>
      </c>
      <c r="BK270" t="s">
        <v>102</v>
      </c>
      <c r="BL270" t="s">
        <v>785</v>
      </c>
      <c r="BM270" t="s">
        <v>5426</v>
      </c>
      <c r="BN270" t="s">
        <v>74</v>
      </c>
      <c r="BO270" t="s">
        <v>74</v>
      </c>
      <c r="BP270" t="s">
        <v>74</v>
      </c>
      <c r="BQ270" t="s">
        <v>74</v>
      </c>
      <c r="BR270" t="s">
        <v>105</v>
      </c>
      <c r="BS270" t="s">
        <v>5427</v>
      </c>
      <c r="BT270" t="str">
        <f>HYPERLINK("https%3A%2F%2Fwww.webofscience.com%2Fwos%2Fwoscc%2Ffull-record%2FWOS:000341378000003","View Full Record in Web of Science")</f>
        <v>View Full Record in Web of Science</v>
      </c>
    </row>
    <row r="271" spans="1:72" x14ac:dyDescent="0.15">
      <c r="A271" t="s">
        <v>72</v>
      </c>
      <c r="B271" t="s">
        <v>5428</v>
      </c>
      <c r="C271" t="s">
        <v>74</v>
      </c>
      <c r="D271" t="s">
        <v>74</v>
      </c>
      <c r="E271" t="s">
        <v>74</v>
      </c>
      <c r="F271" t="s">
        <v>5429</v>
      </c>
      <c r="G271" t="s">
        <v>74</v>
      </c>
      <c r="H271" t="s">
        <v>74</v>
      </c>
      <c r="I271" t="s">
        <v>5430</v>
      </c>
      <c r="J271" t="s">
        <v>765</v>
      </c>
      <c r="K271" t="s">
        <v>74</v>
      </c>
      <c r="L271" t="s">
        <v>74</v>
      </c>
      <c r="M271" t="s">
        <v>78</v>
      </c>
      <c r="N271" t="s">
        <v>79</v>
      </c>
      <c r="O271" t="s">
        <v>74</v>
      </c>
      <c r="P271" t="s">
        <v>74</v>
      </c>
      <c r="Q271" t="s">
        <v>74</v>
      </c>
      <c r="R271" t="s">
        <v>74</v>
      </c>
      <c r="S271" t="s">
        <v>74</v>
      </c>
      <c r="T271" t="s">
        <v>5431</v>
      </c>
      <c r="U271" t="s">
        <v>5432</v>
      </c>
      <c r="V271" t="s">
        <v>5433</v>
      </c>
      <c r="W271" t="s">
        <v>5434</v>
      </c>
      <c r="X271" t="s">
        <v>5435</v>
      </c>
      <c r="Y271" t="s">
        <v>5436</v>
      </c>
      <c r="Z271" t="s">
        <v>5437</v>
      </c>
      <c r="AA271" t="s">
        <v>5438</v>
      </c>
      <c r="AB271" t="s">
        <v>5439</v>
      </c>
      <c r="AC271" t="s">
        <v>5440</v>
      </c>
      <c r="AD271" t="s">
        <v>5440</v>
      </c>
      <c r="AE271" t="s">
        <v>5441</v>
      </c>
      <c r="AF271" t="s">
        <v>74</v>
      </c>
      <c r="AG271">
        <v>38</v>
      </c>
      <c r="AH271">
        <v>10</v>
      </c>
      <c r="AI271">
        <v>11</v>
      </c>
      <c r="AJ271">
        <v>0</v>
      </c>
      <c r="AK271">
        <v>19</v>
      </c>
      <c r="AL271" t="s">
        <v>224</v>
      </c>
      <c r="AM271" t="s">
        <v>576</v>
      </c>
      <c r="AN271" t="s">
        <v>577</v>
      </c>
      <c r="AO271" t="s">
        <v>779</v>
      </c>
      <c r="AP271" t="s">
        <v>780</v>
      </c>
      <c r="AQ271" t="s">
        <v>74</v>
      </c>
      <c r="AR271" t="s">
        <v>781</v>
      </c>
      <c r="AS271" t="s">
        <v>782</v>
      </c>
      <c r="AT271" t="s">
        <v>4934</v>
      </c>
      <c r="AU271">
        <v>2014</v>
      </c>
      <c r="AV271">
        <v>37</v>
      </c>
      <c r="AW271">
        <v>8</v>
      </c>
      <c r="AX271" t="s">
        <v>74</v>
      </c>
      <c r="AY271" t="s">
        <v>74</v>
      </c>
      <c r="AZ271" t="s">
        <v>74</v>
      </c>
      <c r="BA271" t="s">
        <v>74</v>
      </c>
      <c r="BB271">
        <v>1099</v>
      </c>
      <c r="BC271">
        <v>1109</v>
      </c>
      <c r="BD271" t="s">
        <v>74</v>
      </c>
      <c r="BE271" t="s">
        <v>5442</v>
      </c>
      <c r="BF271" t="str">
        <f>HYPERLINK("http://dx.doi.org/10.1007/s00300-014-1503-0","http://dx.doi.org/10.1007/s00300-014-1503-0")</f>
        <v>http://dx.doi.org/10.1007/s00300-014-1503-0</v>
      </c>
      <c r="BG271" t="s">
        <v>74</v>
      </c>
      <c r="BH271" t="s">
        <v>74</v>
      </c>
      <c r="BI271">
        <v>11</v>
      </c>
      <c r="BJ271" t="s">
        <v>784</v>
      </c>
      <c r="BK271" t="s">
        <v>102</v>
      </c>
      <c r="BL271" t="s">
        <v>785</v>
      </c>
      <c r="BM271" t="s">
        <v>5426</v>
      </c>
      <c r="BN271" t="s">
        <v>74</v>
      </c>
      <c r="BO271" t="s">
        <v>1274</v>
      </c>
      <c r="BP271" t="s">
        <v>74</v>
      </c>
      <c r="BQ271" t="s">
        <v>74</v>
      </c>
      <c r="BR271" t="s">
        <v>105</v>
      </c>
      <c r="BS271" t="s">
        <v>5443</v>
      </c>
      <c r="BT271" t="str">
        <f>HYPERLINK("https%3A%2F%2Fwww.webofscience.com%2Fwos%2Fwoscc%2Ffull-record%2FWOS:000341378000004","View Full Record in Web of Science")</f>
        <v>View Full Record in Web of Science</v>
      </c>
    </row>
    <row r="272" spans="1:72" x14ac:dyDescent="0.15">
      <c r="A272" t="s">
        <v>72</v>
      </c>
      <c r="B272" t="s">
        <v>5444</v>
      </c>
      <c r="C272" t="s">
        <v>74</v>
      </c>
      <c r="D272" t="s">
        <v>74</v>
      </c>
      <c r="E272" t="s">
        <v>74</v>
      </c>
      <c r="F272" t="s">
        <v>5445</v>
      </c>
      <c r="G272" t="s">
        <v>74</v>
      </c>
      <c r="H272" t="s">
        <v>74</v>
      </c>
      <c r="I272" t="s">
        <v>5446</v>
      </c>
      <c r="J272" t="s">
        <v>765</v>
      </c>
      <c r="K272" t="s">
        <v>74</v>
      </c>
      <c r="L272" t="s">
        <v>74</v>
      </c>
      <c r="M272" t="s">
        <v>78</v>
      </c>
      <c r="N272" t="s">
        <v>79</v>
      </c>
      <c r="O272" t="s">
        <v>74</v>
      </c>
      <c r="P272" t="s">
        <v>74</v>
      </c>
      <c r="Q272" t="s">
        <v>74</v>
      </c>
      <c r="R272" t="s">
        <v>74</v>
      </c>
      <c r="S272" t="s">
        <v>74</v>
      </c>
      <c r="T272" t="s">
        <v>5447</v>
      </c>
      <c r="U272" t="s">
        <v>5448</v>
      </c>
      <c r="V272" t="s">
        <v>5449</v>
      </c>
      <c r="W272" t="s">
        <v>5450</v>
      </c>
      <c r="X272" t="s">
        <v>5451</v>
      </c>
      <c r="Y272" t="s">
        <v>5452</v>
      </c>
      <c r="Z272" t="s">
        <v>5453</v>
      </c>
      <c r="AA272" t="s">
        <v>5454</v>
      </c>
      <c r="AB272" t="s">
        <v>5455</v>
      </c>
      <c r="AC272" t="s">
        <v>5456</v>
      </c>
      <c r="AD272" t="s">
        <v>5457</v>
      </c>
      <c r="AE272" t="s">
        <v>5458</v>
      </c>
      <c r="AF272" t="s">
        <v>74</v>
      </c>
      <c r="AG272">
        <v>45</v>
      </c>
      <c r="AH272">
        <v>18</v>
      </c>
      <c r="AI272">
        <v>20</v>
      </c>
      <c r="AJ272">
        <v>0</v>
      </c>
      <c r="AK272">
        <v>17</v>
      </c>
      <c r="AL272" t="s">
        <v>224</v>
      </c>
      <c r="AM272" t="s">
        <v>576</v>
      </c>
      <c r="AN272" t="s">
        <v>577</v>
      </c>
      <c r="AO272" t="s">
        <v>779</v>
      </c>
      <c r="AP272" t="s">
        <v>780</v>
      </c>
      <c r="AQ272" t="s">
        <v>74</v>
      </c>
      <c r="AR272" t="s">
        <v>781</v>
      </c>
      <c r="AS272" t="s">
        <v>782</v>
      </c>
      <c r="AT272" t="s">
        <v>4934</v>
      </c>
      <c r="AU272">
        <v>2014</v>
      </c>
      <c r="AV272">
        <v>37</v>
      </c>
      <c r="AW272">
        <v>8</v>
      </c>
      <c r="AX272" t="s">
        <v>74</v>
      </c>
      <c r="AY272" t="s">
        <v>74</v>
      </c>
      <c r="AZ272" t="s">
        <v>74</v>
      </c>
      <c r="BA272" t="s">
        <v>74</v>
      </c>
      <c r="BB272">
        <v>1121</v>
      </c>
      <c r="BC272">
        <v>1131</v>
      </c>
      <c r="BD272" t="s">
        <v>74</v>
      </c>
      <c r="BE272" t="s">
        <v>5459</v>
      </c>
      <c r="BF272" t="str">
        <f>HYPERLINK("http://dx.doi.org/10.1007/s00300-014-1505-y","http://dx.doi.org/10.1007/s00300-014-1505-y")</f>
        <v>http://dx.doi.org/10.1007/s00300-014-1505-y</v>
      </c>
      <c r="BG272" t="s">
        <v>74</v>
      </c>
      <c r="BH272" t="s">
        <v>74</v>
      </c>
      <c r="BI272">
        <v>11</v>
      </c>
      <c r="BJ272" t="s">
        <v>784</v>
      </c>
      <c r="BK272" t="s">
        <v>102</v>
      </c>
      <c r="BL272" t="s">
        <v>785</v>
      </c>
      <c r="BM272" t="s">
        <v>5426</v>
      </c>
      <c r="BN272" t="s">
        <v>74</v>
      </c>
      <c r="BO272" t="s">
        <v>74</v>
      </c>
      <c r="BP272" t="s">
        <v>74</v>
      </c>
      <c r="BQ272" t="s">
        <v>74</v>
      </c>
      <c r="BR272" t="s">
        <v>105</v>
      </c>
      <c r="BS272" t="s">
        <v>5460</v>
      </c>
      <c r="BT272" t="str">
        <f>HYPERLINK("https%3A%2F%2Fwww.webofscience.com%2Fwos%2Fwoscc%2Ffull-record%2FWOS:000341378000006","View Full Record in Web of Science")</f>
        <v>View Full Record in Web of Science</v>
      </c>
    </row>
    <row r="273" spans="1:72" x14ac:dyDescent="0.15">
      <c r="A273" t="s">
        <v>72</v>
      </c>
      <c r="B273" t="s">
        <v>5461</v>
      </c>
      <c r="C273" t="s">
        <v>74</v>
      </c>
      <c r="D273" t="s">
        <v>74</v>
      </c>
      <c r="E273" t="s">
        <v>74</v>
      </c>
      <c r="F273" t="s">
        <v>5462</v>
      </c>
      <c r="G273" t="s">
        <v>74</v>
      </c>
      <c r="H273" t="s">
        <v>74</v>
      </c>
      <c r="I273" t="s">
        <v>5463</v>
      </c>
      <c r="J273" t="s">
        <v>765</v>
      </c>
      <c r="K273" t="s">
        <v>74</v>
      </c>
      <c r="L273" t="s">
        <v>74</v>
      </c>
      <c r="M273" t="s">
        <v>78</v>
      </c>
      <c r="N273" t="s">
        <v>79</v>
      </c>
      <c r="O273" t="s">
        <v>74</v>
      </c>
      <c r="P273" t="s">
        <v>74</v>
      </c>
      <c r="Q273" t="s">
        <v>74</v>
      </c>
      <c r="R273" t="s">
        <v>74</v>
      </c>
      <c r="S273" t="s">
        <v>74</v>
      </c>
      <c r="T273" t="s">
        <v>5464</v>
      </c>
      <c r="U273" t="s">
        <v>5465</v>
      </c>
      <c r="V273" t="s">
        <v>5466</v>
      </c>
      <c r="W273" t="s">
        <v>5467</v>
      </c>
      <c r="X273" t="s">
        <v>5468</v>
      </c>
      <c r="Y273" t="s">
        <v>5469</v>
      </c>
      <c r="Z273" t="s">
        <v>5470</v>
      </c>
      <c r="AA273" t="s">
        <v>5471</v>
      </c>
      <c r="AB273" t="s">
        <v>5472</v>
      </c>
      <c r="AC273" t="s">
        <v>5473</v>
      </c>
      <c r="AD273" t="s">
        <v>5474</v>
      </c>
      <c r="AE273" t="s">
        <v>5475</v>
      </c>
      <c r="AF273" t="s">
        <v>74</v>
      </c>
      <c r="AG273">
        <v>49</v>
      </c>
      <c r="AH273">
        <v>12</v>
      </c>
      <c r="AI273">
        <v>13</v>
      </c>
      <c r="AJ273">
        <v>0</v>
      </c>
      <c r="AK273">
        <v>28</v>
      </c>
      <c r="AL273" t="s">
        <v>224</v>
      </c>
      <c r="AM273" t="s">
        <v>576</v>
      </c>
      <c r="AN273" t="s">
        <v>778</v>
      </c>
      <c r="AO273" t="s">
        <v>779</v>
      </c>
      <c r="AP273" t="s">
        <v>780</v>
      </c>
      <c r="AQ273" t="s">
        <v>74</v>
      </c>
      <c r="AR273" t="s">
        <v>781</v>
      </c>
      <c r="AS273" t="s">
        <v>782</v>
      </c>
      <c r="AT273" t="s">
        <v>4934</v>
      </c>
      <c r="AU273">
        <v>2014</v>
      </c>
      <c r="AV273">
        <v>37</v>
      </c>
      <c r="AW273">
        <v>8</v>
      </c>
      <c r="AX273" t="s">
        <v>74</v>
      </c>
      <c r="AY273" t="s">
        <v>74</v>
      </c>
      <c r="AZ273" t="s">
        <v>74</v>
      </c>
      <c r="BA273" t="s">
        <v>74</v>
      </c>
      <c r="BB273">
        <v>1145</v>
      </c>
      <c r="BC273">
        <v>1155</v>
      </c>
      <c r="BD273" t="s">
        <v>74</v>
      </c>
      <c r="BE273" t="s">
        <v>5476</v>
      </c>
      <c r="BF273" t="str">
        <f>HYPERLINK("http://dx.doi.org/10.1007/s00300-014-1508-8","http://dx.doi.org/10.1007/s00300-014-1508-8")</f>
        <v>http://dx.doi.org/10.1007/s00300-014-1508-8</v>
      </c>
      <c r="BG273" t="s">
        <v>74</v>
      </c>
      <c r="BH273" t="s">
        <v>74</v>
      </c>
      <c r="BI273">
        <v>11</v>
      </c>
      <c r="BJ273" t="s">
        <v>784</v>
      </c>
      <c r="BK273" t="s">
        <v>102</v>
      </c>
      <c r="BL273" t="s">
        <v>785</v>
      </c>
      <c r="BM273" t="s">
        <v>5426</v>
      </c>
      <c r="BN273" t="s">
        <v>74</v>
      </c>
      <c r="BO273" t="s">
        <v>74</v>
      </c>
      <c r="BP273" t="s">
        <v>74</v>
      </c>
      <c r="BQ273" t="s">
        <v>74</v>
      </c>
      <c r="BR273" t="s">
        <v>105</v>
      </c>
      <c r="BS273" t="s">
        <v>5477</v>
      </c>
      <c r="BT273" t="str">
        <f>HYPERLINK("https%3A%2F%2Fwww.webofscience.com%2Fwos%2Fwoscc%2Ffull-record%2FWOS:000341378000008","View Full Record in Web of Science")</f>
        <v>View Full Record in Web of Science</v>
      </c>
    </row>
    <row r="274" spans="1:72" x14ac:dyDescent="0.15">
      <c r="A274" t="s">
        <v>72</v>
      </c>
      <c r="B274" t="s">
        <v>5478</v>
      </c>
      <c r="C274" t="s">
        <v>74</v>
      </c>
      <c r="D274" t="s">
        <v>74</v>
      </c>
      <c r="E274" t="s">
        <v>74</v>
      </c>
      <c r="F274" t="s">
        <v>5479</v>
      </c>
      <c r="G274" t="s">
        <v>74</v>
      </c>
      <c r="H274" t="s">
        <v>74</v>
      </c>
      <c r="I274" t="s">
        <v>5480</v>
      </c>
      <c r="J274" t="s">
        <v>765</v>
      </c>
      <c r="K274" t="s">
        <v>74</v>
      </c>
      <c r="L274" t="s">
        <v>74</v>
      </c>
      <c r="M274" t="s">
        <v>78</v>
      </c>
      <c r="N274" t="s">
        <v>79</v>
      </c>
      <c r="O274" t="s">
        <v>74</v>
      </c>
      <c r="P274" t="s">
        <v>74</v>
      </c>
      <c r="Q274" t="s">
        <v>74</v>
      </c>
      <c r="R274" t="s">
        <v>74</v>
      </c>
      <c r="S274" t="s">
        <v>74</v>
      </c>
      <c r="T274" t="s">
        <v>5481</v>
      </c>
      <c r="U274" t="s">
        <v>5482</v>
      </c>
      <c r="V274" t="s">
        <v>5483</v>
      </c>
      <c r="W274" t="s">
        <v>5484</v>
      </c>
      <c r="X274" t="s">
        <v>74</v>
      </c>
      <c r="Y274" t="s">
        <v>5485</v>
      </c>
      <c r="Z274" t="s">
        <v>5486</v>
      </c>
      <c r="AA274" t="s">
        <v>74</v>
      </c>
      <c r="AB274" t="s">
        <v>74</v>
      </c>
      <c r="AC274" t="s">
        <v>5487</v>
      </c>
      <c r="AD274" t="s">
        <v>5487</v>
      </c>
      <c r="AE274" t="s">
        <v>5488</v>
      </c>
      <c r="AF274" t="s">
        <v>74</v>
      </c>
      <c r="AG274">
        <v>23</v>
      </c>
      <c r="AH274">
        <v>4</v>
      </c>
      <c r="AI274">
        <v>5</v>
      </c>
      <c r="AJ274">
        <v>0</v>
      </c>
      <c r="AK274">
        <v>8</v>
      </c>
      <c r="AL274" t="s">
        <v>224</v>
      </c>
      <c r="AM274" t="s">
        <v>576</v>
      </c>
      <c r="AN274" t="s">
        <v>778</v>
      </c>
      <c r="AO274" t="s">
        <v>779</v>
      </c>
      <c r="AP274" t="s">
        <v>780</v>
      </c>
      <c r="AQ274" t="s">
        <v>74</v>
      </c>
      <c r="AR274" t="s">
        <v>781</v>
      </c>
      <c r="AS274" t="s">
        <v>782</v>
      </c>
      <c r="AT274" t="s">
        <v>4934</v>
      </c>
      <c r="AU274">
        <v>2014</v>
      </c>
      <c r="AV274">
        <v>37</v>
      </c>
      <c r="AW274">
        <v>8</v>
      </c>
      <c r="AX274" t="s">
        <v>74</v>
      </c>
      <c r="AY274" t="s">
        <v>74</v>
      </c>
      <c r="AZ274" t="s">
        <v>74</v>
      </c>
      <c r="BA274" t="s">
        <v>74</v>
      </c>
      <c r="BB274">
        <v>1209</v>
      </c>
      <c r="BC274">
        <v>1212</v>
      </c>
      <c r="BD274" t="s">
        <v>74</v>
      </c>
      <c r="BE274" t="s">
        <v>5489</v>
      </c>
      <c r="BF274" t="str">
        <f>HYPERLINK("http://dx.doi.org/10.1007/s00300-014-1506-x","http://dx.doi.org/10.1007/s00300-014-1506-x")</f>
        <v>http://dx.doi.org/10.1007/s00300-014-1506-x</v>
      </c>
      <c r="BG274" t="s">
        <v>74</v>
      </c>
      <c r="BH274" t="s">
        <v>74</v>
      </c>
      <c r="BI274">
        <v>4</v>
      </c>
      <c r="BJ274" t="s">
        <v>784</v>
      </c>
      <c r="BK274" t="s">
        <v>102</v>
      </c>
      <c r="BL274" t="s">
        <v>785</v>
      </c>
      <c r="BM274" t="s">
        <v>5426</v>
      </c>
      <c r="BN274" t="s">
        <v>74</v>
      </c>
      <c r="BO274" t="s">
        <v>74</v>
      </c>
      <c r="BP274" t="s">
        <v>74</v>
      </c>
      <c r="BQ274" t="s">
        <v>74</v>
      </c>
      <c r="BR274" t="s">
        <v>105</v>
      </c>
      <c r="BS274" t="s">
        <v>5490</v>
      </c>
      <c r="BT274" t="str">
        <f>HYPERLINK("https%3A%2F%2Fwww.webofscience.com%2Fwos%2Fwoscc%2Ffull-record%2FWOS:000341378000013","View Full Record in Web of Science")</f>
        <v>View Full Record in Web of Science</v>
      </c>
    </row>
    <row r="275" spans="1:72" x14ac:dyDescent="0.15">
      <c r="A275" t="s">
        <v>72</v>
      </c>
      <c r="B275" t="s">
        <v>5491</v>
      </c>
      <c r="C275" t="s">
        <v>74</v>
      </c>
      <c r="D275" t="s">
        <v>74</v>
      </c>
      <c r="E275" t="s">
        <v>74</v>
      </c>
      <c r="F275" t="s">
        <v>5492</v>
      </c>
      <c r="G275" t="s">
        <v>74</v>
      </c>
      <c r="H275" t="s">
        <v>74</v>
      </c>
      <c r="I275" t="s">
        <v>5493</v>
      </c>
      <c r="J275" t="s">
        <v>765</v>
      </c>
      <c r="K275" t="s">
        <v>74</v>
      </c>
      <c r="L275" t="s">
        <v>74</v>
      </c>
      <c r="M275" t="s">
        <v>78</v>
      </c>
      <c r="N275" t="s">
        <v>79</v>
      </c>
      <c r="O275" t="s">
        <v>74</v>
      </c>
      <c r="P275" t="s">
        <v>74</v>
      </c>
      <c r="Q275" t="s">
        <v>74</v>
      </c>
      <c r="R275" t="s">
        <v>74</v>
      </c>
      <c r="S275" t="s">
        <v>74</v>
      </c>
      <c r="T275" t="s">
        <v>5494</v>
      </c>
      <c r="U275" t="s">
        <v>5495</v>
      </c>
      <c r="V275" t="s">
        <v>5496</v>
      </c>
      <c r="W275" t="s">
        <v>5497</v>
      </c>
      <c r="X275" t="s">
        <v>5498</v>
      </c>
      <c r="Y275" t="s">
        <v>5499</v>
      </c>
      <c r="Z275" t="s">
        <v>5500</v>
      </c>
      <c r="AA275" t="s">
        <v>5501</v>
      </c>
      <c r="AB275" t="s">
        <v>5502</v>
      </c>
      <c r="AC275" t="s">
        <v>5503</v>
      </c>
      <c r="AD275" t="s">
        <v>5504</v>
      </c>
      <c r="AE275" t="s">
        <v>5505</v>
      </c>
      <c r="AF275" t="s">
        <v>74</v>
      </c>
      <c r="AG275">
        <v>21</v>
      </c>
      <c r="AH275">
        <v>13</v>
      </c>
      <c r="AI275">
        <v>14</v>
      </c>
      <c r="AJ275">
        <v>0</v>
      </c>
      <c r="AK275">
        <v>27</v>
      </c>
      <c r="AL275" t="s">
        <v>224</v>
      </c>
      <c r="AM275" t="s">
        <v>576</v>
      </c>
      <c r="AN275" t="s">
        <v>577</v>
      </c>
      <c r="AO275" t="s">
        <v>779</v>
      </c>
      <c r="AP275" t="s">
        <v>780</v>
      </c>
      <c r="AQ275" t="s">
        <v>74</v>
      </c>
      <c r="AR275" t="s">
        <v>781</v>
      </c>
      <c r="AS275" t="s">
        <v>782</v>
      </c>
      <c r="AT275" t="s">
        <v>4934</v>
      </c>
      <c r="AU275">
        <v>2014</v>
      </c>
      <c r="AV275">
        <v>37</v>
      </c>
      <c r="AW275">
        <v>8</v>
      </c>
      <c r="AX275" t="s">
        <v>74</v>
      </c>
      <c r="AY275" t="s">
        <v>74</v>
      </c>
      <c r="AZ275" t="s">
        <v>74</v>
      </c>
      <c r="BA275" t="s">
        <v>74</v>
      </c>
      <c r="BB275">
        <v>1213</v>
      </c>
      <c r="BC275">
        <v>1217</v>
      </c>
      <c r="BD275" t="s">
        <v>74</v>
      </c>
      <c r="BE275" t="s">
        <v>5506</v>
      </c>
      <c r="BF275" t="str">
        <f>HYPERLINK("http://dx.doi.org/10.1007/s00300-014-1511-0","http://dx.doi.org/10.1007/s00300-014-1511-0")</f>
        <v>http://dx.doi.org/10.1007/s00300-014-1511-0</v>
      </c>
      <c r="BG275" t="s">
        <v>74</v>
      </c>
      <c r="BH275" t="s">
        <v>74</v>
      </c>
      <c r="BI275">
        <v>5</v>
      </c>
      <c r="BJ275" t="s">
        <v>784</v>
      </c>
      <c r="BK275" t="s">
        <v>102</v>
      </c>
      <c r="BL275" t="s">
        <v>785</v>
      </c>
      <c r="BM275" t="s">
        <v>5426</v>
      </c>
      <c r="BN275" t="s">
        <v>74</v>
      </c>
      <c r="BO275" t="s">
        <v>74</v>
      </c>
      <c r="BP275" t="s">
        <v>74</v>
      </c>
      <c r="BQ275" t="s">
        <v>74</v>
      </c>
      <c r="BR275" t="s">
        <v>105</v>
      </c>
      <c r="BS275" t="s">
        <v>5507</v>
      </c>
      <c r="BT275" t="str">
        <f>HYPERLINK("https%3A%2F%2Fwww.webofscience.com%2Fwos%2Fwoscc%2Ffull-record%2FWOS:000341378000014","View Full Record in Web of Science")</f>
        <v>View Full Record in Web of Science</v>
      </c>
    </row>
    <row r="276" spans="1:72" x14ac:dyDescent="0.15">
      <c r="A276" t="s">
        <v>72</v>
      </c>
      <c r="B276" t="s">
        <v>5508</v>
      </c>
      <c r="C276" t="s">
        <v>74</v>
      </c>
      <c r="D276" t="s">
        <v>74</v>
      </c>
      <c r="E276" t="s">
        <v>74</v>
      </c>
      <c r="F276" t="s">
        <v>5509</v>
      </c>
      <c r="G276" t="s">
        <v>74</v>
      </c>
      <c r="H276" t="s">
        <v>74</v>
      </c>
      <c r="I276" t="s">
        <v>5510</v>
      </c>
      <c r="J276" t="s">
        <v>5511</v>
      </c>
      <c r="K276" t="s">
        <v>74</v>
      </c>
      <c r="L276" t="s">
        <v>74</v>
      </c>
      <c r="M276" t="s">
        <v>78</v>
      </c>
      <c r="N276" t="s">
        <v>185</v>
      </c>
      <c r="O276" t="s">
        <v>74</v>
      </c>
      <c r="P276" t="s">
        <v>74</v>
      </c>
      <c r="Q276" t="s">
        <v>74</v>
      </c>
      <c r="R276" t="s">
        <v>74</v>
      </c>
      <c r="S276" t="s">
        <v>74</v>
      </c>
      <c r="T276" t="s">
        <v>5512</v>
      </c>
      <c r="U276" t="s">
        <v>5513</v>
      </c>
      <c r="V276" t="s">
        <v>5514</v>
      </c>
      <c r="W276" t="s">
        <v>5515</v>
      </c>
      <c r="X276" t="s">
        <v>5516</v>
      </c>
      <c r="Y276" t="s">
        <v>5517</v>
      </c>
      <c r="Z276" t="s">
        <v>5518</v>
      </c>
      <c r="AA276" t="s">
        <v>5519</v>
      </c>
      <c r="AB276" t="s">
        <v>5520</v>
      </c>
      <c r="AC276" t="s">
        <v>5521</v>
      </c>
      <c r="AD276" t="s">
        <v>5522</v>
      </c>
      <c r="AE276" t="s">
        <v>5523</v>
      </c>
      <c r="AF276" t="s">
        <v>74</v>
      </c>
      <c r="AG276">
        <v>56</v>
      </c>
      <c r="AH276">
        <v>16</v>
      </c>
      <c r="AI276">
        <v>16</v>
      </c>
      <c r="AJ276">
        <v>0</v>
      </c>
      <c r="AK276">
        <v>15</v>
      </c>
      <c r="AL276" t="s">
        <v>5524</v>
      </c>
      <c r="AM276" t="s">
        <v>197</v>
      </c>
      <c r="AN276" t="s">
        <v>5525</v>
      </c>
      <c r="AO276" t="s">
        <v>5526</v>
      </c>
      <c r="AP276" t="s">
        <v>74</v>
      </c>
      <c r="AQ276" t="s">
        <v>74</v>
      </c>
      <c r="AR276" t="s">
        <v>5527</v>
      </c>
      <c r="AS276" t="s">
        <v>5528</v>
      </c>
      <c r="AT276" t="s">
        <v>4934</v>
      </c>
      <c r="AU276">
        <v>2014</v>
      </c>
      <c r="AV276">
        <v>6</v>
      </c>
      <c r="AW276">
        <v>8</v>
      </c>
      <c r="AX276" t="s">
        <v>74</v>
      </c>
      <c r="AY276" t="s">
        <v>74</v>
      </c>
      <c r="AZ276" t="s">
        <v>74</v>
      </c>
      <c r="BA276" t="s">
        <v>74</v>
      </c>
      <c r="BB276">
        <v>7233</v>
      </c>
      <c r="BC276">
        <v>7259</v>
      </c>
      <c r="BD276" t="s">
        <v>74</v>
      </c>
      <c r="BE276" t="s">
        <v>5529</v>
      </c>
      <c r="BF276" t="str">
        <f>HYPERLINK("http://dx.doi.org/10.3390/rs6087233","http://dx.doi.org/10.3390/rs6087233")</f>
        <v>http://dx.doi.org/10.3390/rs6087233</v>
      </c>
      <c r="BG276" t="s">
        <v>74</v>
      </c>
      <c r="BH276" t="s">
        <v>74</v>
      </c>
      <c r="BI276">
        <v>27</v>
      </c>
      <c r="BJ276" t="s">
        <v>5530</v>
      </c>
      <c r="BK276" t="s">
        <v>102</v>
      </c>
      <c r="BL276" t="s">
        <v>5531</v>
      </c>
      <c r="BM276" t="s">
        <v>5532</v>
      </c>
      <c r="BN276" t="s">
        <v>74</v>
      </c>
      <c r="BO276" t="s">
        <v>1231</v>
      </c>
      <c r="BP276" t="s">
        <v>74</v>
      </c>
      <c r="BQ276" t="s">
        <v>74</v>
      </c>
      <c r="BR276" t="s">
        <v>105</v>
      </c>
      <c r="BS276" t="s">
        <v>5533</v>
      </c>
      <c r="BT276" t="str">
        <f>HYPERLINK("https%3A%2F%2Fwww.webofscience.com%2Fwos%2Fwoscc%2Ffull-record%2FWOS:000341518700020","View Full Record in Web of Science")</f>
        <v>View Full Record in Web of Science</v>
      </c>
    </row>
    <row r="277" spans="1:72" x14ac:dyDescent="0.15">
      <c r="A277" t="s">
        <v>72</v>
      </c>
      <c r="B277" t="s">
        <v>5534</v>
      </c>
      <c r="C277" t="s">
        <v>74</v>
      </c>
      <c r="D277" t="s">
        <v>74</v>
      </c>
      <c r="E277" t="s">
        <v>74</v>
      </c>
      <c r="F277" t="s">
        <v>5535</v>
      </c>
      <c r="G277" t="s">
        <v>74</v>
      </c>
      <c r="H277" t="s">
        <v>74</v>
      </c>
      <c r="I277" t="s">
        <v>5536</v>
      </c>
      <c r="J277" t="s">
        <v>5537</v>
      </c>
      <c r="K277" t="s">
        <v>74</v>
      </c>
      <c r="L277" t="s">
        <v>74</v>
      </c>
      <c r="M277" t="s">
        <v>78</v>
      </c>
      <c r="N277" t="s">
        <v>79</v>
      </c>
      <c r="O277" t="s">
        <v>74</v>
      </c>
      <c r="P277" t="s">
        <v>74</v>
      </c>
      <c r="Q277" t="s">
        <v>74</v>
      </c>
      <c r="R277" t="s">
        <v>74</v>
      </c>
      <c r="S277" t="s">
        <v>74</v>
      </c>
      <c r="T277" t="s">
        <v>5538</v>
      </c>
      <c r="U277" t="s">
        <v>74</v>
      </c>
      <c r="V277" t="s">
        <v>5539</v>
      </c>
      <c r="W277" t="s">
        <v>5540</v>
      </c>
      <c r="X277" t="s">
        <v>5541</v>
      </c>
      <c r="Y277" t="s">
        <v>5542</v>
      </c>
      <c r="Z277" t="s">
        <v>5543</v>
      </c>
      <c r="AA277" t="s">
        <v>5544</v>
      </c>
      <c r="AB277" t="s">
        <v>74</v>
      </c>
      <c r="AC277" t="s">
        <v>74</v>
      </c>
      <c r="AD277" t="s">
        <v>74</v>
      </c>
      <c r="AE277" t="s">
        <v>74</v>
      </c>
      <c r="AF277" t="s">
        <v>74</v>
      </c>
      <c r="AG277">
        <v>8</v>
      </c>
      <c r="AH277">
        <v>2</v>
      </c>
      <c r="AI277">
        <v>2</v>
      </c>
      <c r="AJ277">
        <v>0</v>
      </c>
      <c r="AK277">
        <v>2</v>
      </c>
      <c r="AL277" t="s">
        <v>5545</v>
      </c>
      <c r="AM277" t="s">
        <v>5546</v>
      </c>
      <c r="AN277" t="s">
        <v>5547</v>
      </c>
      <c r="AO277" t="s">
        <v>5548</v>
      </c>
      <c r="AP277" t="s">
        <v>5549</v>
      </c>
      <c r="AQ277" t="s">
        <v>74</v>
      </c>
      <c r="AR277" t="s">
        <v>5550</v>
      </c>
      <c r="AS277" t="s">
        <v>5551</v>
      </c>
      <c r="AT277" t="s">
        <v>4934</v>
      </c>
      <c r="AU277">
        <v>2014</v>
      </c>
      <c r="AV277">
        <v>72</v>
      </c>
      <c r="AW277">
        <v>8</v>
      </c>
      <c r="AX277" t="s">
        <v>74</v>
      </c>
      <c r="AY277" t="s">
        <v>74</v>
      </c>
      <c r="AZ277" t="s">
        <v>74</v>
      </c>
      <c r="BA277" t="s">
        <v>74</v>
      </c>
      <c r="BB277">
        <v>640</v>
      </c>
      <c r="BC277">
        <v>642</v>
      </c>
      <c r="BD277" t="s">
        <v>74</v>
      </c>
      <c r="BE277" t="s">
        <v>5552</v>
      </c>
      <c r="BF277" t="str">
        <f>HYPERLINK("http://dx.doi.org/10.1590/0004-282X20140086","http://dx.doi.org/10.1590/0004-282X20140086")</f>
        <v>http://dx.doi.org/10.1590/0004-282X20140086</v>
      </c>
      <c r="BG277" t="s">
        <v>74</v>
      </c>
      <c r="BH277" t="s">
        <v>74</v>
      </c>
      <c r="BI277">
        <v>3</v>
      </c>
      <c r="BJ277" t="s">
        <v>5553</v>
      </c>
      <c r="BK277" t="s">
        <v>102</v>
      </c>
      <c r="BL277" t="s">
        <v>5554</v>
      </c>
      <c r="BM277" t="s">
        <v>5555</v>
      </c>
      <c r="BN277">
        <v>25098482</v>
      </c>
      <c r="BO277" t="s">
        <v>1898</v>
      </c>
      <c r="BP277" t="s">
        <v>74</v>
      </c>
      <c r="BQ277" t="s">
        <v>74</v>
      </c>
      <c r="BR277" t="s">
        <v>105</v>
      </c>
      <c r="BS277" t="s">
        <v>5556</v>
      </c>
      <c r="BT277" t="str">
        <f>HYPERLINK("https%3A%2F%2Fwww.webofscience.com%2Fwos%2Fwoscc%2Ffull-record%2FWOS:000341279400015","View Full Record in Web of Science")</f>
        <v>View Full Record in Web of Science</v>
      </c>
    </row>
    <row r="278" spans="1:72" x14ac:dyDescent="0.15">
      <c r="A278" t="s">
        <v>72</v>
      </c>
      <c r="B278" t="s">
        <v>5557</v>
      </c>
      <c r="C278" t="s">
        <v>74</v>
      </c>
      <c r="D278" t="s">
        <v>74</v>
      </c>
      <c r="E278" t="s">
        <v>74</v>
      </c>
      <c r="F278" t="s">
        <v>5558</v>
      </c>
      <c r="G278" t="s">
        <v>74</v>
      </c>
      <c r="H278" t="s">
        <v>74</v>
      </c>
      <c r="I278" t="s">
        <v>5559</v>
      </c>
      <c r="J278" t="s">
        <v>5560</v>
      </c>
      <c r="K278" t="s">
        <v>74</v>
      </c>
      <c r="L278" t="s">
        <v>74</v>
      </c>
      <c r="M278" t="s">
        <v>5561</v>
      </c>
      <c r="N278" t="s">
        <v>79</v>
      </c>
      <c r="O278" t="s">
        <v>74</v>
      </c>
      <c r="P278" t="s">
        <v>74</v>
      </c>
      <c r="Q278" t="s">
        <v>74</v>
      </c>
      <c r="R278" t="s">
        <v>74</v>
      </c>
      <c r="S278" t="s">
        <v>74</v>
      </c>
      <c r="T278" t="s">
        <v>5562</v>
      </c>
      <c r="U278" t="s">
        <v>5563</v>
      </c>
      <c r="V278" t="s">
        <v>5564</v>
      </c>
      <c r="W278" t="s">
        <v>5565</v>
      </c>
      <c r="X278" t="s">
        <v>5566</v>
      </c>
      <c r="Y278" t="s">
        <v>5567</v>
      </c>
      <c r="Z278" t="s">
        <v>5568</v>
      </c>
      <c r="AA278" t="s">
        <v>5569</v>
      </c>
      <c r="AB278" t="s">
        <v>5570</v>
      </c>
      <c r="AC278" t="s">
        <v>5571</v>
      </c>
      <c r="AD278" t="s">
        <v>5572</v>
      </c>
      <c r="AE278" t="s">
        <v>5573</v>
      </c>
      <c r="AF278" t="s">
        <v>74</v>
      </c>
      <c r="AG278">
        <v>24</v>
      </c>
      <c r="AH278">
        <v>8</v>
      </c>
      <c r="AI278">
        <v>10</v>
      </c>
      <c r="AJ278">
        <v>0</v>
      </c>
      <c r="AK278">
        <v>11</v>
      </c>
      <c r="AL278" t="s">
        <v>5574</v>
      </c>
      <c r="AM278" t="s">
        <v>5575</v>
      </c>
      <c r="AN278" t="s">
        <v>5576</v>
      </c>
      <c r="AO278" t="s">
        <v>5577</v>
      </c>
      <c r="AP278" t="s">
        <v>74</v>
      </c>
      <c r="AQ278" t="s">
        <v>74</v>
      </c>
      <c r="AR278" t="s">
        <v>5578</v>
      </c>
      <c r="AS278" t="s">
        <v>5579</v>
      </c>
      <c r="AT278" t="s">
        <v>4934</v>
      </c>
      <c r="AU278">
        <v>2014</v>
      </c>
      <c r="AV278">
        <v>57</v>
      </c>
      <c r="AW278">
        <v>8</v>
      </c>
      <c r="AX278" t="s">
        <v>74</v>
      </c>
      <c r="AY278" t="s">
        <v>74</v>
      </c>
      <c r="AZ278" t="s">
        <v>74</v>
      </c>
      <c r="BA278" t="s">
        <v>74</v>
      </c>
      <c r="BB278">
        <v>2404</v>
      </c>
      <c r="BC278">
        <v>2414</v>
      </c>
      <c r="BD278" t="s">
        <v>74</v>
      </c>
      <c r="BE278" t="s">
        <v>5580</v>
      </c>
      <c r="BF278" t="str">
        <f>HYPERLINK("http://dx.doi.org/10.6038/cjg20140802","http://dx.doi.org/10.6038/cjg20140802")</f>
        <v>http://dx.doi.org/10.6038/cjg20140802</v>
      </c>
      <c r="BG278" t="s">
        <v>74</v>
      </c>
      <c r="BH278" t="s">
        <v>74</v>
      </c>
      <c r="BI278">
        <v>11</v>
      </c>
      <c r="BJ278" t="s">
        <v>425</v>
      </c>
      <c r="BK278" t="s">
        <v>102</v>
      </c>
      <c r="BL278" t="s">
        <v>425</v>
      </c>
      <c r="BM278" t="s">
        <v>5581</v>
      </c>
      <c r="BN278" t="s">
        <v>74</v>
      </c>
      <c r="BO278" t="s">
        <v>74</v>
      </c>
      <c r="BP278" t="s">
        <v>74</v>
      </c>
      <c r="BQ278" t="s">
        <v>74</v>
      </c>
      <c r="BR278" t="s">
        <v>105</v>
      </c>
      <c r="BS278" t="s">
        <v>5582</v>
      </c>
      <c r="BT278" t="str">
        <f>HYPERLINK("https%3A%2F%2Fwww.webofscience.com%2Fwos%2Fwoscc%2Ffull-record%2FWOS:000341070200002","View Full Record in Web of Science")</f>
        <v>View Full Record in Web of Science</v>
      </c>
    </row>
    <row r="279" spans="1:72" x14ac:dyDescent="0.15">
      <c r="A279" t="s">
        <v>72</v>
      </c>
      <c r="B279" t="s">
        <v>5583</v>
      </c>
      <c r="C279" t="s">
        <v>74</v>
      </c>
      <c r="D279" t="s">
        <v>74</v>
      </c>
      <c r="E279" t="s">
        <v>74</v>
      </c>
      <c r="F279" t="s">
        <v>5584</v>
      </c>
      <c r="G279" t="s">
        <v>74</v>
      </c>
      <c r="H279" t="s">
        <v>74</v>
      </c>
      <c r="I279" t="s">
        <v>5585</v>
      </c>
      <c r="J279" t="s">
        <v>5586</v>
      </c>
      <c r="K279" t="s">
        <v>74</v>
      </c>
      <c r="L279" t="s">
        <v>74</v>
      </c>
      <c r="M279" t="s">
        <v>78</v>
      </c>
      <c r="N279" t="s">
        <v>79</v>
      </c>
      <c r="O279" t="s">
        <v>74</v>
      </c>
      <c r="P279" t="s">
        <v>74</v>
      </c>
      <c r="Q279" t="s">
        <v>74</v>
      </c>
      <c r="R279" t="s">
        <v>74</v>
      </c>
      <c r="S279" t="s">
        <v>74</v>
      </c>
      <c r="T279" t="s">
        <v>5587</v>
      </c>
      <c r="U279" t="s">
        <v>5588</v>
      </c>
      <c r="V279" t="s">
        <v>5589</v>
      </c>
      <c r="W279" t="s">
        <v>5590</v>
      </c>
      <c r="X279" t="s">
        <v>5591</v>
      </c>
      <c r="Y279" t="s">
        <v>5592</v>
      </c>
      <c r="Z279" t="s">
        <v>5593</v>
      </c>
      <c r="AA279" t="s">
        <v>5594</v>
      </c>
      <c r="AB279" t="s">
        <v>5595</v>
      </c>
      <c r="AC279" t="s">
        <v>5596</v>
      </c>
      <c r="AD279" t="s">
        <v>5597</v>
      </c>
      <c r="AE279" t="s">
        <v>5598</v>
      </c>
      <c r="AF279" t="s">
        <v>74</v>
      </c>
      <c r="AG279">
        <v>10</v>
      </c>
      <c r="AH279">
        <v>6</v>
      </c>
      <c r="AI279">
        <v>7</v>
      </c>
      <c r="AJ279">
        <v>0</v>
      </c>
      <c r="AK279">
        <v>24</v>
      </c>
      <c r="AL279" t="s">
        <v>627</v>
      </c>
      <c r="AM279" t="s">
        <v>628</v>
      </c>
      <c r="AN279" t="s">
        <v>629</v>
      </c>
      <c r="AO279" t="s">
        <v>5599</v>
      </c>
      <c r="AP279" t="s">
        <v>5600</v>
      </c>
      <c r="AQ279" t="s">
        <v>74</v>
      </c>
      <c r="AR279" t="s">
        <v>5586</v>
      </c>
      <c r="AS279" t="s">
        <v>5601</v>
      </c>
      <c r="AT279" t="s">
        <v>4934</v>
      </c>
      <c r="AU279">
        <v>2014</v>
      </c>
      <c r="AV279">
        <v>69</v>
      </c>
      <c r="AW279">
        <v>1</v>
      </c>
      <c r="AX279" t="s">
        <v>74</v>
      </c>
      <c r="AY279" t="s">
        <v>74</v>
      </c>
      <c r="AZ279" t="s">
        <v>74</v>
      </c>
      <c r="BA279" t="s">
        <v>74</v>
      </c>
      <c r="BB279">
        <v>181</v>
      </c>
      <c r="BC279">
        <v>183</v>
      </c>
      <c r="BD279" t="s">
        <v>74</v>
      </c>
      <c r="BE279" t="s">
        <v>5602</v>
      </c>
      <c r="BF279" t="str">
        <f>HYPERLINK("http://dx.doi.org/10.1016/j.cryobiol.2014.07.001","http://dx.doi.org/10.1016/j.cryobiol.2014.07.001")</f>
        <v>http://dx.doi.org/10.1016/j.cryobiol.2014.07.001</v>
      </c>
      <c r="BG279" t="s">
        <v>74</v>
      </c>
      <c r="BH279" t="s">
        <v>74</v>
      </c>
      <c r="BI279">
        <v>3</v>
      </c>
      <c r="BJ279" t="s">
        <v>5603</v>
      </c>
      <c r="BK279" t="s">
        <v>102</v>
      </c>
      <c r="BL279" t="s">
        <v>5604</v>
      </c>
      <c r="BM279" t="s">
        <v>5605</v>
      </c>
      <c r="BN279">
        <v>25025820</v>
      </c>
      <c r="BO279" t="s">
        <v>74</v>
      </c>
      <c r="BP279" t="s">
        <v>74</v>
      </c>
      <c r="BQ279" t="s">
        <v>74</v>
      </c>
      <c r="BR279" t="s">
        <v>105</v>
      </c>
      <c r="BS279" t="s">
        <v>5606</v>
      </c>
      <c r="BT279" t="str">
        <f>HYPERLINK("https%3A%2F%2Fwww.webofscience.com%2Fwos%2Fwoscc%2Ffull-record%2FWOS:000340691700029","View Full Record in Web of Science")</f>
        <v>View Full Record in Web of Science</v>
      </c>
    </row>
    <row r="280" spans="1:72" x14ac:dyDescent="0.15">
      <c r="A280" t="s">
        <v>72</v>
      </c>
      <c r="B280" t="s">
        <v>5607</v>
      </c>
      <c r="C280" t="s">
        <v>74</v>
      </c>
      <c r="D280" t="s">
        <v>74</v>
      </c>
      <c r="E280" t="s">
        <v>74</v>
      </c>
      <c r="F280" t="s">
        <v>5608</v>
      </c>
      <c r="G280" t="s">
        <v>74</v>
      </c>
      <c r="H280" t="s">
        <v>74</v>
      </c>
      <c r="I280" t="s">
        <v>5609</v>
      </c>
      <c r="J280" t="s">
        <v>5610</v>
      </c>
      <c r="K280" t="s">
        <v>74</v>
      </c>
      <c r="L280" t="s">
        <v>74</v>
      </c>
      <c r="M280" t="s">
        <v>78</v>
      </c>
      <c r="N280" t="s">
        <v>79</v>
      </c>
      <c r="O280" t="s">
        <v>74</v>
      </c>
      <c r="P280" t="s">
        <v>74</v>
      </c>
      <c r="Q280" t="s">
        <v>74</v>
      </c>
      <c r="R280" t="s">
        <v>74</v>
      </c>
      <c r="S280" t="s">
        <v>74</v>
      </c>
      <c r="T280" t="s">
        <v>5611</v>
      </c>
      <c r="U280" t="s">
        <v>5612</v>
      </c>
      <c r="V280" t="s">
        <v>5613</v>
      </c>
      <c r="W280" t="s">
        <v>5614</v>
      </c>
      <c r="X280" t="s">
        <v>5615</v>
      </c>
      <c r="Y280" t="s">
        <v>5616</v>
      </c>
      <c r="Z280" t="s">
        <v>5617</v>
      </c>
      <c r="AA280" t="s">
        <v>5618</v>
      </c>
      <c r="AB280" t="s">
        <v>5619</v>
      </c>
      <c r="AC280" t="s">
        <v>5620</v>
      </c>
      <c r="AD280" t="s">
        <v>3150</v>
      </c>
      <c r="AE280" t="s">
        <v>5621</v>
      </c>
      <c r="AF280" t="s">
        <v>74</v>
      </c>
      <c r="AG280">
        <v>60</v>
      </c>
      <c r="AH280">
        <v>23</v>
      </c>
      <c r="AI280">
        <v>25</v>
      </c>
      <c r="AJ280">
        <v>2</v>
      </c>
      <c r="AK280">
        <v>64</v>
      </c>
      <c r="AL280" t="s">
        <v>92</v>
      </c>
      <c r="AM280" t="s">
        <v>93</v>
      </c>
      <c r="AN280" t="s">
        <v>94</v>
      </c>
      <c r="AO280" t="s">
        <v>5622</v>
      </c>
      <c r="AP280" t="s">
        <v>5623</v>
      </c>
      <c r="AQ280" t="s">
        <v>74</v>
      </c>
      <c r="AR280" t="s">
        <v>5624</v>
      </c>
      <c r="AS280" t="s">
        <v>5625</v>
      </c>
      <c r="AT280" t="s">
        <v>4934</v>
      </c>
      <c r="AU280">
        <v>2014</v>
      </c>
      <c r="AV280">
        <v>28</v>
      </c>
      <c r="AW280">
        <v>4</v>
      </c>
      <c r="AX280" t="s">
        <v>74</v>
      </c>
      <c r="AY280" t="s">
        <v>74</v>
      </c>
      <c r="AZ280" t="s">
        <v>74</v>
      </c>
      <c r="BA280" t="s">
        <v>74</v>
      </c>
      <c r="BB280">
        <v>933</v>
      </c>
      <c r="BC280">
        <v>943</v>
      </c>
      <c r="BD280" t="s">
        <v>74</v>
      </c>
      <c r="BE280" t="s">
        <v>5626</v>
      </c>
      <c r="BF280" t="str">
        <f>HYPERLINK("http://dx.doi.org/10.1111/1365-2435.12229","http://dx.doi.org/10.1111/1365-2435.12229")</f>
        <v>http://dx.doi.org/10.1111/1365-2435.12229</v>
      </c>
      <c r="BG280" t="s">
        <v>74</v>
      </c>
      <c r="BH280" t="s">
        <v>74</v>
      </c>
      <c r="BI280">
        <v>11</v>
      </c>
      <c r="BJ280" t="s">
        <v>5627</v>
      </c>
      <c r="BK280" t="s">
        <v>102</v>
      </c>
      <c r="BL280" t="s">
        <v>2553</v>
      </c>
      <c r="BM280" t="s">
        <v>5628</v>
      </c>
      <c r="BN280" t="s">
        <v>74</v>
      </c>
      <c r="BO280" t="s">
        <v>179</v>
      </c>
      <c r="BP280" t="s">
        <v>74</v>
      </c>
      <c r="BQ280" t="s">
        <v>74</v>
      </c>
      <c r="BR280" t="s">
        <v>105</v>
      </c>
      <c r="BS280" t="s">
        <v>5629</v>
      </c>
      <c r="BT280" t="str">
        <f>HYPERLINK("https%3A%2F%2Fwww.webofscience.com%2Fwos%2Fwoscc%2Ffull-record%2FWOS:000340673900016","View Full Record in Web of Science")</f>
        <v>View Full Record in Web of Science</v>
      </c>
    </row>
    <row r="281" spans="1:72" x14ac:dyDescent="0.15">
      <c r="A281" t="s">
        <v>72</v>
      </c>
      <c r="B281" t="s">
        <v>5630</v>
      </c>
      <c r="C281" t="s">
        <v>74</v>
      </c>
      <c r="D281" t="s">
        <v>74</v>
      </c>
      <c r="E281" t="s">
        <v>74</v>
      </c>
      <c r="F281" t="s">
        <v>5631</v>
      </c>
      <c r="G281" t="s">
        <v>74</v>
      </c>
      <c r="H281" t="s">
        <v>74</v>
      </c>
      <c r="I281" t="s">
        <v>5632</v>
      </c>
      <c r="J281" t="s">
        <v>5633</v>
      </c>
      <c r="K281" t="s">
        <v>74</v>
      </c>
      <c r="L281" t="s">
        <v>74</v>
      </c>
      <c r="M281" t="s">
        <v>78</v>
      </c>
      <c r="N281" t="s">
        <v>79</v>
      </c>
      <c r="O281" t="s">
        <v>74</v>
      </c>
      <c r="P281" t="s">
        <v>74</v>
      </c>
      <c r="Q281" t="s">
        <v>74</v>
      </c>
      <c r="R281" t="s">
        <v>74</v>
      </c>
      <c r="S281" t="s">
        <v>74</v>
      </c>
      <c r="T281" t="s">
        <v>5634</v>
      </c>
      <c r="U281" t="s">
        <v>5635</v>
      </c>
      <c r="V281" t="s">
        <v>5636</v>
      </c>
      <c r="W281" t="s">
        <v>5637</v>
      </c>
      <c r="X281" t="s">
        <v>5638</v>
      </c>
      <c r="Y281" t="s">
        <v>5639</v>
      </c>
      <c r="Z281" t="s">
        <v>5640</v>
      </c>
      <c r="AA281" t="s">
        <v>5641</v>
      </c>
      <c r="AB281" t="s">
        <v>5642</v>
      </c>
      <c r="AC281" t="s">
        <v>74</v>
      </c>
      <c r="AD281" t="s">
        <v>74</v>
      </c>
      <c r="AE281" t="s">
        <v>74</v>
      </c>
      <c r="AF281" t="s">
        <v>74</v>
      </c>
      <c r="AG281">
        <v>38</v>
      </c>
      <c r="AH281">
        <v>41</v>
      </c>
      <c r="AI281">
        <v>43</v>
      </c>
      <c r="AJ281">
        <v>1</v>
      </c>
      <c r="AK281">
        <v>43</v>
      </c>
      <c r="AL281" t="s">
        <v>2258</v>
      </c>
      <c r="AM281" t="s">
        <v>2259</v>
      </c>
      <c r="AN281" t="s">
        <v>2260</v>
      </c>
      <c r="AO281" t="s">
        <v>5643</v>
      </c>
      <c r="AP281" t="s">
        <v>5644</v>
      </c>
      <c r="AQ281" t="s">
        <v>74</v>
      </c>
      <c r="AR281" t="s">
        <v>5645</v>
      </c>
      <c r="AS281" t="s">
        <v>5646</v>
      </c>
      <c r="AT281" t="s">
        <v>4934</v>
      </c>
      <c r="AU281">
        <v>2014</v>
      </c>
      <c r="AV281">
        <v>56</v>
      </c>
      <c r="AW281">
        <v>5</v>
      </c>
      <c r="AX281" t="s">
        <v>74</v>
      </c>
      <c r="AY281" t="s">
        <v>74</v>
      </c>
      <c r="AZ281" t="s">
        <v>74</v>
      </c>
      <c r="BA281" t="s">
        <v>74</v>
      </c>
      <c r="BB281">
        <v>825</v>
      </c>
      <c r="BC281">
        <v>839</v>
      </c>
      <c r="BD281" t="s">
        <v>74</v>
      </c>
      <c r="BE281" t="s">
        <v>5647</v>
      </c>
      <c r="BF281" t="str">
        <f>HYPERLINK("http://dx.doi.org/10.1177/0018720813512328","http://dx.doi.org/10.1177/0018720813512328")</f>
        <v>http://dx.doi.org/10.1177/0018720813512328</v>
      </c>
      <c r="BG281" t="s">
        <v>74</v>
      </c>
      <c r="BH281" t="s">
        <v>74</v>
      </c>
      <c r="BI281">
        <v>15</v>
      </c>
      <c r="BJ281" t="s">
        <v>5648</v>
      </c>
      <c r="BK281" t="s">
        <v>1690</v>
      </c>
      <c r="BL281" t="s">
        <v>5649</v>
      </c>
      <c r="BM281" t="s">
        <v>5650</v>
      </c>
      <c r="BN281">
        <v>25141591</v>
      </c>
      <c r="BO281" t="s">
        <v>74</v>
      </c>
      <c r="BP281" t="s">
        <v>74</v>
      </c>
      <c r="BQ281" t="s">
        <v>74</v>
      </c>
      <c r="BR281" t="s">
        <v>105</v>
      </c>
      <c r="BS281" t="s">
        <v>5651</v>
      </c>
      <c r="BT281" t="str">
        <f>HYPERLINK("https%3A%2F%2Fwww.webofscience.com%2Fwos%2Fwoscc%2Ffull-record%2FWOS:000340724100003","View Full Record in Web of Science")</f>
        <v>View Full Record in Web of Science</v>
      </c>
    </row>
    <row r="282" spans="1:72" x14ac:dyDescent="0.15">
      <c r="A282" t="s">
        <v>72</v>
      </c>
      <c r="B282" t="s">
        <v>5652</v>
      </c>
      <c r="C282" t="s">
        <v>74</v>
      </c>
      <c r="D282" t="s">
        <v>74</v>
      </c>
      <c r="E282" t="s">
        <v>74</v>
      </c>
      <c r="F282" t="s">
        <v>5653</v>
      </c>
      <c r="G282" t="s">
        <v>74</v>
      </c>
      <c r="H282" t="s">
        <v>74</v>
      </c>
      <c r="I282" t="s">
        <v>5654</v>
      </c>
      <c r="J282" t="s">
        <v>3677</v>
      </c>
      <c r="K282" t="s">
        <v>74</v>
      </c>
      <c r="L282" t="s">
        <v>74</v>
      </c>
      <c r="M282" t="s">
        <v>78</v>
      </c>
      <c r="N282" t="s">
        <v>79</v>
      </c>
      <c r="O282" t="s">
        <v>74</v>
      </c>
      <c r="P282" t="s">
        <v>74</v>
      </c>
      <c r="Q282" t="s">
        <v>74</v>
      </c>
      <c r="R282" t="s">
        <v>74</v>
      </c>
      <c r="S282" t="s">
        <v>74</v>
      </c>
      <c r="T282" t="s">
        <v>5655</v>
      </c>
      <c r="U282" t="s">
        <v>5656</v>
      </c>
      <c r="V282" t="s">
        <v>5657</v>
      </c>
      <c r="W282" t="s">
        <v>5658</v>
      </c>
      <c r="X282" t="s">
        <v>5659</v>
      </c>
      <c r="Y282" t="s">
        <v>5660</v>
      </c>
      <c r="Z282" t="s">
        <v>5661</v>
      </c>
      <c r="AA282" t="s">
        <v>5662</v>
      </c>
      <c r="AB282" t="s">
        <v>5663</v>
      </c>
      <c r="AC282" t="s">
        <v>5664</v>
      </c>
      <c r="AD282" t="s">
        <v>5665</v>
      </c>
      <c r="AE282" t="s">
        <v>5666</v>
      </c>
      <c r="AF282" t="s">
        <v>74</v>
      </c>
      <c r="AG282">
        <v>20</v>
      </c>
      <c r="AH282">
        <v>64</v>
      </c>
      <c r="AI282">
        <v>76</v>
      </c>
      <c r="AJ282">
        <v>3</v>
      </c>
      <c r="AK282">
        <v>54</v>
      </c>
      <c r="AL282" t="s">
        <v>5410</v>
      </c>
      <c r="AM282" t="s">
        <v>1293</v>
      </c>
      <c r="AN282" t="s">
        <v>5411</v>
      </c>
      <c r="AO282" t="s">
        <v>3688</v>
      </c>
      <c r="AP282" t="s">
        <v>3689</v>
      </c>
      <c r="AQ282" t="s">
        <v>74</v>
      </c>
      <c r="AR282" t="s">
        <v>3690</v>
      </c>
      <c r="AS282" t="s">
        <v>3691</v>
      </c>
      <c r="AT282" t="s">
        <v>4934</v>
      </c>
      <c r="AU282">
        <v>2014</v>
      </c>
      <c r="AV282">
        <v>217</v>
      </c>
      <c r="AW282">
        <v>16</v>
      </c>
      <c r="AX282" t="s">
        <v>74</v>
      </c>
      <c r="AY282" t="s">
        <v>74</v>
      </c>
      <c r="AZ282" t="s">
        <v>74</v>
      </c>
      <c r="BA282" t="s">
        <v>74</v>
      </c>
      <c r="BB282">
        <v>2851</v>
      </c>
      <c r="BC282">
        <v>2854</v>
      </c>
      <c r="BD282" t="s">
        <v>74</v>
      </c>
      <c r="BE282" t="s">
        <v>5667</v>
      </c>
      <c r="BF282" t="str">
        <f>HYPERLINK("http://dx.doi.org/10.1242/jeb.106682","http://dx.doi.org/10.1242/jeb.106682")</f>
        <v>http://dx.doi.org/10.1242/jeb.106682</v>
      </c>
      <c r="BG282" t="s">
        <v>74</v>
      </c>
      <c r="BH282" t="s">
        <v>74</v>
      </c>
      <c r="BI282">
        <v>4</v>
      </c>
      <c r="BJ282" t="s">
        <v>1300</v>
      </c>
      <c r="BK282" t="s">
        <v>102</v>
      </c>
      <c r="BL282" t="s">
        <v>1301</v>
      </c>
      <c r="BM282" t="s">
        <v>5668</v>
      </c>
      <c r="BN282">
        <v>25122916</v>
      </c>
      <c r="BO282" t="s">
        <v>2037</v>
      </c>
      <c r="BP282" t="s">
        <v>74</v>
      </c>
      <c r="BQ282" t="s">
        <v>74</v>
      </c>
      <c r="BR282" t="s">
        <v>105</v>
      </c>
      <c r="BS282" t="s">
        <v>5669</v>
      </c>
      <c r="BT282" t="str">
        <f>HYPERLINK("https%3A%2F%2Fwww.webofscience.com%2Fwos%2Fwoscc%2Ffull-record%2FWOS:000341190300010","View Full Record in Web of Science")</f>
        <v>View Full Record in Web of Science</v>
      </c>
    </row>
    <row r="283" spans="1:72" x14ac:dyDescent="0.15">
      <c r="A283" t="s">
        <v>72</v>
      </c>
      <c r="B283" t="s">
        <v>5670</v>
      </c>
      <c r="C283" t="s">
        <v>74</v>
      </c>
      <c r="D283" t="s">
        <v>74</v>
      </c>
      <c r="E283" t="s">
        <v>74</v>
      </c>
      <c r="F283" t="s">
        <v>5671</v>
      </c>
      <c r="G283" t="s">
        <v>74</v>
      </c>
      <c r="H283" t="s">
        <v>74</v>
      </c>
      <c r="I283" t="s">
        <v>5672</v>
      </c>
      <c r="J283" t="s">
        <v>588</v>
      </c>
      <c r="K283" t="s">
        <v>74</v>
      </c>
      <c r="L283" t="s">
        <v>74</v>
      </c>
      <c r="M283" t="s">
        <v>78</v>
      </c>
      <c r="N283" t="s">
        <v>79</v>
      </c>
      <c r="O283" t="s">
        <v>74</v>
      </c>
      <c r="P283" t="s">
        <v>74</v>
      </c>
      <c r="Q283" t="s">
        <v>74</v>
      </c>
      <c r="R283" t="s">
        <v>74</v>
      </c>
      <c r="S283" t="s">
        <v>74</v>
      </c>
      <c r="T283" t="s">
        <v>5673</v>
      </c>
      <c r="U283" t="s">
        <v>5674</v>
      </c>
      <c r="V283" t="s">
        <v>5675</v>
      </c>
      <c r="W283" t="s">
        <v>5676</v>
      </c>
      <c r="X283" t="s">
        <v>5677</v>
      </c>
      <c r="Y283" t="s">
        <v>5678</v>
      </c>
      <c r="Z283" t="s">
        <v>5679</v>
      </c>
      <c r="AA283" t="s">
        <v>5680</v>
      </c>
      <c r="AB283" t="s">
        <v>5681</v>
      </c>
      <c r="AC283" t="s">
        <v>5682</v>
      </c>
      <c r="AD283" t="s">
        <v>5683</v>
      </c>
      <c r="AE283" t="s">
        <v>5684</v>
      </c>
      <c r="AF283" t="s">
        <v>74</v>
      </c>
      <c r="AG283">
        <v>51</v>
      </c>
      <c r="AH283">
        <v>21</v>
      </c>
      <c r="AI283">
        <v>23</v>
      </c>
      <c r="AJ283">
        <v>0</v>
      </c>
      <c r="AK283">
        <v>16</v>
      </c>
      <c r="AL283" t="s">
        <v>601</v>
      </c>
      <c r="AM283" t="s">
        <v>251</v>
      </c>
      <c r="AN283" t="s">
        <v>602</v>
      </c>
      <c r="AO283" t="s">
        <v>603</v>
      </c>
      <c r="AP283" t="s">
        <v>604</v>
      </c>
      <c r="AQ283" t="s">
        <v>74</v>
      </c>
      <c r="AR283" t="s">
        <v>605</v>
      </c>
      <c r="AS283" t="s">
        <v>606</v>
      </c>
      <c r="AT283" t="s">
        <v>4934</v>
      </c>
      <c r="AU283">
        <v>2014</v>
      </c>
      <c r="AV283">
        <v>99</v>
      </c>
      <c r="AW283" t="s">
        <v>74</v>
      </c>
      <c r="AX283" t="s">
        <v>74</v>
      </c>
      <c r="AY283" t="s">
        <v>74</v>
      </c>
      <c r="AZ283" t="s">
        <v>74</v>
      </c>
      <c r="BA283" t="s">
        <v>74</v>
      </c>
      <c r="BB283">
        <v>179</v>
      </c>
      <c r="BC283">
        <v>187</v>
      </c>
      <c r="BD283" t="s">
        <v>74</v>
      </c>
      <c r="BE283" t="s">
        <v>5685</v>
      </c>
      <c r="BF283" t="str">
        <f>HYPERLINK("http://dx.doi.org/10.1016/j.marenvres.2014.05.014","http://dx.doi.org/10.1016/j.marenvres.2014.05.014")</f>
        <v>http://dx.doi.org/10.1016/j.marenvres.2014.05.014</v>
      </c>
      <c r="BG283" t="s">
        <v>74</v>
      </c>
      <c r="BH283" t="s">
        <v>74</v>
      </c>
      <c r="BI283">
        <v>9</v>
      </c>
      <c r="BJ283" t="s">
        <v>608</v>
      </c>
      <c r="BK283" t="s">
        <v>102</v>
      </c>
      <c r="BL283" t="s">
        <v>609</v>
      </c>
      <c r="BM283" t="s">
        <v>5686</v>
      </c>
      <c r="BN283">
        <v>24986145</v>
      </c>
      <c r="BO283" t="s">
        <v>1274</v>
      </c>
      <c r="BP283" t="s">
        <v>74</v>
      </c>
      <c r="BQ283" t="s">
        <v>74</v>
      </c>
      <c r="BR283" t="s">
        <v>105</v>
      </c>
      <c r="BS283" t="s">
        <v>5687</v>
      </c>
      <c r="BT283" t="str">
        <f>HYPERLINK("https%3A%2F%2Fwww.webofscience.com%2Fwos%2Fwoscc%2Ffull-record%2FWOS:000340699600020","View Full Record in Web of Science")</f>
        <v>View Full Record in Web of Science</v>
      </c>
    </row>
    <row r="284" spans="1:72" x14ac:dyDescent="0.15">
      <c r="A284" t="s">
        <v>72</v>
      </c>
      <c r="B284" t="s">
        <v>5688</v>
      </c>
      <c r="C284" t="s">
        <v>74</v>
      </c>
      <c r="D284" t="s">
        <v>74</v>
      </c>
      <c r="E284" t="s">
        <v>74</v>
      </c>
      <c r="F284" t="s">
        <v>5689</v>
      </c>
      <c r="G284" t="s">
        <v>74</v>
      </c>
      <c r="H284" t="s">
        <v>74</v>
      </c>
      <c r="I284" t="s">
        <v>5690</v>
      </c>
      <c r="J284" t="s">
        <v>2382</v>
      </c>
      <c r="K284" t="s">
        <v>74</v>
      </c>
      <c r="L284" t="s">
        <v>74</v>
      </c>
      <c r="M284" t="s">
        <v>78</v>
      </c>
      <c r="N284" t="s">
        <v>79</v>
      </c>
      <c r="O284" t="s">
        <v>74</v>
      </c>
      <c r="P284" t="s">
        <v>74</v>
      </c>
      <c r="Q284" t="s">
        <v>74</v>
      </c>
      <c r="R284" t="s">
        <v>74</v>
      </c>
      <c r="S284" t="s">
        <v>74</v>
      </c>
      <c r="T284" t="s">
        <v>74</v>
      </c>
      <c r="U284" t="s">
        <v>5691</v>
      </c>
      <c r="V284" t="s">
        <v>5692</v>
      </c>
      <c r="W284" t="s">
        <v>5693</v>
      </c>
      <c r="X284" t="s">
        <v>5694</v>
      </c>
      <c r="Y284" t="s">
        <v>4689</v>
      </c>
      <c r="Z284" t="s">
        <v>4690</v>
      </c>
      <c r="AA284" t="s">
        <v>74</v>
      </c>
      <c r="AB284" t="s">
        <v>74</v>
      </c>
      <c r="AC284" t="s">
        <v>4691</v>
      </c>
      <c r="AD284" t="s">
        <v>4691</v>
      </c>
      <c r="AE284" t="s">
        <v>5695</v>
      </c>
      <c r="AF284" t="s">
        <v>74</v>
      </c>
      <c r="AG284">
        <v>39</v>
      </c>
      <c r="AH284">
        <v>6</v>
      </c>
      <c r="AI284">
        <v>6</v>
      </c>
      <c r="AJ284">
        <v>4</v>
      </c>
      <c r="AK284">
        <v>10</v>
      </c>
      <c r="AL284" t="s">
        <v>171</v>
      </c>
      <c r="AM284" t="s">
        <v>93</v>
      </c>
      <c r="AN284" t="s">
        <v>94</v>
      </c>
      <c r="AO284" t="s">
        <v>2391</v>
      </c>
      <c r="AP284" t="s">
        <v>2392</v>
      </c>
      <c r="AQ284" t="s">
        <v>74</v>
      </c>
      <c r="AR284" t="s">
        <v>2393</v>
      </c>
      <c r="AS284" t="s">
        <v>2394</v>
      </c>
      <c r="AT284" t="s">
        <v>4934</v>
      </c>
      <c r="AU284">
        <v>2014</v>
      </c>
      <c r="AV284">
        <v>49</v>
      </c>
      <c r="AW284">
        <v>8</v>
      </c>
      <c r="AX284" t="s">
        <v>74</v>
      </c>
      <c r="AY284" t="s">
        <v>74</v>
      </c>
      <c r="AZ284" t="s">
        <v>74</v>
      </c>
      <c r="BA284" t="s">
        <v>74</v>
      </c>
      <c r="BB284">
        <v>1494</v>
      </c>
      <c r="BC284">
        <v>1504</v>
      </c>
      <c r="BD284" t="s">
        <v>74</v>
      </c>
      <c r="BE284" t="s">
        <v>5696</v>
      </c>
      <c r="BF284" t="str">
        <f>HYPERLINK("http://dx.doi.org/10.1111/maps.12350","http://dx.doi.org/10.1111/maps.12350")</f>
        <v>http://dx.doi.org/10.1111/maps.12350</v>
      </c>
      <c r="BG284" t="s">
        <v>74</v>
      </c>
      <c r="BH284" t="s">
        <v>74</v>
      </c>
      <c r="BI284">
        <v>11</v>
      </c>
      <c r="BJ284" t="s">
        <v>425</v>
      </c>
      <c r="BK284" t="s">
        <v>102</v>
      </c>
      <c r="BL284" t="s">
        <v>425</v>
      </c>
      <c r="BM284" t="s">
        <v>5697</v>
      </c>
      <c r="BN284" t="s">
        <v>74</v>
      </c>
      <c r="BO284" t="s">
        <v>179</v>
      </c>
      <c r="BP284" t="s">
        <v>74</v>
      </c>
      <c r="BQ284" t="s">
        <v>74</v>
      </c>
      <c r="BR284" t="s">
        <v>105</v>
      </c>
      <c r="BS284" t="s">
        <v>5698</v>
      </c>
      <c r="BT284" t="str">
        <f>HYPERLINK("https%3A%2F%2Fwww.webofscience.com%2Fwos%2Fwoscc%2Ffull-record%2FWOS:000340875900013","View Full Record in Web of Science")</f>
        <v>View Full Record in Web of Science</v>
      </c>
    </row>
    <row r="285" spans="1:72" x14ac:dyDescent="0.15">
      <c r="A285" t="s">
        <v>72</v>
      </c>
      <c r="B285" t="s">
        <v>5699</v>
      </c>
      <c r="C285" t="s">
        <v>74</v>
      </c>
      <c r="D285" t="s">
        <v>74</v>
      </c>
      <c r="E285" t="s">
        <v>74</v>
      </c>
      <c r="F285" t="s">
        <v>5700</v>
      </c>
      <c r="G285" t="s">
        <v>74</v>
      </c>
      <c r="H285" t="s">
        <v>74</v>
      </c>
      <c r="I285" t="s">
        <v>5701</v>
      </c>
      <c r="J285" t="s">
        <v>5702</v>
      </c>
      <c r="K285" t="s">
        <v>74</v>
      </c>
      <c r="L285" t="s">
        <v>74</v>
      </c>
      <c r="M285" t="s">
        <v>78</v>
      </c>
      <c r="N285" t="s">
        <v>79</v>
      </c>
      <c r="O285" t="s">
        <v>74</v>
      </c>
      <c r="P285" t="s">
        <v>74</v>
      </c>
      <c r="Q285" t="s">
        <v>74</v>
      </c>
      <c r="R285" t="s">
        <v>74</v>
      </c>
      <c r="S285" t="s">
        <v>74</v>
      </c>
      <c r="T285" t="s">
        <v>5703</v>
      </c>
      <c r="U285" t="s">
        <v>5704</v>
      </c>
      <c r="V285" t="s">
        <v>5705</v>
      </c>
      <c r="W285" t="s">
        <v>5706</v>
      </c>
      <c r="X285" t="s">
        <v>5707</v>
      </c>
      <c r="Y285" t="s">
        <v>5708</v>
      </c>
      <c r="Z285" t="s">
        <v>5709</v>
      </c>
      <c r="AA285" t="s">
        <v>5710</v>
      </c>
      <c r="AB285" t="s">
        <v>5711</v>
      </c>
      <c r="AC285" t="s">
        <v>5712</v>
      </c>
      <c r="AD285" t="s">
        <v>5713</v>
      </c>
      <c r="AE285" t="s">
        <v>5714</v>
      </c>
      <c r="AF285" t="s">
        <v>74</v>
      </c>
      <c r="AG285">
        <v>67</v>
      </c>
      <c r="AH285">
        <v>54</v>
      </c>
      <c r="AI285">
        <v>63</v>
      </c>
      <c r="AJ285">
        <v>0</v>
      </c>
      <c r="AK285">
        <v>62</v>
      </c>
      <c r="AL285" t="s">
        <v>171</v>
      </c>
      <c r="AM285" t="s">
        <v>93</v>
      </c>
      <c r="AN285" t="s">
        <v>94</v>
      </c>
      <c r="AO285" t="s">
        <v>5715</v>
      </c>
      <c r="AP285" t="s">
        <v>5716</v>
      </c>
      <c r="AQ285" t="s">
        <v>74</v>
      </c>
      <c r="AR285" t="s">
        <v>5717</v>
      </c>
      <c r="AS285" t="s">
        <v>5718</v>
      </c>
      <c r="AT285" t="s">
        <v>4934</v>
      </c>
      <c r="AU285">
        <v>2014</v>
      </c>
      <c r="AV285">
        <v>281</v>
      </c>
      <c r="AW285">
        <v>16</v>
      </c>
      <c r="AX285" t="s">
        <v>74</v>
      </c>
      <c r="AY285" t="s">
        <v>74</v>
      </c>
      <c r="AZ285" t="s">
        <v>74</v>
      </c>
      <c r="BA285" t="s">
        <v>74</v>
      </c>
      <c r="BB285">
        <v>3576</v>
      </c>
      <c r="BC285">
        <v>3590</v>
      </c>
      <c r="BD285" t="s">
        <v>74</v>
      </c>
      <c r="BE285" t="s">
        <v>5719</v>
      </c>
      <c r="BF285" t="str">
        <f>HYPERLINK("http://dx.doi.org/10.1111/febs.12878","http://dx.doi.org/10.1111/febs.12878")</f>
        <v>http://dx.doi.org/10.1111/febs.12878</v>
      </c>
      <c r="BG285" t="s">
        <v>74</v>
      </c>
      <c r="BH285" t="s">
        <v>74</v>
      </c>
      <c r="BI285">
        <v>15</v>
      </c>
      <c r="BJ285" t="s">
        <v>5720</v>
      </c>
      <c r="BK285" t="s">
        <v>102</v>
      </c>
      <c r="BL285" t="s">
        <v>5720</v>
      </c>
      <c r="BM285" t="s">
        <v>5721</v>
      </c>
      <c r="BN285">
        <v>24938370</v>
      </c>
      <c r="BO285" t="s">
        <v>179</v>
      </c>
      <c r="BP285" t="s">
        <v>74</v>
      </c>
      <c r="BQ285" t="s">
        <v>74</v>
      </c>
      <c r="BR285" t="s">
        <v>105</v>
      </c>
      <c r="BS285" t="s">
        <v>5722</v>
      </c>
      <c r="BT285" t="str">
        <f>HYPERLINK("https%3A%2F%2Fwww.webofscience.com%2Fwos%2Fwoscc%2Ffull-record%2FWOS:000340355400003","View Full Record in Web of Science")</f>
        <v>View Full Record in Web of Science</v>
      </c>
    </row>
    <row r="286" spans="1:72" x14ac:dyDescent="0.15">
      <c r="A286" t="s">
        <v>72</v>
      </c>
      <c r="B286" t="s">
        <v>5723</v>
      </c>
      <c r="C286" t="s">
        <v>74</v>
      </c>
      <c r="D286" t="s">
        <v>74</v>
      </c>
      <c r="E286" t="s">
        <v>74</v>
      </c>
      <c r="F286" t="s">
        <v>5724</v>
      </c>
      <c r="G286" t="s">
        <v>74</v>
      </c>
      <c r="H286" t="s">
        <v>74</v>
      </c>
      <c r="I286" t="s">
        <v>5725</v>
      </c>
      <c r="J286" t="s">
        <v>5726</v>
      </c>
      <c r="K286" t="s">
        <v>74</v>
      </c>
      <c r="L286" t="s">
        <v>74</v>
      </c>
      <c r="M286" t="s">
        <v>78</v>
      </c>
      <c r="N286" t="s">
        <v>79</v>
      </c>
      <c r="O286" t="s">
        <v>74</v>
      </c>
      <c r="P286" t="s">
        <v>74</v>
      </c>
      <c r="Q286" t="s">
        <v>74</v>
      </c>
      <c r="R286" t="s">
        <v>74</v>
      </c>
      <c r="S286" t="s">
        <v>74</v>
      </c>
      <c r="T286" t="s">
        <v>5727</v>
      </c>
      <c r="U286" t="s">
        <v>5728</v>
      </c>
      <c r="V286" t="s">
        <v>5729</v>
      </c>
      <c r="W286" t="s">
        <v>5730</v>
      </c>
      <c r="X286" t="s">
        <v>5731</v>
      </c>
      <c r="Y286" t="s">
        <v>5732</v>
      </c>
      <c r="Z286" t="s">
        <v>5733</v>
      </c>
      <c r="AA286" t="s">
        <v>5734</v>
      </c>
      <c r="AB286" t="s">
        <v>5735</v>
      </c>
      <c r="AC286" t="s">
        <v>5736</v>
      </c>
      <c r="AD286" t="s">
        <v>3150</v>
      </c>
      <c r="AE286" t="s">
        <v>5737</v>
      </c>
      <c r="AF286" t="s">
        <v>74</v>
      </c>
      <c r="AG286">
        <v>50</v>
      </c>
      <c r="AH286">
        <v>24</v>
      </c>
      <c r="AI286">
        <v>25</v>
      </c>
      <c r="AJ286">
        <v>1</v>
      </c>
      <c r="AK286">
        <v>64</v>
      </c>
      <c r="AL286" t="s">
        <v>418</v>
      </c>
      <c r="AM286" t="s">
        <v>251</v>
      </c>
      <c r="AN286" t="s">
        <v>419</v>
      </c>
      <c r="AO286" t="s">
        <v>5738</v>
      </c>
      <c r="AP286" t="s">
        <v>5739</v>
      </c>
      <c r="AQ286" t="s">
        <v>74</v>
      </c>
      <c r="AR286" t="s">
        <v>5740</v>
      </c>
      <c r="AS286" t="s">
        <v>5741</v>
      </c>
      <c r="AT286" t="s">
        <v>4934</v>
      </c>
      <c r="AU286">
        <v>2014</v>
      </c>
      <c r="AV286">
        <v>89</v>
      </c>
      <c r="AW286">
        <v>2</v>
      </c>
      <c r="AX286" t="s">
        <v>74</v>
      </c>
      <c r="AY286" t="s">
        <v>74</v>
      </c>
      <c r="AZ286" t="s">
        <v>258</v>
      </c>
      <c r="BA286" t="s">
        <v>74</v>
      </c>
      <c r="BB286">
        <v>388</v>
      </c>
      <c r="BC286">
        <v>401</v>
      </c>
      <c r="BD286" t="s">
        <v>74</v>
      </c>
      <c r="BE286" t="s">
        <v>5742</v>
      </c>
      <c r="BF286" t="str">
        <f>HYPERLINK("http://dx.doi.org/10.1111/1574-6941.12334","http://dx.doi.org/10.1111/1574-6941.12334")</f>
        <v>http://dx.doi.org/10.1111/1574-6941.12334</v>
      </c>
      <c r="BG286" t="s">
        <v>74</v>
      </c>
      <c r="BH286" t="s">
        <v>74</v>
      </c>
      <c r="BI286">
        <v>14</v>
      </c>
      <c r="BJ286" t="s">
        <v>1012</v>
      </c>
      <c r="BK286" t="s">
        <v>102</v>
      </c>
      <c r="BL286" t="s">
        <v>1012</v>
      </c>
      <c r="BM286" t="s">
        <v>5743</v>
      </c>
      <c r="BN286">
        <v>24689998</v>
      </c>
      <c r="BO286" t="s">
        <v>74</v>
      </c>
      <c r="BP286" t="s">
        <v>74</v>
      </c>
      <c r="BQ286" t="s">
        <v>74</v>
      </c>
      <c r="BR286" t="s">
        <v>105</v>
      </c>
      <c r="BS286" t="s">
        <v>5744</v>
      </c>
      <c r="BT286" t="str">
        <f>HYPERLINK("https%3A%2F%2Fwww.webofscience.com%2Fwos%2Fwoscc%2Ffull-record%2FWOS:000340535200015","View Full Record in Web of Science")</f>
        <v>View Full Record in Web of Science</v>
      </c>
    </row>
    <row r="287" spans="1:72" x14ac:dyDescent="0.15">
      <c r="A287" t="s">
        <v>72</v>
      </c>
      <c r="B287" t="s">
        <v>5745</v>
      </c>
      <c r="C287" t="s">
        <v>74</v>
      </c>
      <c r="D287" t="s">
        <v>74</v>
      </c>
      <c r="E287" t="s">
        <v>74</v>
      </c>
      <c r="F287" t="s">
        <v>5746</v>
      </c>
      <c r="G287" t="s">
        <v>74</v>
      </c>
      <c r="H287" t="s">
        <v>74</v>
      </c>
      <c r="I287" t="s">
        <v>5747</v>
      </c>
      <c r="J287" t="s">
        <v>432</v>
      </c>
      <c r="K287" t="s">
        <v>74</v>
      </c>
      <c r="L287" t="s">
        <v>74</v>
      </c>
      <c r="M287" t="s">
        <v>78</v>
      </c>
      <c r="N287" t="s">
        <v>79</v>
      </c>
      <c r="O287" t="s">
        <v>74</v>
      </c>
      <c r="P287" t="s">
        <v>74</v>
      </c>
      <c r="Q287" t="s">
        <v>74</v>
      </c>
      <c r="R287" t="s">
        <v>74</v>
      </c>
      <c r="S287" t="s">
        <v>74</v>
      </c>
      <c r="T287" t="s">
        <v>74</v>
      </c>
      <c r="U287" t="s">
        <v>5748</v>
      </c>
      <c r="V287" t="s">
        <v>5749</v>
      </c>
      <c r="W287" t="s">
        <v>5750</v>
      </c>
      <c r="X287" t="s">
        <v>5751</v>
      </c>
      <c r="Y287" t="s">
        <v>5752</v>
      </c>
      <c r="Z287" t="s">
        <v>5753</v>
      </c>
      <c r="AA287" t="s">
        <v>5754</v>
      </c>
      <c r="AB287" t="s">
        <v>5755</v>
      </c>
      <c r="AC287" t="s">
        <v>5756</v>
      </c>
      <c r="AD287" t="s">
        <v>3512</v>
      </c>
      <c r="AE287" t="s">
        <v>5757</v>
      </c>
      <c r="AF287" t="s">
        <v>74</v>
      </c>
      <c r="AG287">
        <v>30</v>
      </c>
      <c r="AH287">
        <v>7</v>
      </c>
      <c r="AI287">
        <v>7</v>
      </c>
      <c r="AJ287">
        <v>0</v>
      </c>
      <c r="AK287">
        <v>6</v>
      </c>
      <c r="AL287" t="s">
        <v>280</v>
      </c>
      <c r="AM287" t="s">
        <v>281</v>
      </c>
      <c r="AN287" t="s">
        <v>282</v>
      </c>
      <c r="AO287" t="s">
        <v>444</v>
      </c>
      <c r="AP287" t="s">
        <v>445</v>
      </c>
      <c r="AQ287" t="s">
        <v>74</v>
      </c>
      <c r="AR287" t="s">
        <v>446</v>
      </c>
      <c r="AS287" t="s">
        <v>447</v>
      </c>
      <c r="AT287" t="s">
        <v>4934</v>
      </c>
      <c r="AU287">
        <v>2014</v>
      </c>
      <c r="AV287">
        <v>44</v>
      </c>
      <c r="AW287">
        <v>8</v>
      </c>
      <c r="AX287" t="s">
        <v>74</v>
      </c>
      <c r="AY287" t="s">
        <v>74</v>
      </c>
      <c r="AZ287" t="s">
        <v>74</v>
      </c>
      <c r="BA287" t="s">
        <v>74</v>
      </c>
      <c r="BB287">
        <v>2127</v>
      </c>
      <c r="BC287">
        <v>2138</v>
      </c>
      <c r="BD287" t="s">
        <v>74</v>
      </c>
      <c r="BE287" t="s">
        <v>5758</v>
      </c>
      <c r="BF287" t="str">
        <f>HYPERLINK("http://dx.doi.org/10.1175/JPO-D-13-0256.1","http://dx.doi.org/10.1175/JPO-D-13-0256.1")</f>
        <v>http://dx.doi.org/10.1175/JPO-D-13-0256.1</v>
      </c>
      <c r="BG287" t="s">
        <v>74</v>
      </c>
      <c r="BH287" t="s">
        <v>74</v>
      </c>
      <c r="BI287">
        <v>12</v>
      </c>
      <c r="BJ287" t="s">
        <v>152</v>
      </c>
      <c r="BK287" t="s">
        <v>102</v>
      </c>
      <c r="BL287" t="s">
        <v>152</v>
      </c>
      <c r="BM287" t="s">
        <v>5759</v>
      </c>
      <c r="BN287" t="s">
        <v>74</v>
      </c>
      <c r="BO287" t="s">
        <v>289</v>
      </c>
      <c r="BP287" t="s">
        <v>74</v>
      </c>
      <c r="BQ287" t="s">
        <v>74</v>
      </c>
      <c r="BR287" t="s">
        <v>105</v>
      </c>
      <c r="BS287" t="s">
        <v>5760</v>
      </c>
      <c r="BT287" t="str">
        <f>HYPERLINK("https%3A%2F%2Fwww.webofscience.com%2Fwos%2Fwoscc%2Ffull-record%2FWOS:000340349800009","View Full Record in Web of Science")</f>
        <v>View Full Record in Web of Science</v>
      </c>
    </row>
    <row r="288" spans="1:72" x14ac:dyDescent="0.15">
      <c r="A288" t="s">
        <v>72</v>
      </c>
      <c r="B288" t="s">
        <v>5761</v>
      </c>
      <c r="C288" t="s">
        <v>74</v>
      </c>
      <c r="D288" t="s">
        <v>74</v>
      </c>
      <c r="E288" t="s">
        <v>74</v>
      </c>
      <c r="F288" t="s">
        <v>5762</v>
      </c>
      <c r="G288" t="s">
        <v>74</v>
      </c>
      <c r="H288" t="s">
        <v>74</v>
      </c>
      <c r="I288" t="s">
        <v>5763</v>
      </c>
      <c r="J288" t="s">
        <v>432</v>
      </c>
      <c r="K288" t="s">
        <v>74</v>
      </c>
      <c r="L288" t="s">
        <v>74</v>
      </c>
      <c r="M288" t="s">
        <v>78</v>
      </c>
      <c r="N288" t="s">
        <v>79</v>
      </c>
      <c r="O288" t="s">
        <v>74</v>
      </c>
      <c r="P288" t="s">
        <v>74</v>
      </c>
      <c r="Q288" t="s">
        <v>74</v>
      </c>
      <c r="R288" t="s">
        <v>74</v>
      </c>
      <c r="S288" t="s">
        <v>74</v>
      </c>
      <c r="T288" t="s">
        <v>74</v>
      </c>
      <c r="U288" t="s">
        <v>5764</v>
      </c>
      <c r="V288" t="s">
        <v>5765</v>
      </c>
      <c r="W288" t="s">
        <v>5766</v>
      </c>
      <c r="X288" t="s">
        <v>5767</v>
      </c>
      <c r="Y288" t="s">
        <v>2842</v>
      </c>
      <c r="Z288" t="s">
        <v>2843</v>
      </c>
      <c r="AA288" t="s">
        <v>5768</v>
      </c>
      <c r="AB288" t="s">
        <v>5769</v>
      </c>
      <c r="AC288" t="s">
        <v>5770</v>
      </c>
      <c r="AD288" t="s">
        <v>5771</v>
      </c>
      <c r="AE288" t="s">
        <v>5772</v>
      </c>
      <c r="AF288" t="s">
        <v>74</v>
      </c>
      <c r="AG288">
        <v>80</v>
      </c>
      <c r="AH288">
        <v>28</v>
      </c>
      <c r="AI288">
        <v>32</v>
      </c>
      <c r="AJ288">
        <v>1</v>
      </c>
      <c r="AK288">
        <v>16</v>
      </c>
      <c r="AL288" t="s">
        <v>280</v>
      </c>
      <c r="AM288" t="s">
        <v>281</v>
      </c>
      <c r="AN288" t="s">
        <v>282</v>
      </c>
      <c r="AO288" t="s">
        <v>444</v>
      </c>
      <c r="AP288" t="s">
        <v>445</v>
      </c>
      <c r="AQ288" t="s">
        <v>74</v>
      </c>
      <c r="AR288" t="s">
        <v>446</v>
      </c>
      <c r="AS288" t="s">
        <v>447</v>
      </c>
      <c r="AT288" t="s">
        <v>4934</v>
      </c>
      <c r="AU288">
        <v>2014</v>
      </c>
      <c r="AV288">
        <v>44</v>
      </c>
      <c r="AW288">
        <v>8</v>
      </c>
      <c r="AX288" t="s">
        <v>74</v>
      </c>
      <c r="AY288" t="s">
        <v>74</v>
      </c>
      <c r="AZ288" t="s">
        <v>74</v>
      </c>
      <c r="BA288" t="s">
        <v>74</v>
      </c>
      <c r="BB288">
        <v>2191</v>
      </c>
      <c r="BC288">
        <v>2211</v>
      </c>
      <c r="BD288" t="s">
        <v>74</v>
      </c>
      <c r="BE288" t="s">
        <v>5773</v>
      </c>
      <c r="BF288" t="str">
        <f>HYPERLINK("http://dx.doi.org/10.1175/JPO-D-13-0258.1","http://dx.doi.org/10.1175/JPO-D-13-0258.1")</f>
        <v>http://dx.doi.org/10.1175/JPO-D-13-0258.1</v>
      </c>
      <c r="BG288" t="s">
        <v>74</v>
      </c>
      <c r="BH288" t="s">
        <v>74</v>
      </c>
      <c r="BI288">
        <v>21</v>
      </c>
      <c r="BJ288" t="s">
        <v>152</v>
      </c>
      <c r="BK288" t="s">
        <v>102</v>
      </c>
      <c r="BL288" t="s">
        <v>152</v>
      </c>
      <c r="BM288" t="s">
        <v>5759</v>
      </c>
      <c r="BN288" t="s">
        <v>74</v>
      </c>
      <c r="BO288" t="s">
        <v>2019</v>
      </c>
      <c r="BP288" t="s">
        <v>74</v>
      </c>
      <c r="BQ288" t="s">
        <v>74</v>
      </c>
      <c r="BR288" t="s">
        <v>105</v>
      </c>
      <c r="BS288" t="s">
        <v>5774</v>
      </c>
      <c r="BT288" t="str">
        <f>HYPERLINK("https%3A%2F%2Fwww.webofscience.com%2Fwos%2Fwoscc%2Ffull-record%2FWOS:000340349800014","View Full Record in Web of Science")</f>
        <v>View Full Record in Web of Science</v>
      </c>
    </row>
    <row r="289" spans="1:72" x14ac:dyDescent="0.15">
      <c r="A289" t="s">
        <v>72</v>
      </c>
      <c r="B289" t="s">
        <v>5775</v>
      </c>
      <c r="C289" t="s">
        <v>74</v>
      </c>
      <c r="D289" t="s">
        <v>74</v>
      </c>
      <c r="E289" t="s">
        <v>74</v>
      </c>
      <c r="F289" t="s">
        <v>5776</v>
      </c>
      <c r="G289" t="s">
        <v>74</v>
      </c>
      <c r="H289" t="s">
        <v>74</v>
      </c>
      <c r="I289" t="s">
        <v>5777</v>
      </c>
      <c r="J289" t="s">
        <v>5778</v>
      </c>
      <c r="K289" t="s">
        <v>74</v>
      </c>
      <c r="L289" t="s">
        <v>74</v>
      </c>
      <c r="M289" t="s">
        <v>78</v>
      </c>
      <c r="N289" t="s">
        <v>79</v>
      </c>
      <c r="O289" t="s">
        <v>74</v>
      </c>
      <c r="P289" t="s">
        <v>74</v>
      </c>
      <c r="Q289" t="s">
        <v>74</v>
      </c>
      <c r="R289" t="s">
        <v>74</v>
      </c>
      <c r="S289" t="s">
        <v>74</v>
      </c>
      <c r="T289" t="s">
        <v>5779</v>
      </c>
      <c r="U289" t="s">
        <v>5780</v>
      </c>
      <c r="V289" t="s">
        <v>5781</v>
      </c>
      <c r="W289" t="s">
        <v>5782</v>
      </c>
      <c r="X289" t="s">
        <v>5783</v>
      </c>
      <c r="Y289" t="s">
        <v>5784</v>
      </c>
      <c r="Z289" t="s">
        <v>5785</v>
      </c>
      <c r="AA289" t="s">
        <v>74</v>
      </c>
      <c r="AB289" t="s">
        <v>74</v>
      </c>
      <c r="AC289" t="s">
        <v>5786</v>
      </c>
      <c r="AD289" t="s">
        <v>5786</v>
      </c>
      <c r="AE289" t="s">
        <v>5787</v>
      </c>
      <c r="AF289" t="s">
        <v>74</v>
      </c>
      <c r="AG289">
        <v>57</v>
      </c>
      <c r="AH289">
        <v>4</v>
      </c>
      <c r="AI289">
        <v>4</v>
      </c>
      <c r="AJ289">
        <v>0</v>
      </c>
      <c r="AK289">
        <v>7</v>
      </c>
      <c r="AL289" t="s">
        <v>5788</v>
      </c>
      <c r="AM289" t="s">
        <v>146</v>
      </c>
      <c r="AN289" t="s">
        <v>5789</v>
      </c>
      <c r="AO289" t="s">
        <v>5790</v>
      </c>
      <c r="AP289" t="s">
        <v>5791</v>
      </c>
      <c r="AQ289" t="s">
        <v>74</v>
      </c>
      <c r="AR289" t="s">
        <v>5792</v>
      </c>
      <c r="AS289" t="s">
        <v>5793</v>
      </c>
      <c r="AT289" t="s">
        <v>4934</v>
      </c>
      <c r="AU289">
        <v>2014</v>
      </c>
      <c r="AV289">
        <v>84</v>
      </c>
      <c r="AW289">
        <v>2</v>
      </c>
      <c r="AX289" t="s">
        <v>74</v>
      </c>
      <c r="AY289" t="s">
        <v>74</v>
      </c>
      <c r="AZ289" t="s">
        <v>74</v>
      </c>
      <c r="BA289" t="s">
        <v>74</v>
      </c>
      <c r="BB289">
        <v>163</v>
      </c>
      <c r="BC289">
        <v>173</v>
      </c>
      <c r="BD289" t="s">
        <v>74</v>
      </c>
      <c r="BE289" t="s">
        <v>5794</v>
      </c>
      <c r="BF289" t="str">
        <f>HYPERLINK("http://dx.doi.org/10.1007/s12594-014-0119-x","http://dx.doi.org/10.1007/s12594-014-0119-x")</f>
        <v>http://dx.doi.org/10.1007/s12594-014-0119-x</v>
      </c>
      <c r="BG289" t="s">
        <v>74</v>
      </c>
      <c r="BH289" t="s">
        <v>74</v>
      </c>
      <c r="BI289">
        <v>11</v>
      </c>
      <c r="BJ289" t="s">
        <v>685</v>
      </c>
      <c r="BK289" t="s">
        <v>102</v>
      </c>
      <c r="BL289" t="s">
        <v>686</v>
      </c>
      <c r="BM289" t="s">
        <v>5795</v>
      </c>
      <c r="BN289" t="s">
        <v>74</v>
      </c>
      <c r="BO289" t="s">
        <v>74</v>
      </c>
      <c r="BP289" t="s">
        <v>74</v>
      </c>
      <c r="BQ289" t="s">
        <v>74</v>
      </c>
      <c r="BR289" t="s">
        <v>105</v>
      </c>
      <c r="BS289" t="s">
        <v>5796</v>
      </c>
      <c r="BT289" t="str">
        <f>HYPERLINK("https%3A%2F%2Fwww.webofscience.com%2Fwos%2Fwoscc%2Ffull-record%2FWOS:000340600900004","View Full Record in Web of Science")</f>
        <v>View Full Record in Web of Science</v>
      </c>
    </row>
    <row r="290" spans="1:72" x14ac:dyDescent="0.15">
      <c r="A290" t="s">
        <v>72</v>
      </c>
      <c r="B290" t="s">
        <v>5797</v>
      </c>
      <c r="C290" t="s">
        <v>74</v>
      </c>
      <c r="D290" t="s">
        <v>74</v>
      </c>
      <c r="E290" t="s">
        <v>74</v>
      </c>
      <c r="F290" t="s">
        <v>5798</v>
      </c>
      <c r="G290" t="s">
        <v>74</v>
      </c>
      <c r="H290" t="s">
        <v>74</v>
      </c>
      <c r="I290" t="s">
        <v>5799</v>
      </c>
      <c r="J290" t="s">
        <v>5800</v>
      </c>
      <c r="K290" t="s">
        <v>74</v>
      </c>
      <c r="L290" t="s">
        <v>74</v>
      </c>
      <c r="M290" t="s">
        <v>78</v>
      </c>
      <c r="N290" t="s">
        <v>79</v>
      </c>
      <c r="O290" t="s">
        <v>74</v>
      </c>
      <c r="P290" t="s">
        <v>74</v>
      </c>
      <c r="Q290" t="s">
        <v>74</v>
      </c>
      <c r="R290" t="s">
        <v>74</v>
      </c>
      <c r="S290" t="s">
        <v>74</v>
      </c>
      <c r="T290" t="s">
        <v>74</v>
      </c>
      <c r="U290" t="s">
        <v>5801</v>
      </c>
      <c r="V290" t="s">
        <v>5802</v>
      </c>
      <c r="W290" t="s">
        <v>5803</v>
      </c>
      <c r="X290" t="s">
        <v>2686</v>
      </c>
      <c r="Y290" t="s">
        <v>5804</v>
      </c>
      <c r="Z290" t="s">
        <v>5805</v>
      </c>
      <c r="AA290" t="s">
        <v>5806</v>
      </c>
      <c r="AB290" t="s">
        <v>5807</v>
      </c>
      <c r="AC290" t="s">
        <v>74</v>
      </c>
      <c r="AD290" t="s">
        <v>74</v>
      </c>
      <c r="AE290" t="s">
        <v>74</v>
      </c>
      <c r="AF290" t="s">
        <v>74</v>
      </c>
      <c r="AG290">
        <v>34</v>
      </c>
      <c r="AH290">
        <v>8</v>
      </c>
      <c r="AI290">
        <v>8</v>
      </c>
      <c r="AJ290">
        <v>0</v>
      </c>
      <c r="AK290">
        <v>5</v>
      </c>
      <c r="AL290" t="s">
        <v>2306</v>
      </c>
      <c r="AM290" t="s">
        <v>576</v>
      </c>
      <c r="AN290" t="s">
        <v>2307</v>
      </c>
      <c r="AO290" t="s">
        <v>5808</v>
      </c>
      <c r="AP290" t="s">
        <v>5809</v>
      </c>
      <c r="AQ290" t="s">
        <v>74</v>
      </c>
      <c r="AR290" t="s">
        <v>5810</v>
      </c>
      <c r="AS290" t="s">
        <v>5811</v>
      </c>
      <c r="AT290" t="s">
        <v>4934</v>
      </c>
      <c r="AU290">
        <v>2014</v>
      </c>
      <c r="AV290">
        <v>56</v>
      </c>
      <c r="AW290">
        <v>8</v>
      </c>
      <c r="AX290" t="s">
        <v>74</v>
      </c>
      <c r="AY290" t="s">
        <v>74</v>
      </c>
      <c r="AZ290" t="s">
        <v>74</v>
      </c>
      <c r="BA290" t="s">
        <v>74</v>
      </c>
      <c r="BB290">
        <v>1626</v>
      </c>
      <c r="BC290">
        <v>1633</v>
      </c>
      <c r="BD290" t="s">
        <v>74</v>
      </c>
      <c r="BE290" t="s">
        <v>5812</v>
      </c>
      <c r="BF290" t="str">
        <f>HYPERLINK("http://dx.doi.org/10.1134/S106378341408006X","http://dx.doi.org/10.1134/S106378341408006X")</f>
        <v>http://dx.doi.org/10.1134/S106378341408006X</v>
      </c>
      <c r="BG290" t="s">
        <v>74</v>
      </c>
      <c r="BH290" t="s">
        <v>74</v>
      </c>
      <c r="BI290">
        <v>8</v>
      </c>
      <c r="BJ290" t="s">
        <v>5813</v>
      </c>
      <c r="BK290" t="s">
        <v>102</v>
      </c>
      <c r="BL290" t="s">
        <v>1813</v>
      </c>
      <c r="BM290" t="s">
        <v>5814</v>
      </c>
      <c r="BN290" t="s">
        <v>74</v>
      </c>
      <c r="BO290" t="s">
        <v>74</v>
      </c>
      <c r="BP290" t="s">
        <v>74</v>
      </c>
      <c r="BQ290" t="s">
        <v>74</v>
      </c>
      <c r="BR290" t="s">
        <v>105</v>
      </c>
      <c r="BS290" t="s">
        <v>5815</v>
      </c>
      <c r="BT290" t="str">
        <f>HYPERLINK("https%3A%2F%2Fwww.webofscience.com%2Fwos%2Fwoscc%2Ffull-record%2FWOS:000340380400017","View Full Record in Web of Science")</f>
        <v>View Full Record in Web of Science</v>
      </c>
    </row>
    <row r="291" spans="1:72" x14ac:dyDescent="0.15">
      <c r="A291" t="s">
        <v>72</v>
      </c>
      <c r="B291" t="s">
        <v>5816</v>
      </c>
      <c r="C291" t="s">
        <v>74</v>
      </c>
      <c r="D291" t="s">
        <v>74</v>
      </c>
      <c r="E291" t="s">
        <v>74</v>
      </c>
      <c r="F291" t="s">
        <v>5817</v>
      </c>
      <c r="G291" t="s">
        <v>74</v>
      </c>
      <c r="H291" t="s">
        <v>74</v>
      </c>
      <c r="I291" t="s">
        <v>5818</v>
      </c>
      <c r="J291" t="s">
        <v>5819</v>
      </c>
      <c r="K291" t="s">
        <v>74</v>
      </c>
      <c r="L291" t="s">
        <v>74</v>
      </c>
      <c r="M291" t="s">
        <v>78</v>
      </c>
      <c r="N291" t="s">
        <v>79</v>
      </c>
      <c r="O291" t="s">
        <v>74</v>
      </c>
      <c r="P291" t="s">
        <v>74</v>
      </c>
      <c r="Q291" t="s">
        <v>74</v>
      </c>
      <c r="R291" t="s">
        <v>74</v>
      </c>
      <c r="S291" t="s">
        <v>74</v>
      </c>
      <c r="T291" t="s">
        <v>5820</v>
      </c>
      <c r="U291" t="s">
        <v>5821</v>
      </c>
      <c r="V291" t="s">
        <v>5822</v>
      </c>
      <c r="W291" t="s">
        <v>5823</v>
      </c>
      <c r="X291" t="s">
        <v>5824</v>
      </c>
      <c r="Y291" t="s">
        <v>5825</v>
      </c>
      <c r="Z291" t="s">
        <v>5826</v>
      </c>
      <c r="AA291" t="s">
        <v>5827</v>
      </c>
      <c r="AB291" t="s">
        <v>5828</v>
      </c>
      <c r="AC291" t="s">
        <v>5829</v>
      </c>
      <c r="AD291" t="s">
        <v>5830</v>
      </c>
      <c r="AE291" t="s">
        <v>5831</v>
      </c>
      <c r="AF291" t="s">
        <v>74</v>
      </c>
      <c r="AG291">
        <v>48</v>
      </c>
      <c r="AH291">
        <v>11</v>
      </c>
      <c r="AI291">
        <v>12</v>
      </c>
      <c r="AJ291">
        <v>1</v>
      </c>
      <c r="AK291">
        <v>51</v>
      </c>
      <c r="AL291" t="s">
        <v>2571</v>
      </c>
      <c r="AM291" t="s">
        <v>654</v>
      </c>
      <c r="AN291" t="s">
        <v>2572</v>
      </c>
      <c r="AO291" t="s">
        <v>5832</v>
      </c>
      <c r="AP291" t="s">
        <v>5833</v>
      </c>
      <c r="AQ291" t="s">
        <v>74</v>
      </c>
      <c r="AR291" t="s">
        <v>5834</v>
      </c>
      <c r="AS291" t="s">
        <v>5835</v>
      </c>
      <c r="AT291" t="s">
        <v>4934</v>
      </c>
      <c r="AU291">
        <v>2014</v>
      </c>
      <c r="AV291">
        <v>94</v>
      </c>
      <c r="AW291" t="s">
        <v>74</v>
      </c>
      <c r="AX291" t="s">
        <v>74</v>
      </c>
      <c r="AY291" t="s">
        <v>74</v>
      </c>
      <c r="AZ291" t="s">
        <v>74</v>
      </c>
      <c r="BA291" t="s">
        <v>74</v>
      </c>
      <c r="BB291">
        <v>117</v>
      </c>
      <c r="BC291">
        <v>134</v>
      </c>
      <c r="BD291" t="s">
        <v>74</v>
      </c>
      <c r="BE291" t="s">
        <v>5836</v>
      </c>
      <c r="BF291" t="str">
        <f>HYPERLINK("http://dx.doi.org/10.1016/j.anbehav.2014.05.015","http://dx.doi.org/10.1016/j.anbehav.2014.05.015")</f>
        <v>http://dx.doi.org/10.1016/j.anbehav.2014.05.015</v>
      </c>
      <c r="BG291" t="s">
        <v>74</v>
      </c>
      <c r="BH291" t="s">
        <v>74</v>
      </c>
      <c r="BI291">
        <v>18</v>
      </c>
      <c r="BJ291" t="s">
        <v>5837</v>
      </c>
      <c r="BK291" t="s">
        <v>102</v>
      </c>
      <c r="BL291" t="s">
        <v>5837</v>
      </c>
      <c r="BM291" t="s">
        <v>5838</v>
      </c>
      <c r="BN291" t="s">
        <v>74</v>
      </c>
      <c r="BO291" t="s">
        <v>74</v>
      </c>
      <c r="BP291" t="s">
        <v>74</v>
      </c>
      <c r="BQ291" t="s">
        <v>74</v>
      </c>
      <c r="BR291" t="s">
        <v>105</v>
      </c>
      <c r="BS291" t="s">
        <v>5839</v>
      </c>
      <c r="BT291" t="str">
        <f>HYPERLINK("https%3A%2F%2Fwww.webofscience.com%2Fwos%2Fwoscc%2Ffull-record%2FWOS:000340247900016","View Full Record in Web of Science")</f>
        <v>View Full Record in Web of Science</v>
      </c>
    </row>
    <row r="292" spans="1:72" x14ac:dyDescent="0.15">
      <c r="A292" t="s">
        <v>72</v>
      </c>
      <c r="B292" t="s">
        <v>5840</v>
      </c>
      <c r="C292" t="s">
        <v>74</v>
      </c>
      <c r="D292" t="s">
        <v>74</v>
      </c>
      <c r="E292" t="s">
        <v>74</v>
      </c>
      <c r="F292" t="s">
        <v>5841</v>
      </c>
      <c r="G292" t="s">
        <v>74</v>
      </c>
      <c r="H292" t="s">
        <v>74</v>
      </c>
      <c r="I292" t="s">
        <v>5842</v>
      </c>
      <c r="J292" t="s">
        <v>5843</v>
      </c>
      <c r="K292" t="s">
        <v>74</v>
      </c>
      <c r="L292" t="s">
        <v>74</v>
      </c>
      <c r="M292" t="s">
        <v>78</v>
      </c>
      <c r="N292" t="s">
        <v>79</v>
      </c>
      <c r="O292" t="s">
        <v>74</v>
      </c>
      <c r="P292" t="s">
        <v>74</v>
      </c>
      <c r="Q292" t="s">
        <v>74</v>
      </c>
      <c r="R292" t="s">
        <v>74</v>
      </c>
      <c r="S292" t="s">
        <v>74</v>
      </c>
      <c r="T292" t="s">
        <v>5844</v>
      </c>
      <c r="U292" t="s">
        <v>5845</v>
      </c>
      <c r="V292" t="s">
        <v>5846</v>
      </c>
      <c r="W292" t="s">
        <v>5847</v>
      </c>
      <c r="X292" t="s">
        <v>5848</v>
      </c>
      <c r="Y292" t="s">
        <v>5849</v>
      </c>
      <c r="Z292" t="s">
        <v>5850</v>
      </c>
      <c r="AA292" t="s">
        <v>74</v>
      </c>
      <c r="AB292" t="s">
        <v>4295</v>
      </c>
      <c r="AC292" t="s">
        <v>5851</v>
      </c>
      <c r="AD292" t="s">
        <v>5851</v>
      </c>
      <c r="AE292" t="s">
        <v>5852</v>
      </c>
      <c r="AF292" t="s">
        <v>74</v>
      </c>
      <c r="AG292">
        <v>43</v>
      </c>
      <c r="AH292">
        <v>5</v>
      </c>
      <c r="AI292">
        <v>5</v>
      </c>
      <c r="AJ292">
        <v>1</v>
      </c>
      <c r="AK292">
        <v>30</v>
      </c>
      <c r="AL292" t="s">
        <v>601</v>
      </c>
      <c r="AM292" t="s">
        <v>251</v>
      </c>
      <c r="AN292" t="s">
        <v>602</v>
      </c>
      <c r="AO292" t="s">
        <v>5853</v>
      </c>
      <c r="AP292" t="s">
        <v>5854</v>
      </c>
      <c r="AQ292" t="s">
        <v>74</v>
      </c>
      <c r="AR292" t="s">
        <v>5855</v>
      </c>
      <c r="AS292" t="s">
        <v>5856</v>
      </c>
      <c r="AT292" t="s">
        <v>4934</v>
      </c>
      <c r="AU292">
        <v>2014</v>
      </c>
      <c r="AV292">
        <v>176</v>
      </c>
      <c r="AW292" t="s">
        <v>74</v>
      </c>
      <c r="AX292" t="s">
        <v>74</v>
      </c>
      <c r="AY292" t="s">
        <v>74</v>
      </c>
      <c r="AZ292" t="s">
        <v>74</v>
      </c>
      <c r="BA292" t="s">
        <v>74</v>
      </c>
      <c r="BB292">
        <v>48</v>
      </c>
      <c r="BC292">
        <v>53</v>
      </c>
      <c r="BD292" t="s">
        <v>74</v>
      </c>
      <c r="BE292" t="s">
        <v>5857</v>
      </c>
      <c r="BF292" t="str">
        <f>HYPERLINK("http://dx.doi.org/10.1016/j.biocon.2014.05.020","http://dx.doi.org/10.1016/j.biocon.2014.05.020")</f>
        <v>http://dx.doi.org/10.1016/j.biocon.2014.05.020</v>
      </c>
      <c r="BG292" t="s">
        <v>74</v>
      </c>
      <c r="BH292" t="s">
        <v>74</v>
      </c>
      <c r="BI292">
        <v>6</v>
      </c>
      <c r="BJ292" t="s">
        <v>5858</v>
      </c>
      <c r="BK292" t="s">
        <v>102</v>
      </c>
      <c r="BL292" t="s">
        <v>785</v>
      </c>
      <c r="BM292" t="s">
        <v>5859</v>
      </c>
      <c r="BN292" t="s">
        <v>74</v>
      </c>
      <c r="BO292" t="s">
        <v>74</v>
      </c>
      <c r="BP292" t="s">
        <v>74</v>
      </c>
      <c r="BQ292" t="s">
        <v>74</v>
      </c>
      <c r="BR292" t="s">
        <v>105</v>
      </c>
      <c r="BS292" t="s">
        <v>5860</v>
      </c>
      <c r="BT292" t="str">
        <f>HYPERLINK("https%3A%2F%2Fwww.webofscience.com%2Fwos%2Fwoscc%2Ffull-record%2FWOS:000340223500006","View Full Record in Web of Science")</f>
        <v>View Full Record in Web of Science</v>
      </c>
    </row>
    <row r="293" spans="1:72" x14ac:dyDescent="0.15">
      <c r="A293" t="s">
        <v>72</v>
      </c>
      <c r="B293" t="s">
        <v>5861</v>
      </c>
      <c r="C293" t="s">
        <v>74</v>
      </c>
      <c r="D293" t="s">
        <v>74</v>
      </c>
      <c r="E293" t="s">
        <v>74</v>
      </c>
      <c r="F293" t="s">
        <v>5862</v>
      </c>
      <c r="G293" t="s">
        <v>74</v>
      </c>
      <c r="H293" t="s">
        <v>74</v>
      </c>
      <c r="I293" t="s">
        <v>5863</v>
      </c>
      <c r="J293" t="s">
        <v>5864</v>
      </c>
      <c r="K293" t="s">
        <v>74</v>
      </c>
      <c r="L293" t="s">
        <v>74</v>
      </c>
      <c r="M293" t="s">
        <v>78</v>
      </c>
      <c r="N293" t="s">
        <v>79</v>
      </c>
      <c r="O293" t="s">
        <v>74</v>
      </c>
      <c r="P293" t="s">
        <v>74</v>
      </c>
      <c r="Q293" t="s">
        <v>74</v>
      </c>
      <c r="R293" t="s">
        <v>74</v>
      </c>
      <c r="S293" t="s">
        <v>74</v>
      </c>
      <c r="T293" t="s">
        <v>5865</v>
      </c>
      <c r="U293" t="s">
        <v>5866</v>
      </c>
      <c r="V293" t="s">
        <v>5867</v>
      </c>
      <c r="W293" t="s">
        <v>5868</v>
      </c>
      <c r="X293" t="s">
        <v>5869</v>
      </c>
      <c r="Y293" t="s">
        <v>5870</v>
      </c>
      <c r="Z293" t="s">
        <v>5871</v>
      </c>
      <c r="AA293" t="s">
        <v>5872</v>
      </c>
      <c r="AB293" t="s">
        <v>5873</v>
      </c>
      <c r="AC293" t="s">
        <v>5874</v>
      </c>
      <c r="AD293" t="s">
        <v>5875</v>
      </c>
      <c r="AE293" t="s">
        <v>5876</v>
      </c>
      <c r="AF293" t="s">
        <v>74</v>
      </c>
      <c r="AG293">
        <v>60</v>
      </c>
      <c r="AH293">
        <v>43</v>
      </c>
      <c r="AI293">
        <v>43</v>
      </c>
      <c r="AJ293">
        <v>0</v>
      </c>
      <c r="AK293">
        <v>56</v>
      </c>
      <c r="AL293" t="s">
        <v>5877</v>
      </c>
      <c r="AM293" t="s">
        <v>654</v>
      </c>
      <c r="AN293" t="s">
        <v>5878</v>
      </c>
      <c r="AO293" t="s">
        <v>5879</v>
      </c>
      <c r="AP293" t="s">
        <v>5880</v>
      </c>
      <c r="AQ293" t="s">
        <v>74</v>
      </c>
      <c r="AR293" t="s">
        <v>5881</v>
      </c>
      <c r="AS293" t="s">
        <v>5882</v>
      </c>
      <c r="AT293" t="s">
        <v>4934</v>
      </c>
      <c r="AU293">
        <v>2014</v>
      </c>
      <c r="AV293">
        <v>8</v>
      </c>
      <c r="AW293">
        <v>8</v>
      </c>
      <c r="AX293" t="s">
        <v>74</v>
      </c>
      <c r="AY293" t="s">
        <v>74</v>
      </c>
      <c r="AZ293" t="s">
        <v>74</v>
      </c>
      <c r="BA293" t="s">
        <v>74</v>
      </c>
      <c r="BB293">
        <v>1645</v>
      </c>
      <c r="BC293">
        <v>1658</v>
      </c>
      <c r="BD293" t="s">
        <v>74</v>
      </c>
      <c r="BE293" t="s">
        <v>5883</v>
      </c>
      <c r="BF293" t="str">
        <f>HYPERLINK("http://dx.doi.org/10.1038/ismej.2014.18","http://dx.doi.org/10.1038/ismej.2014.18")</f>
        <v>http://dx.doi.org/10.1038/ismej.2014.18</v>
      </c>
      <c r="BG293" t="s">
        <v>74</v>
      </c>
      <c r="BH293" t="s">
        <v>74</v>
      </c>
      <c r="BI293">
        <v>14</v>
      </c>
      <c r="BJ293" t="s">
        <v>5884</v>
      </c>
      <c r="BK293" t="s">
        <v>102</v>
      </c>
      <c r="BL293" t="s">
        <v>5885</v>
      </c>
      <c r="BM293" t="s">
        <v>5886</v>
      </c>
      <c r="BN293">
        <v>24553470</v>
      </c>
      <c r="BO293" t="s">
        <v>1053</v>
      </c>
      <c r="BP293" t="s">
        <v>74</v>
      </c>
      <c r="BQ293" t="s">
        <v>74</v>
      </c>
      <c r="BR293" t="s">
        <v>105</v>
      </c>
      <c r="BS293" t="s">
        <v>5887</v>
      </c>
      <c r="BT293" t="str">
        <f>HYPERLINK("https%3A%2F%2Fwww.webofscience.com%2Fwos%2Fwoscc%2Ffull-record%2FWOS:000340029800009","View Full Record in Web of Science")</f>
        <v>View Full Record in Web of Science</v>
      </c>
    </row>
    <row r="294" spans="1:72" x14ac:dyDescent="0.15">
      <c r="A294" t="s">
        <v>72</v>
      </c>
      <c r="B294" t="s">
        <v>5861</v>
      </c>
      <c r="C294" t="s">
        <v>74</v>
      </c>
      <c r="D294" t="s">
        <v>74</v>
      </c>
      <c r="E294" t="s">
        <v>74</v>
      </c>
      <c r="F294" t="s">
        <v>5862</v>
      </c>
      <c r="G294" t="s">
        <v>74</v>
      </c>
      <c r="H294" t="s">
        <v>74</v>
      </c>
      <c r="I294" t="s">
        <v>5888</v>
      </c>
      <c r="J294" t="s">
        <v>5864</v>
      </c>
      <c r="K294" t="s">
        <v>74</v>
      </c>
      <c r="L294" t="s">
        <v>74</v>
      </c>
      <c r="M294" t="s">
        <v>78</v>
      </c>
      <c r="N294" t="s">
        <v>1084</v>
      </c>
      <c r="O294" t="s">
        <v>74</v>
      </c>
      <c r="P294" t="s">
        <v>74</v>
      </c>
      <c r="Q294" t="s">
        <v>74</v>
      </c>
      <c r="R294" t="s">
        <v>74</v>
      </c>
      <c r="S294" t="s">
        <v>74</v>
      </c>
      <c r="T294" t="s">
        <v>74</v>
      </c>
      <c r="U294" t="s">
        <v>74</v>
      </c>
      <c r="V294" t="s">
        <v>74</v>
      </c>
      <c r="W294" t="s">
        <v>74</v>
      </c>
      <c r="X294" t="s">
        <v>74</v>
      </c>
      <c r="Y294" t="s">
        <v>74</v>
      </c>
      <c r="Z294" t="s">
        <v>74</v>
      </c>
      <c r="AA294" t="s">
        <v>5889</v>
      </c>
      <c r="AB294" t="s">
        <v>5890</v>
      </c>
      <c r="AC294" t="s">
        <v>74</v>
      </c>
      <c r="AD294" t="s">
        <v>74</v>
      </c>
      <c r="AE294" t="s">
        <v>74</v>
      </c>
      <c r="AF294" t="s">
        <v>74</v>
      </c>
      <c r="AG294">
        <v>1</v>
      </c>
      <c r="AH294">
        <v>0</v>
      </c>
      <c r="AI294">
        <v>0</v>
      </c>
      <c r="AJ294">
        <v>0</v>
      </c>
      <c r="AK294">
        <v>8</v>
      </c>
      <c r="AL294" t="s">
        <v>653</v>
      </c>
      <c r="AM294" t="s">
        <v>654</v>
      </c>
      <c r="AN294" t="s">
        <v>655</v>
      </c>
      <c r="AO294" t="s">
        <v>5879</v>
      </c>
      <c r="AP294" t="s">
        <v>5880</v>
      </c>
      <c r="AQ294" t="s">
        <v>74</v>
      </c>
      <c r="AR294" t="s">
        <v>5881</v>
      </c>
      <c r="AS294" t="s">
        <v>5882</v>
      </c>
      <c r="AT294" t="s">
        <v>4934</v>
      </c>
      <c r="AU294">
        <v>2014</v>
      </c>
      <c r="AV294">
        <v>8</v>
      </c>
      <c r="AW294">
        <v>8</v>
      </c>
      <c r="AX294" t="s">
        <v>74</v>
      </c>
      <c r="AY294" t="s">
        <v>74</v>
      </c>
      <c r="AZ294" t="s">
        <v>74</v>
      </c>
      <c r="BA294" t="s">
        <v>74</v>
      </c>
      <c r="BB294">
        <v>1752</v>
      </c>
      <c r="BC294">
        <v>1752</v>
      </c>
      <c r="BD294" t="s">
        <v>74</v>
      </c>
      <c r="BE294" t="s">
        <v>5891</v>
      </c>
      <c r="BF294" t="str">
        <f>HYPERLINK("http://dx.doi.org/10.1038/ismej.2014.65","http://dx.doi.org/10.1038/ismej.2014.65")</f>
        <v>http://dx.doi.org/10.1038/ismej.2014.65</v>
      </c>
      <c r="BG294" t="s">
        <v>74</v>
      </c>
      <c r="BH294" t="s">
        <v>74</v>
      </c>
      <c r="BI294">
        <v>1</v>
      </c>
      <c r="BJ294" t="s">
        <v>5884</v>
      </c>
      <c r="BK294" t="s">
        <v>102</v>
      </c>
      <c r="BL294" t="s">
        <v>5885</v>
      </c>
      <c r="BM294" t="s">
        <v>5886</v>
      </c>
      <c r="BN294" t="s">
        <v>74</v>
      </c>
      <c r="BO294" t="s">
        <v>1078</v>
      </c>
      <c r="BP294" t="s">
        <v>74</v>
      </c>
      <c r="BQ294" t="s">
        <v>74</v>
      </c>
      <c r="BR294" t="s">
        <v>105</v>
      </c>
      <c r="BS294" t="s">
        <v>5892</v>
      </c>
      <c r="BT294" t="str">
        <f>HYPERLINK("https%3A%2F%2Fwww.webofscience.com%2Fwos%2Fwoscc%2Ffull-record%2FWOS:000340029800019","View Full Record in Web of Science")</f>
        <v>View Full Record in Web of Science</v>
      </c>
    </row>
    <row r="295" spans="1:72" x14ac:dyDescent="0.15">
      <c r="A295" t="s">
        <v>72</v>
      </c>
      <c r="B295" t="s">
        <v>5893</v>
      </c>
      <c r="C295" t="s">
        <v>74</v>
      </c>
      <c r="D295" t="s">
        <v>74</v>
      </c>
      <c r="E295" t="s">
        <v>74</v>
      </c>
      <c r="F295" t="s">
        <v>5894</v>
      </c>
      <c r="G295" t="s">
        <v>74</v>
      </c>
      <c r="H295" t="s">
        <v>74</v>
      </c>
      <c r="I295" t="s">
        <v>5895</v>
      </c>
      <c r="J295" t="s">
        <v>1434</v>
      </c>
      <c r="K295" t="s">
        <v>74</v>
      </c>
      <c r="L295" t="s">
        <v>74</v>
      </c>
      <c r="M295" t="s">
        <v>78</v>
      </c>
      <c r="N295" t="s">
        <v>79</v>
      </c>
      <c r="O295" t="s">
        <v>74</v>
      </c>
      <c r="P295" t="s">
        <v>74</v>
      </c>
      <c r="Q295" t="s">
        <v>74</v>
      </c>
      <c r="R295" t="s">
        <v>74</v>
      </c>
      <c r="S295" t="s">
        <v>74</v>
      </c>
      <c r="T295" t="s">
        <v>5896</v>
      </c>
      <c r="U295" t="s">
        <v>5897</v>
      </c>
      <c r="V295" t="s">
        <v>5898</v>
      </c>
      <c r="W295" t="s">
        <v>5899</v>
      </c>
      <c r="X295" t="s">
        <v>5900</v>
      </c>
      <c r="Y295" t="s">
        <v>5901</v>
      </c>
      <c r="Z295" t="s">
        <v>5902</v>
      </c>
      <c r="AA295" t="s">
        <v>5903</v>
      </c>
      <c r="AB295" t="s">
        <v>5904</v>
      </c>
      <c r="AC295" t="s">
        <v>5905</v>
      </c>
      <c r="AD295" t="s">
        <v>5906</v>
      </c>
      <c r="AE295" t="s">
        <v>5907</v>
      </c>
      <c r="AF295" t="s">
        <v>74</v>
      </c>
      <c r="AG295">
        <v>39</v>
      </c>
      <c r="AH295">
        <v>4</v>
      </c>
      <c r="AI295">
        <v>4</v>
      </c>
      <c r="AJ295">
        <v>0</v>
      </c>
      <c r="AK295">
        <v>17</v>
      </c>
      <c r="AL295" t="s">
        <v>123</v>
      </c>
      <c r="AM295" t="s">
        <v>124</v>
      </c>
      <c r="AN295" t="s">
        <v>125</v>
      </c>
      <c r="AO295" t="s">
        <v>1447</v>
      </c>
      <c r="AP295" t="s">
        <v>1448</v>
      </c>
      <c r="AQ295" t="s">
        <v>74</v>
      </c>
      <c r="AR295" t="s">
        <v>1449</v>
      </c>
      <c r="AS295" t="s">
        <v>1450</v>
      </c>
      <c r="AT295" t="s">
        <v>4956</v>
      </c>
      <c r="AU295">
        <v>2014</v>
      </c>
      <c r="AV295">
        <v>282</v>
      </c>
      <c r="AW295" t="s">
        <v>74</v>
      </c>
      <c r="AX295" t="s">
        <v>74</v>
      </c>
      <c r="AY295" t="s">
        <v>74</v>
      </c>
      <c r="AZ295" t="s">
        <v>74</v>
      </c>
      <c r="BA295" t="s">
        <v>74</v>
      </c>
      <c r="BB295">
        <v>1</v>
      </c>
      <c r="BC295">
        <v>8</v>
      </c>
      <c r="BD295" t="s">
        <v>74</v>
      </c>
      <c r="BE295" t="s">
        <v>5908</v>
      </c>
      <c r="BF295" t="str">
        <f>HYPERLINK("http://dx.doi.org/10.1016/j.jvolgeores.2014.05.023","http://dx.doi.org/10.1016/j.jvolgeores.2014.05.023")</f>
        <v>http://dx.doi.org/10.1016/j.jvolgeores.2014.05.023</v>
      </c>
      <c r="BG295" t="s">
        <v>74</v>
      </c>
      <c r="BH295" t="s">
        <v>74</v>
      </c>
      <c r="BI295">
        <v>8</v>
      </c>
      <c r="BJ295" t="s">
        <v>685</v>
      </c>
      <c r="BK295" t="s">
        <v>102</v>
      </c>
      <c r="BL295" t="s">
        <v>686</v>
      </c>
      <c r="BM295" t="s">
        <v>5909</v>
      </c>
      <c r="BN295" t="s">
        <v>74</v>
      </c>
      <c r="BO295" t="s">
        <v>74</v>
      </c>
      <c r="BP295" t="s">
        <v>74</v>
      </c>
      <c r="BQ295" t="s">
        <v>74</v>
      </c>
      <c r="BR295" t="s">
        <v>105</v>
      </c>
      <c r="BS295" t="s">
        <v>5910</v>
      </c>
      <c r="BT295" t="str">
        <f>HYPERLINK("https%3A%2F%2Fwww.webofscience.com%2Fwos%2Fwoscc%2Ffull-record%2FWOS:000340309400001","View Full Record in Web of Science")</f>
        <v>View Full Record in Web of Science</v>
      </c>
    </row>
    <row r="296" spans="1:72" x14ac:dyDescent="0.15">
      <c r="A296" t="s">
        <v>72</v>
      </c>
      <c r="B296" t="s">
        <v>5911</v>
      </c>
      <c r="C296" t="s">
        <v>74</v>
      </c>
      <c r="D296" t="s">
        <v>74</v>
      </c>
      <c r="E296" t="s">
        <v>74</v>
      </c>
      <c r="F296" t="s">
        <v>5912</v>
      </c>
      <c r="G296" t="s">
        <v>74</v>
      </c>
      <c r="H296" t="s">
        <v>74</v>
      </c>
      <c r="I296" t="s">
        <v>5913</v>
      </c>
      <c r="J296" t="s">
        <v>5914</v>
      </c>
      <c r="K296" t="s">
        <v>74</v>
      </c>
      <c r="L296" t="s">
        <v>74</v>
      </c>
      <c r="M296" t="s">
        <v>78</v>
      </c>
      <c r="N296" t="s">
        <v>79</v>
      </c>
      <c r="O296" t="s">
        <v>74</v>
      </c>
      <c r="P296" t="s">
        <v>74</v>
      </c>
      <c r="Q296" t="s">
        <v>74</v>
      </c>
      <c r="R296" t="s">
        <v>74</v>
      </c>
      <c r="S296" t="s">
        <v>74</v>
      </c>
      <c r="T296" t="s">
        <v>74</v>
      </c>
      <c r="U296" t="s">
        <v>5915</v>
      </c>
      <c r="V296" t="s">
        <v>5916</v>
      </c>
      <c r="W296" t="s">
        <v>5917</v>
      </c>
      <c r="X296" t="s">
        <v>5918</v>
      </c>
      <c r="Y296" t="s">
        <v>5919</v>
      </c>
      <c r="Z296" t="s">
        <v>5920</v>
      </c>
      <c r="AA296" t="s">
        <v>5921</v>
      </c>
      <c r="AB296" t="s">
        <v>5922</v>
      </c>
      <c r="AC296" t="s">
        <v>5923</v>
      </c>
      <c r="AD296" t="s">
        <v>5924</v>
      </c>
      <c r="AE296" t="s">
        <v>5925</v>
      </c>
      <c r="AF296" t="s">
        <v>74</v>
      </c>
      <c r="AG296">
        <v>70</v>
      </c>
      <c r="AH296">
        <v>5</v>
      </c>
      <c r="AI296">
        <v>6</v>
      </c>
      <c r="AJ296">
        <v>0</v>
      </c>
      <c r="AK296">
        <v>68</v>
      </c>
      <c r="AL296" t="s">
        <v>304</v>
      </c>
      <c r="AM296" t="s">
        <v>305</v>
      </c>
      <c r="AN296" t="s">
        <v>306</v>
      </c>
      <c r="AO296" t="s">
        <v>5926</v>
      </c>
      <c r="AP296" t="s">
        <v>5927</v>
      </c>
      <c r="AQ296" t="s">
        <v>74</v>
      </c>
      <c r="AR296" t="s">
        <v>5928</v>
      </c>
      <c r="AS296" t="s">
        <v>5929</v>
      </c>
      <c r="AT296" t="s">
        <v>4934</v>
      </c>
      <c r="AU296">
        <v>2014</v>
      </c>
      <c r="AV296">
        <v>161</v>
      </c>
      <c r="AW296">
        <v>8</v>
      </c>
      <c r="AX296" t="s">
        <v>74</v>
      </c>
      <c r="AY296" t="s">
        <v>74</v>
      </c>
      <c r="AZ296" t="s">
        <v>74</v>
      </c>
      <c r="BA296" t="s">
        <v>74</v>
      </c>
      <c r="BB296">
        <v>1799</v>
      </c>
      <c r="BC296">
        <v>1808</v>
      </c>
      <c r="BD296" t="s">
        <v>74</v>
      </c>
      <c r="BE296" t="s">
        <v>5930</v>
      </c>
      <c r="BF296" t="str">
        <f>HYPERLINK("http://dx.doi.org/10.1007/s00227-014-2462-2","http://dx.doi.org/10.1007/s00227-014-2462-2")</f>
        <v>http://dx.doi.org/10.1007/s00227-014-2462-2</v>
      </c>
      <c r="BG296" t="s">
        <v>74</v>
      </c>
      <c r="BH296" t="s">
        <v>74</v>
      </c>
      <c r="BI296">
        <v>10</v>
      </c>
      <c r="BJ296" t="s">
        <v>130</v>
      </c>
      <c r="BK296" t="s">
        <v>102</v>
      </c>
      <c r="BL296" t="s">
        <v>130</v>
      </c>
      <c r="BM296" t="s">
        <v>5931</v>
      </c>
      <c r="BN296" t="s">
        <v>74</v>
      </c>
      <c r="BO296" t="s">
        <v>5932</v>
      </c>
      <c r="BP296" t="s">
        <v>74</v>
      </c>
      <c r="BQ296" t="s">
        <v>74</v>
      </c>
      <c r="BR296" t="s">
        <v>105</v>
      </c>
      <c r="BS296" t="s">
        <v>5933</v>
      </c>
      <c r="BT296" t="str">
        <f>HYPERLINK("https%3A%2F%2Fwww.webofscience.com%2Fwos%2Fwoscc%2Ffull-record%2FWOS:000339900700010","View Full Record in Web of Science")</f>
        <v>View Full Record in Web of Science</v>
      </c>
    </row>
    <row r="297" spans="1:72" x14ac:dyDescent="0.15">
      <c r="A297" t="s">
        <v>72</v>
      </c>
      <c r="B297" t="s">
        <v>5934</v>
      </c>
      <c r="C297" t="s">
        <v>74</v>
      </c>
      <c r="D297" t="s">
        <v>74</v>
      </c>
      <c r="E297" t="s">
        <v>74</v>
      </c>
      <c r="F297" t="s">
        <v>5935</v>
      </c>
      <c r="G297" t="s">
        <v>74</v>
      </c>
      <c r="H297" t="s">
        <v>74</v>
      </c>
      <c r="I297" t="s">
        <v>5936</v>
      </c>
      <c r="J297" t="s">
        <v>5937</v>
      </c>
      <c r="K297" t="s">
        <v>74</v>
      </c>
      <c r="L297" t="s">
        <v>74</v>
      </c>
      <c r="M297" t="s">
        <v>78</v>
      </c>
      <c r="N297" t="s">
        <v>79</v>
      </c>
      <c r="O297" t="s">
        <v>74</v>
      </c>
      <c r="P297" t="s">
        <v>74</v>
      </c>
      <c r="Q297" t="s">
        <v>74</v>
      </c>
      <c r="R297" t="s">
        <v>74</v>
      </c>
      <c r="S297" t="s">
        <v>74</v>
      </c>
      <c r="T297" t="s">
        <v>5938</v>
      </c>
      <c r="U297" t="s">
        <v>74</v>
      </c>
      <c r="V297" t="s">
        <v>5939</v>
      </c>
      <c r="W297" t="s">
        <v>5940</v>
      </c>
      <c r="X297" t="s">
        <v>5941</v>
      </c>
      <c r="Y297" t="s">
        <v>5942</v>
      </c>
      <c r="Z297" t="s">
        <v>5943</v>
      </c>
      <c r="AA297" t="s">
        <v>5944</v>
      </c>
      <c r="AB297" t="s">
        <v>5945</v>
      </c>
      <c r="AC297" t="s">
        <v>5946</v>
      </c>
      <c r="AD297" t="s">
        <v>5947</v>
      </c>
      <c r="AE297" t="s">
        <v>5948</v>
      </c>
      <c r="AF297" t="s">
        <v>74</v>
      </c>
      <c r="AG297">
        <v>6</v>
      </c>
      <c r="AH297">
        <v>2</v>
      </c>
      <c r="AI297">
        <v>2</v>
      </c>
      <c r="AJ297">
        <v>1</v>
      </c>
      <c r="AK297">
        <v>23</v>
      </c>
      <c r="AL297" t="s">
        <v>1764</v>
      </c>
      <c r="AM297" t="s">
        <v>1765</v>
      </c>
      <c r="AN297" t="s">
        <v>3608</v>
      </c>
      <c r="AO297" t="s">
        <v>5949</v>
      </c>
      <c r="AP297" t="s">
        <v>5950</v>
      </c>
      <c r="AQ297" t="s">
        <v>74</v>
      </c>
      <c r="AR297" t="s">
        <v>5951</v>
      </c>
      <c r="AS297" t="s">
        <v>5952</v>
      </c>
      <c r="AT297" t="s">
        <v>4934</v>
      </c>
      <c r="AU297">
        <v>2014</v>
      </c>
      <c r="AV297">
        <v>25</v>
      </c>
      <c r="AW297">
        <v>4</v>
      </c>
      <c r="AX297" t="s">
        <v>74</v>
      </c>
      <c r="AY297" t="s">
        <v>74</v>
      </c>
      <c r="AZ297" t="s">
        <v>74</v>
      </c>
      <c r="BA297" t="s">
        <v>74</v>
      </c>
      <c r="BB297">
        <v>271</v>
      </c>
      <c r="BC297">
        <v>272</v>
      </c>
      <c r="BD297" t="s">
        <v>74</v>
      </c>
      <c r="BE297" t="s">
        <v>5953</v>
      </c>
      <c r="BF297" t="str">
        <f>HYPERLINK("http://dx.doi.org/10.3109/19401736.2013.800503","http://dx.doi.org/10.3109/19401736.2013.800503")</f>
        <v>http://dx.doi.org/10.3109/19401736.2013.800503</v>
      </c>
      <c r="BG297" t="s">
        <v>74</v>
      </c>
      <c r="BH297" t="s">
        <v>74</v>
      </c>
      <c r="BI297">
        <v>2</v>
      </c>
      <c r="BJ297" t="s">
        <v>5954</v>
      </c>
      <c r="BK297" t="s">
        <v>102</v>
      </c>
      <c r="BL297" t="s">
        <v>5954</v>
      </c>
      <c r="BM297" t="s">
        <v>5955</v>
      </c>
      <c r="BN297">
        <v>23795836</v>
      </c>
      <c r="BO297" t="s">
        <v>359</v>
      </c>
      <c r="BP297" t="s">
        <v>74</v>
      </c>
      <c r="BQ297" t="s">
        <v>74</v>
      </c>
      <c r="BR297" t="s">
        <v>105</v>
      </c>
      <c r="BS297" t="s">
        <v>5956</v>
      </c>
      <c r="BT297" t="str">
        <f>HYPERLINK("https%3A%2F%2Fwww.webofscience.com%2Fwos%2Fwoscc%2Ffull-record%2FWOS:000340136500014","View Full Record in Web of Science")</f>
        <v>View Full Record in Web of Science</v>
      </c>
    </row>
    <row r="298" spans="1:72" x14ac:dyDescent="0.15">
      <c r="A298" t="s">
        <v>72</v>
      </c>
      <c r="B298" t="s">
        <v>5957</v>
      </c>
      <c r="C298" t="s">
        <v>74</v>
      </c>
      <c r="D298" t="s">
        <v>74</v>
      </c>
      <c r="E298" t="s">
        <v>74</v>
      </c>
      <c r="F298" t="s">
        <v>5958</v>
      </c>
      <c r="G298" t="s">
        <v>74</v>
      </c>
      <c r="H298" t="s">
        <v>74</v>
      </c>
      <c r="I298" t="s">
        <v>5959</v>
      </c>
      <c r="J298" t="s">
        <v>692</v>
      </c>
      <c r="K298" t="s">
        <v>74</v>
      </c>
      <c r="L298" t="s">
        <v>74</v>
      </c>
      <c r="M298" t="s">
        <v>78</v>
      </c>
      <c r="N298" t="s">
        <v>79</v>
      </c>
      <c r="O298" t="s">
        <v>74</v>
      </c>
      <c r="P298" t="s">
        <v>74</v>
      </c>
      <c r="Q298" t="s">
        <v>74</v>
      </c>
      <c r="R298" t="s">
        <v>74</v>
      </c>
      <c r="S298" t="s">
        <v>74</v>
      </c>
      <c r="T298" t="s">
        <v>5960</v>
      </c>
      <c r="U298" t="s">
        <v>5961</v>
      </c>
      <c r="V298" t="s">
        <v>5962</v>
      </c>
      <c r="W298" t="s">
        <v>5963</v>
      </c>
      <c r="X298" t="s">
        <v>5964</v>
      </c>
      <c r="Y298" t="s">
        <v>5965</v>
      </c>
      <c r="Z298" t="s">
        <v>5966</v>
      </c>
      <c r="AA298" t="s">
        <v>5967</v>
      </c>
      <c r="AB298" t="s">
        <v>5968</v>
      </c>
      <c r="AC298" t="s">
        <v>5969</v>
      </c>
      <c r="AD298" t="s">
        <v>5970</v>
      </c>
      <c r="AE298" t="s">
        <v>5971</v>
      </c>
      <c r="AF298" t="s">
        <v>74</v>
      </c>
      <c r="AG298">
        <v>41</v>
      </c>
      <c r="AH298">
        <v>59</v>
      </c>
      <c r="AI298">
        <v>66</v>
      </c>
      <c r="AJ298">
        <v>0</v>
      </c>
      <c r="AK298">
        <v>21</v>
      </c>
      <c r="AL298" t="s">
        <v>601</v>
      </c>
      <c r="AM298" t="s">
        <v>251</v>
      </c>
      <c r="AN298" t="s">
        <v>602</v>
      </c>
      <c r="AO298" t="s">
        <v>705</v>
      </c>
      <c r="AP298" t="s">
        <v>706</v>
      </c>
      <c r="AQ298" t="s">
        <v>74</v>
      </c>
      <c r="AR298" t="s">
        <v>707</v>
      </c>
      <c r="AS298" t="s">
        <v>708</v>
      </c>
      <c r="AT298" t="s">
        <v>4934</v>
      </c>
      <c r="AU298">
        <v>2014</v>
      </c>
      <c r="AV298">
        <v>80</v>
      </c>
      <c r="AW298" t="s">
        <v>74</v>
      </c>
      <c r="AX298" t="s">
        <v>74</v>
      </c>
      <c r="AY298" t="s">
        <v>74</v>
      </c>
      <c r="AZ298" t="s">
        <v>74</v>
      </c>
      <c r="BA298" t="s">
        <v>74</v>
      </c>
      <c r="BB298">
        <v>10</v>
      </c>
      <c r="BC298">
        <v>23</v>
      </c>
      <c r="BD298" t="s">
        <v>74</v>
      </c>
      <c r="BE298" t="s">
        <v>5972</v>
      </c>
      <c r="BF298" t="str">
        <f>HYPERLINK("http://dx.doi.org/10.1016/j.ocemod.2014.05.001","http://dx.doi.org/10.1016/j.ocemod.2014.05.001")</f>
        <v>http://dx.doi.org/10.1016/j.ocemod.2014.05.001</v>
      </c>
      <c r="BG298" t="s">
        <v>74</v>
      </c>
      <c r="BH298" t="s">
        <v>74</v>
      </c>
      <c r="BI298">
        <v>14</v>
      </c>
      <c r="BJ298" t="s">
        <v>710</v>
      </c>
      <c r="BK298" t="s">
        <v>102</v>
      </c>
      <c r="BL298" t="s">
        <v>710</v>
      </c>
      <c r="BM298" t="s">
        <v>5973</v>
      </c>
      <c r="BN298" t="s">
        <v>74</v>
      </c>
      <c r="BO298" t="s">
        <v>74</v>
      </c>
      <c r="BP298" t="s">
        <v>74</v>
      </c>
      <c r="BQ298" t="s">
        <v>74</v>
      </c>
      <c r="BR298" t="s">
        <v>105</v>
      </c>
      <c r="BS298" t="s">
        <v>5974</v>
      </c>
      <c r="BT298" t="str">
        <f>HYPERLINK("https%3A%2F%2Fwww.webofscience.com%2Fwos%2Fwoscc%2Ffull-record%2FWOS:000340310300002","View Full Record in Web of Science")</f>
        <v>View Full Record in Web of Science</v>
      </c>
    </row>
    <row r="299" spans="1:72" x14ac:dyDescent="0.15">
      <c r="A299" t="s">
        <v>72</v>
      </c>
      <c r="B299" t="s">
        <v>5975</v>
      </c>
      <c r="C299" t="s">
        <v>74</v>
      </c>
      <c r="D299" t="s">
        <v>74</v>
      </c>
      <c r="E299" t="s">
        <v>74</v>
      </c>
      <c r="F299" t="s">
        <v>5976</v>
      </c>
      <c r="G299" t="s">
        <v>74</v>
      </c>
      <c r="H299" t="s">
        <v>74</v>
      </c>
      <c r="I299" t="s">
        <v>5977</v>
      </c>
      <c r="J299" t="s">
        <v>5978</v>
      </c>
      <c r="K299" t="s">
        <v>74</v>
      </c>
      <c r="L299" t="s">
        <v>74</v>
      </c>
      <c r="M299" t="s">
        <v>78</v>
      </c>
      <c r="N299" t="s">
        <v>79</v>
      </c>
      <c r="O299" t="s">
        <v>74</v>
      </c>
      <c r="P299" t="s">
        <v>74</v>
      </c>
      <c r="Q299" t="s">
        <v>74</v>
      </c>
      <c r="R299" t="s">
        <v>74</v>
      </c>
      <c r="S299" t="s">
        <v>74</v>
      </c>
      <c r="T299" t="s">
        <v>5979</v>
      </c>
      <c r="U299" t="s">
        <v>5980</v>
      </c>
      <c r="V299" t="s">
        <v>5981</v>
      </c>
      <c r="W299" t="s">
        <v>5982</v>
      </c>
      <c r="X299" t="s">
        <v>5983</v>
      </c>
      <c r="Y299" t="s">
        <v>5984</v>
      </c>
      <c r="Z299" t="s">
        <v>5985</v>
      </c>
      <c r="AA299" t="s">
        <v>74</v>
      </c>
      <c r="AB299" t="s">
        <v>74</v>
      </c>
      <c r="AC299" t="s">
        <v>5986</v>
      </c>
      <c r="AD299" t="s">
        <v>5987</v>
      </c>
      <c r="AE299" t="s">
        <v>5988</v>
      </c>
      <c r="AF299" t="s">
        <v>74</v>
      </c>
      <c r="AG299">
        <v>41</v>
      </c>
      <c r="AH299">
        <v>11</v>
      </c>
      <c r="AI299">
        <v>11</v>
      </c>
      <c r="AJ299">
        <v>0</v>
      </c>
      <c r="AK299">
        <v>39</v>
      </c>
      <c r="AL299" t="s">
        <v>2353</v>
      </c>
      <c r="AM299" t="s">
        <v>1293</v>
      </c>
      <c r="AN299" t="s">
        <v>5989</v>
      </c>
      <c r="AO299" t="s">
        <v>5990</v>
      </c>
      <c r="AP299" t="s">
        <v>5991</v>
      </c>
      <c r="AQ299" t="s">
        <v>74</v>
      </c>
      <c r="AR299" t="s">
        <v>5992</v>
      </c>
      <c r="AS299" t="s">
        <v>5993</v>
      </c>
      <c r="AT299" t="s">
        <v>4934</v>
      </c>
      <c r="AU299">
        <v>2014</v>
      </c>
      <c r="AV299">
        <v>73</v>
      </c>
      <c r="AW299">
        <v>3</v>
      </c>
      <c r="AX299" t="s">
        <v>74</v>
      </c>
      <c r="AY299" t="s">
        <v>74</v>
      </c>
      <c r="AZ299" t="s">
        <v>74</v>
      </c>
      <c r="BA299" t="s">
        <v>74</v>
      </c>
      <c r="BB299">
        <v>376</v>
      </c>
      <c r="BC299">
        <v>384</v>
      </c>
      <c r="BD299" t="s">
        <v>74</v>
      </c>
      <c r="BE299" t="s">
        <v>5994</v>
      </c>
      <c r="BF299" t="str">
        <f>HYPERLINK("http://dx.doi.org/10.1017/S0029665114000123","http://dx.doi.org/10.1017/S0029665114000123")</f>
        <v>http://dx.doi.org/10.1017/S0029665114000123</v>
      </c>
      <c r="BG299" t="s">
        <v>74</v>
      </c>
      <c r="BH299" t="s">
        <v>74</v>
      </c>
      <c r="BI299">
        <v>9</v>
      </c>
      <c r="BJ299" t="s">
        <v>2219</v>
      </c>
      <c r="BK299" t="s">
        <v>102</v>
      </c>
      <c r="BL299" t="s">
        <v>2219</v>
      </c>
      <c r="BM299" t="s">
        <v>5995</v>
      </c>
      <c r="BN299">
        <v>24886839</v>
      </c>
      <c r="BO299" t="s">
        <v>179</v>
      </c>
      <c r="BP299" t="s">
        <v>74</v>
      </c>
      <c r="BQ299" t="s">
        <v>74</v>
      </c>
      <c r="BR299" t="s">
        <v>105</v>
      </c>
      <c r="BS299" t="s">
        <v>5996</v>
      </c>
      <c r="BT299" t="str">
        <f>HYPERLINK("https%3A%2F%2Fwww.webofscience.com%2Fwos%2Fwoscc%2Ffull-record%2FWOS:000340177700003","View Full Record in Web of Science")</f>
        <v>View Full Record in Web of Science</v>
      </c>
    </row>
    <row r="300" spans="1:72" x14ac:dyDescent="0.15">
      <c r="A300" t="s">
        <v>72</v>
      </c>
      <c r="B300" t="s">
        <v>5997</v>
      </c>
      <c r="C300" t="s">
        <v>74</v>
      </c>
      <c r="D300" t="s">
        <v>74</v>
      </c>
      <c r="E300" t="s">
        <v>74</v>
      </c>
      <c r="F300" t="s">
        <v>5998</v>
      </c>
      <c r="G300" t="s">
        <v>74</v>
      </c>
      <c r="H300" t="s">
        <v>74</v>
      </c>
      <c r="I300" t="s">
        <v>5999</v>
      </c>
      <c r="J300" t="s">
        <v>6000</v>
      </c>
      <c r="K300" t="s">
        <v>74</v>
      </c>
      <c r="L300" t="s">
        <v>74</v>
      </c>
      <c r="M300" t="s">
        <v>78</v>
      </c>
      <c r="N300" t="s">
        <v>79</v>
      </c>
      <c r="O300" t="s">
        <v>74</v>
      </c>
      <c r="P300" t="s">
        <v>74</v>
      </c>
      <c r="Q300" t="s">
        <v>74</v>
      </c>
      <c r="R300" t="s">
        <v>74</v>
      </c>
      <c r="S300" t="s">
        <v>74</v>
      </c>
      <c r="T300" t="s">
        <v>6001</v>
      </c>
      <c r="U300" t="s">
        <v>6002</v>
      </c>
      <c r="V300" t="s">
        <v>6003</v>
      </c>
      <c r="W300" t="s">
        <v>6004</v>
      </c>
      <c r="X300" t="s">
        <v>6005</v>
      </c>
      <c r="Y300" t="s">
        <v>6006</v>
      </c>
      <c r="Z300" t="s">
        <v>6007</v>
      </c>
      <c r="AA300" t="s">
        <v>74</v>
      </c>
      <c r="AB300" t="s">
        <v>74</v>
      </c>
      <c r="AC300" t="s">
        <v>6008</v>
      </c>
      <c r="AD300" t="s">
        <v>6009</v>
      </c>
      <c r="AE300" t="s">
        <v>6010</v>
      </c>
      <c r="AF300" t="s">
        <v>74</v>
      </c>
      <c r="AG300">
        <v>84</v>
      </c>
      <c r="AH300">
        <v>8</v>
      </c>
      <c r="AI300">
        <v>10</v>
      </c>
      <c r="AJ300">
        <v>1</v>
      </c>
      <c r="AK300">
        <v>29</v>
      </c>
      <c r="AL300" t="s">
        <v>250</v>
      </c>
      <c r="AM300" t="s">
        <v>251</v>
      </c>
      <c r="AN300" t="s">
        <v>252</v>
      </c>
      <c r="AO300" t="s">
        <v>6011</v>
      </c>
      <c r="AP300" t="s">
        <v>6012</v>
      </c>
      <c r="AQ300" t="s">
        <v>74</v>
      </c>
      <c r="AR300" t="s">
        <v>6013</v>
      </c>
      <c r="AS300" t="s">
        <v>6014</v>
      </c>
      <c r="AT300" t="s">
        <v>4956</v>
      </c>
      <c r="AU300">
        <v>2014</v>
      </c>
      <c r="AV300">
        <v>84</v>
      </c>
      <c r="AW300" t="s">
        <v>74</v>
      </c>
      <c r="AX300" t="s">
        <v>74</v>
      </c>
      <c r="AY300" t="s">
        <v>74</v>
      </c>
      <c r="AZ300" t="s">
        <v>74</v>
      </c>
      <c r="BA300" t="s">
        <v>74</v>
      </c>
      <c r="BB300">
        <v>54</v>
      </c>
      <c r="BC300">
        <v>69</v>
      </c>
      <c r="BD300" t="s">
        <v>74</v>
      </c>
      <c r="BE300" t="s">
        <v>6015</v>
      </c>
      <c r="BF300" t="str">
        <f>HYPERLINK("http://dx.doi.org/10.1016/j.csr.2014.05.011","http://dx.doi.org/10.1016/j.csr.2014.05.011")</f>
        <v>http://dx.doi.org/10.1016/j.csr.2014.05.011</v>
      </c>
      <c r="BG300" t="s">
        <v>74</v>
      </c>
      <c r="BH300" t="s">
        <v>74</v>
      </c>
      <c r="BI300">
        <v>16</v>
      </c>
      <c r="BJ300" t="s">
        <v>152</v>
      </c>
      <c r="BK300" t="s">
        <v>102</v>
      </c>
      <c r="BL300" t="s">
        <v>152</v>
      </c>
      <c r="BM300" t="s">
        <v>6016</v>
      </c>
      <c r="BN300" t="s">
        <v>74</v>
      </c>
      <c r="BO300" t="s">
        <v>74</v>
      </c>
      <c r="BP300" t="s">
        <v>74</v>
      </c>
      <c r="BQ300" t="s">
        <v>74</v>
      </c>
      <c r="BR300" t="s">
        <v>105</v>
      </c>
      <c r="BS300" t="s">
        <v>6017</v>
      </c>
      <c r="BT300" t="str">
        <f>HYPERLINK("https%3A%2F%2Fwww.webofscience.com%2Fwos%2Fwoscc%2Ffull-record%2FWOS:000339696200006","View Full Record in Web of Science")</f>
        <v>View Full Record in Web of Science</v>
      </c>
    </row>
    <row r="301" spans="1:72" x14ac:dyDescent="0.15">
      <c r="A301" t="s">
        <v>72</v>
      </c>
      <c r="B301" t="s">
        <v>6018</v>
      </c>
      <c r="C301" t="s">
        <v>74</v>
      </c>
      <c r="D301" t="s">
        <v>74</v>
      </c>
      <c r="E301" t="s">
        <v>74</v>
      </c>
      <c r="F301" t="s">
        <v>6019</v>
      </c>
      <c r="G301" t="s">
        <v>74</v>
      </c>
      <c r="H301" t="s">
        <v>74</v>
      </c>
      <c r="I301" t="s">
        <v>6020</v>
      </c>
      <c r="J301" t="s">
        <v>6021</v>
      </c>
      <c r="K301" t="s">
        <v>74</v>
      </c>
      <c r="L301" t="s">
        <v>74</v>
      </c>
      <c r="M301" t="s">
        <v>78</v>
      </c>
      <c r="N301" t="s">
        <v>79</v>
      </c>
      <c r="O301" t="s">
        <v>74</v>
      </c>
      <c r="P301" t="s">
        <v>74</v>
      </c>
      <c r="Q301" t="s">
        <v>74</v>
      </c>
      <c r="R301" t="s">
        <v>74</v>
      </c>
      <c r="S301" t="s">
        <v>74</v>
      </c>
      <c r="T301" t="s">
        <v>6022</v>
      </c>
      <c r="U301" t="s">
        <v>6023</v>
      </c>
      <c r="V301" t="s">
        <v>6024</v>
      </c>
      <c r="W301" t="s">
        <v>6025</v>
      </c>
      <c r="X301" t="s">
        <v>6026</v>
      </c>
      <c r="Y301" t="s">
        <v>6027</v>
      </c>
      <c r="Z301" t="s">
        <v>6028</v>
      </c>
      <c r="AA301" t="s">
        <v>6029</v>
      </c>
      <c r="AB301" t="s">
        <v>6030</v>
      </c>
      <c r="AC301" t="s">
        <v>6031</v>
      </c>
      <c r="AD301" t="s">
        <v>6032</v>
      </c>
      <c r="AE301" t="s">
        <v>6033</v>
      </c>
      <c r="AF301" t="s">
        <v>74</v>
      </c>
      <c r="AG301">
        <v>48</v>
      </c>
      <c r="AH301">
        <v>23</v>
      </c>
      <c r="AI301">
        <v>25</v>
      </c>
      <c r="AJ301">
        <v>1</v>
      </c>
      <c r="AK301">
        <v>14</v>
      </c>
      <c r="AL301" t="s">
        <v>2571</v>
      </c>
      <c r="AM301" t="s">
        <v>654</v>
      </c>
      <c r="AN301" t="s">
        <v>2572</v>
      </c>
      <c r="AO301" t="s">
        <v>6034</v>
      </c>
      <c r="AP301" t="s">
        <v>6035</v>
      </c>
      <c r="AQ301" t="s">
        <v>74</v>
      </c>
      <c r="AR301" t="s">
        <v>6036</v>
      </c>
      <c r="AS301" t="s">
        <v>6037</v>
      </c>
      <c r="AT301" t="s">
        <v>4934</v>
      </c>
      <c r="AU301">
        <v>2014</v>
      </c>
      <c r="AV301">
        <v>39</v>
      </c>
      <c r="AW301">
        <v>2</v>
      </c>
      <c r="AX301" t="s">
        <v>74</v>
      </c>
      <c r="AY301" t="s">
        <v>74</v>
      </c>
      <c r="AZ301" t="s">
        <v>74</v>
      </c>
      <c r="BA301" t="s">
        <v>74</v>
      </c>
      <c r="BB301">
        <v>206</v>
      </c>
      <c r="BC301">
        <v>214</v>
      </c>
      <c r="BD301" t="s">
        <v>74</v>
      </c>
      <c r="BE301" t="s">
        <v>6038</v>
      </c>
      <c r="BF301" t="str">
        <f>HYPERLINK("http://dx.doi.org/10.1016/j.fsi.2014.04.019","http://dx.doi.org/10.1016/j.fsi.2014.04.019")</f>
        <v>http://dx.doi.org/10.1016/j.fsi.2014.04.019</v>
      </c>
      <c r="BG301" t="s">
        <v>74</v>
      </c>
      <c r="BH301" t="s">
        <v>74</v>
      </c>
      <c r="BI301">
        <v>9</v>
      </c>
      <c r="BJ301" t="s">
        <v>6039</v>
      </c>
      <c r="BK301" t="s">
        <v>102</v>
      </c>
      <c r="BL301" t="s">
        <v>6039</v>
      </c>
      <c r="BM301" t="s">
        <v>6040</v>
      </c>
      <c r="BN301">
        <v>24821425</v>
      </c>
      <c r="BO301" t="s">
        <v>74</v>
      </c>
      <c r="BP301" t="s">
        <v>74</v>
      </c>
      <c r="BQ301" t="s">
        <v>74</v>
      </c>
      <c r="BR301" t="s">
        <v>105</v>
      </c>
      <c r="BS301" t="s">
        <v>6041</v>
      </c>
      <c r="BT301" t="str">
        <f>HYPERLINK("https%3A%2F%2Fwww.webofscience.com%2Fwos%2Fwoscc%2Ffull-record%2FWOS:000339773000012","View Full Record in Web of Science")</f>
        <v>View Full Record in Web of Science</v>
      </c>
    </row>
    <row r="302" spans="1:72" x14ac:dyDescent="0.15">
      <c r="A302" t="s">
        <v>72</v>
      </c>
      <c r="B302" t="s">
        <v>6042</v>
      </c>
      <c r="C302" t="s">
        <v>74</v>
      </c>
      <c r="D302" t="s">
        <v>74</v>
      </c>
      <c r="E302" t="s">
        <v>74</v>
      </c>
      <c r="F302" t="s">
        <v>6043</v>
      </c>
      <c r="G302" t="s">
        <v>74</v>
      </c>
      <c r="H302" t="s">
        <v>74</v>
      </c>
      <c r="I302" t="s">
        <v>6044</v>
      </c>
      <c r="J302" t="s">
        <v>6045</v>
      </c>
      <c r="K302" t="s">
        <v>74</v>
      </c>
      <c r="L302" t="s">
        <v>74</v>
      </c>
      <c r="M302" t="s">
        <v>78</v>
      </c>
      <c r="N302" t="s">
        <v>185</v>
      </c>
      <c r="O302" t="s">
        <v>74</v>
      </c>
      <c r="P302" t="s">
        <v>74</v>
      </c>
      <c r="Q302" t="s">
        <v>74</v>
      </c>
      <c r="R302" t="s">
        <v>74</v>
      </c>
      <c r="S302" t="s">
        <v>74</v>
      </c>
      <c r="T302" t="s">
        <v>6046</v>
      </c>
      <c r="U302" t="s">
        <v>6047</v>
      </c>
      <c r="V302" t="s">
        <v>6048</v>
      </c>
      <c r="W302" t="s">
        <v>6049</v>
      </c>
      <c r="X302" t="s">
        <v>6050</v>
      </c>
      <c r="Y302" t="s">
        <v>6051</v>
      </c>
      <c r="Z302" t="s">
        <v>6052</v>
      </c>
      <c r="AA302" t="s">
        <v>6053</v>
      </c>
      <c r="AB302" t="s">
        <v>6054</v>
      </c>
      <c r="AC302" t="s">
        <v>6055</v>
      </c>
      <c r="AD302" t="s">
        <v>6056</v>
      </c>
      <c r="AE302" t="s">
        <v>6057</v>
      </c>
      <c r="AF302" t="s">
        <v>74</v>
      </c>
      <c r="AG302">
        <v>74</v>
      </c>
      <c r="AH302">
        <v>28</v>
      </c>
      <c r="AI302">
        <v>33</v>
      </c>
      <c r="AJ302">
        <v>0</v>
      </c>
      <c r="AK302">
        <v>17</v>
      </c>
      <c r="AL302" t="s">
        <v>2190</v>
      </c>
      <c r="AM302" t="s">
        <v>576</v>
      </c>
      <c r="AN302" t="s">
        <v>6058</v>
      </c>
      <c r="AO302" t="s">
        <v>6059</v>
      </c>
      <c r="AP302" t="s">
        <v>6060</v>
      </c>
      <c r="AQ302" t="s">
        <v>74</v>
      </c>
      <c r="AR302" t="s">
        <v>6061</v>
      </c>
      <c r="AS302" t="s">
        <v>6062</v>
      </c>
      <c r="AT302" t="s">
        <v>4934</v>
      </c>
      <c r="AU302">
        <v>2014</v>
      </c>
      <c r="AV302">
        <v>73</v>
      </c>
      <c r="AW302" t="s">
        <v>74</v>
      </c>
      <c r="AX302" t="s">
        <v>74</v>
      </c>
      <c r="AY302" t="s">
        <v>74</v>
      </c>
      <c r="AZ302" t="s">
        <v>74</v>
      </c>
      <c r="BA302" t="s">
        <v>74</v>
      </c>
      <c r="BB302">
        <v>136</v>
      </c>
      <c r="BC302">
        <v>142</v>
      </c>
      <c r="BD302" t="s">
        <v>74</v>
      </c>
      <c r="BE302" t="s">
        <v>6063</v>
      </c>
      <c r="BF302" t="str">
        <f>HYPERLINK("http://dx.doi.org/10.1016/j.freeradbiomed.2014.04.019","http://dx.doi.org/10.1016/j.freeradbiomed.2014.04.019")</f>
        <v>http://dx.doi.org/10.1016/j.freeradbiomed.2014.04.019</v>
      </c>
      <c r="BG302" t="s">
        <v>74</v>
      </c>
      <c r="BH302" t="s">
        <v>74</v>
      </c>
      <c r="BI302">
        <v>7</v>
      </c>
      <c r="BJ302" t="s">
        <v>6064</v>
      </c>
      <c r="BK302" t="s">
        <v>102</v>
      </c>
      <c r="BL302" t="s">
        <v>6064</v>
      </c>
      <c r="BM302" t="s">
        <v>6065</v>
      </c>
      <c r="BN302">
        <v>24832680</v>
      </c>
      <c r="BO302" t="s">
        <v>4028</v>
      </c>
      <c r="BP302" t="s">
        <v>74</v>
      </c>
      <c r="BQ302" t="s">
        <v>74</v>
      </c>
      <c r="BR302" t="s">
        <v>105</v>
      </c>
      <c r="BS302" t="s">
        <v>6066</v>
      </c>
      <c r="BT302" t="str">
        <f>HYPERLINK("https%3A%2F%2Fwww.webofscience.com%2Fwos%2Fwoscc%2Ffull-record%2FWOS:000339695600015","View Full Record in Web of Science")</f>
        <v>View Full Record in Web of Science</v>
      </c>
    </row>
    <row r="303" spans="1:72" x14ac:dyDescent="0.15">
      <c r="A303" t="s">
        <v>72</v>
      </c>
      <c r="B303" t="s">
        <v>6067</v>
      </c>
      <c r="C303" t="s">
        <v>74</v>
      </c>
      <c r="D303" t="s">
        <v>74</v>
      </c>
      <c r="E303" t="s">
        <v>74</v>
      </c>
      <c r="F303" t="s">
        <v>6068</v>
      </c>
      <c r="G303" t="s">
        <v>74</v>
      </c>
      <c r="H303" t="s">
        <v>74</v>
      </c>
      <c r="I303" t="s">
        <v>6069</v>
      </c>
      <c r="J303" t="s">
        <v>6070</v>
      </c>
      <c r="K303" t="s">
        <v>74</v>
      </c>
      <c r="L303" t="s">
        <v>74</v>
      </c>
      <c r="M303" t="s">
        <v>78</v>
      </c>
      <c r="N303" t="s">
        <v>79</v>
      </c>
      <c r="O303" t="s">
        <v>74</v>
      </c>
      <c r="P303" t="s">
        <v>74</v>
      </c>
      <c r="Q303" t="s">
        <v>74</v>
      </c>
      <c r="R303" t="s">
        <v>74</v>
      </c>
      <c r="S303" t="s">
        <v>74</v>
      </c>
      <c r="T303" t="s">
        <v>6071</v>
      </c>
      <c r="U303" t="s">
        <v>6072</v>
      </c>
      <c r="V303" t="s">
        <v>6073</v>
      </c>
      <c r="W303" t="s">
        <v>6074</v>
      </c>
      <c r="X303" t="s">
        <v>6075</v>
      </c>
      <c r="Y303" t="s">
        <v>6076</v>
      </c>
      <c r="Z303" t="s">
        <v>6077</v>
      </c>
      <c r="AA303" t="s">
        <v>6078</v>
      </c>
      <c r="AB303" t="s">
        <v>6079</v>
      </c>
      <c r="AC303" t="s">
        <v>6080</v>
      </c>
      <c r="AD303" t="s">
        <v>6081</v>
      </c>
      <c r="AE303" t="s">
        <v>6082</v>
      </c>
      <c r="AF303" t="s">
        <v>74</v>
      </c>
      <c r="AG303">
        <v>49</v>
      </c>
      <c r="AH303">
        <v>27</v>
      </c>
      <c r="AI303">
        <v>28</v>
      </c>
      <c r="AJ303">
        <v>0</v>
      </c>
      <c r="AK303">
        <v>24</v>
      </c>
      <c r="AL303" t="s">
        <v>304</v>
      </c>
      <c r="AM303" t="s">
        <v>305</v>
      </c>
      <c r="AN303" t="s">
        <v>306</v>
      </c>
      <c r="AO303" t="s">
        <v>6083</v>
      </c>
      <c r="AP303" t="s">
        <v>6084</v>
      </c>
      <c r="AQ303" t="s">
        <v>74</v>
      </c>
      <c r="AR303" t="s">
        <v>6085</v>
      </c>
      <c r="AS303" t="s">
        <v>6086</v>
      </c>
      <c r="AT303" t="s">
        <v>4934</v>
      </c>
      <c r="AU303">
        <v>2014</v>
      </c>
      <c r="AV303">
        <v>13</v>
      </c>
      <c r="AW303">
        <v>3</v>
      </c>
      <c r="AX303" t="s">
        <v>74</v>
      </c>
      <c r="AY303" t="s">
        <v>74</v>
      </c>
      <c r="AZ303" t="s">
        <v>74</v>
      </c>
      <c r="BA303" t="s">
        <v>74</v>
      </c>
      <c r="BB303">
        <v>819</v>
      </c>
      <c r="BC303">
        <v>831</v>
      </c>
      <c r="BD303" t="s">
        <v>74</v>
      </c>
      <c r="BE303" t="s">
        <v>6087</v>
      </c>
      <c r="BF303" t="str">
        <f>HYPERLINK("http://dx.doi.org/10.1007/s11557-014-0965-3","http://dx.doi.org/10.1007/s11557-014-0965-3")</f>
        <v>http://dx.doi.org/10.1007/s11557-014-0965-3</v>
      </c>
      <c r="BG303" t="s">
        <v>74</v>
      </c>
      <c r="BH303" t="s">
        <v>74</v>
      </c>
      <c r="BI303">
        <v>13</v>
      </c>
      <c r="BJ303" t="s">
        <v>6088</v>
      </c>
      <c r="BK303" t="s">
        <v>102</v>
      </c>
      <c r="BL303" t="s">
        <v>6088</v>
      </c>
      <c r="BM303" t="s">
        <v>6089</v>
      </c>
      <c r="BN303" t="s">
        <v>74</v>
      </c>
      <c r="BO303" t="s">
        <v>262</v>
      </c>
      <c r="BP303" t="s">
        <v>74</v>
      </c>
      <c r="BQ303" t="s">
        <v>74</v>
      </c>
      <c r="BR303" t="s">
        <v>105</v>
      </c>
      <c r="BS303" t="s">
        <v>6090</v>
      </c>
      <c r="BT303" t="str">
        <f>HYPERLINK("https%3A%2F%2Fwww.webofscience.com%2Fwos%2Fwoscc%2Ffull-record%2FWOS:000339812200033","View Full Record in Web of Science")</f>
        <v>View Full Record in Web of Science</v>
      </c>
    </row>
    <row r="304" spans="1:72" x14ac:dyDescent="0.15">
      <c r="A304" t="s">
        <v>72</v>
      </c>
      <c r="B304" t="s">
        <v>6091</v>
      </c>
      <c r="C304" t="s">
        <v>74</v>
      </c>
      <c r="D304" t="s">
        <v>74</v>
      </c>
      <c r="E304" t="s">
        <v>74</v>
      </c>
      <c r="F304" t="s">
        <v>6092</v>
      </c>
      <c r="G304" t="s">
        <v>74</v>
      </c>
      <c r="H304" t="s">
        <v>74</v>
      </c>
      <c r="I304" t="s">
        <v>6093</v>
      </c>
      <c r="J304" t="s">
        <v>6094</v>
      </c>
      <c r="K304" t="s">
        <v>74</v>
      </c>
      <c r="L304" t="s">
        <v>74</v>
      </c>
      <c r="M304" t="s">
        <v>78</v>
      </c>
      <c r="N304" t="s">
        <v>79</v>
      </c>
      <c r="O304" t="s">
        <v>74</v>
      </c>
      <c r="P304" t="s">
        <v>74</v>
      </c>
      <c r="Q304" t="s">
        <v>74</v>
      </c>
      <c r="R304" t="s">
        <v>74</v>
      </c>
      <c r="S304" t="s">
        <v>74</v>
      </c>
      <c r="T304" t="s">
        <v>6095</v>
      </c>
      <c r="U304" t="s">
        <v>6096</v>
      </c>
      <c r="V304" t="s">
        <v>6097</v>
      </c>
      <c r="W304" t="s">
        <v>6098</v>
      </c>
      <c r="X304" t="s">
        <v>6099</v>
      </c>
      <c r="Y304" t="s">
        <v>6100</v>
      </c>
      <c r="Z304" t="s">
        <v>6101</v>
      </c>
      <c r="AA304" t="s">
        <v>74</v>
      </c>
      <c r="AB304" t="s">
        <v>74</v>
      </c>
      <c r="AC304" t="s">
        <v>74</v>
      </c>
      <c r="AD304" t="s">
        <v>74</v>
      </c>
      <c r="AE304" t="s">
        <v>74</v>
      </c>
      <c r="AF304" t="s">
        <v>74</v>
      </c>
      <c r="AG304">
        <v>45</v>
      </c>
      <c r="AH304">
        <v>8</v>
      </c>
      <c r="AI304">
        <v>9</v>
      </c>
      <c r="AJ304">
        <v>1</v>
      </c>
      <c r="AK304">
        <v>26</v>
      </c>
      <c r="AL304" t="s">
        <v>224</v>
      </c>
      <c r="AM304" t="s">
        <v>576</v>
      </c>
      <c r="AN304" t="s">
        <v>778</v>
      </c>
      <c r="AO304" t="s">
        <v>6102</v>
      </c>
      <c r="AP304" t="s">
        <v>6103</v>
      </c>
      <c r="AQ304" t="s">
        <v>74</v>
      </c>
      <c r="AR304" t="s">
        <v>6104</v>
      </c>
      <c r="AS304" t="s">
        <v>6105</v>
      </c>
      <c r="AT304" t="s">
        <v>4934</v>
      </c>
      <c r="AU304">
        <v>2014</v>
      </c>
      <c r="AV304">
        <v>33</v>
      </c>
      <c r="AW304">
        <v>4</v>
      </c>
      <c r="AX304" t="s">
        <v>74</v>
      </c>
      <c r="AY304" t="s">
        <v>74</v>
      </c>
      <c r="AZ304" t="s">
        <v>74</v>
      </c>
      <c r="BA304" t="s">
        <v>74</v>
      </c>
      <c r="BB304">
        <v>313</v>
      </c>
      <c r="BC304">
        <v>322</v>
      </c>
      <c r="BD304" t="s">
        <v>74</v>
      </c>
      <c r="BE304" t="s">
        <v>6106</v>
      </c>
      <c r="BF304" t="str">
        <f>HYPERLINK("http://dx.doi.org/10.1007/s10930-014-9562-1","http://dx.doi.org/10.1007/s10930-014-9562-1")</f>
        <v>http://dx.doi.org/10.1007/s10930-014-9562-1</v>
      </c>
      <c r="BG304" t="s">
        <v>74</v>
      </c>
      <c r="BH304" t="s">
        <v>74</v>
      </c>
      <c r="BI304">
        <v>10</v>
      </c>
      <c r="BJ304" t="s">
        <v>5720</v>
      </c>
      <c r="BK304" t="s">
        <v>102</v>
      </c>
      <c r="BL304" t="s">
        <v>5720</v>
      </c>
      <c r="BM304" t="s">
        <v>6107</v>
      </c>
      <c r="BN304">
        <v>24801996</v>
      </c>
      <c r="BO304" t="s">
        <v>74</v>
      </c>
      <c r="BP304" t="s">
        <v>74</v>
      </c>
      <c r="BQ304" t="s">
        <v>74</v>
      </c>
      <c r="BR304" t="s">
        <v>105</v>
      </c>
      <c r="BS304" t="s">
        <v>6108</v>
      </c>
      <c r="BT304" t="str">
        <f>HYPERLINK("https%3A%2F%2Fwww.webofscience.com%2Fwos%2Fwoscc%2Ffull-record%2FWOS:000339901900002","View Full Record in Web of Science")</f>
        <v>View Full Record in Web of Science</v>
      </c>
    </row>
    <row r="305" spans="1:72" x14ac:dyDescent="0.15">
      <c r="A305" t="s">
        <v>72</v>
      </c>
      <c r="B305" t="s">
        <v>6109</v>
      </c>
      <c r="C305" t="s">
        <v>74</v>
      </c>
      <c r="D305" t="s">
        <v>74</v>
      </c>
      <c r="E305" t="s">
        <v>74</v>
      </c>
      <c r="F305" t="s">
        <v>6110</v>
      </c>
      <c r="G305" t="s">
        <v>74</v>
      </c>
      <c r="H305" t="s">
        <v>74</v>
      </c>
      <c r="I305" t="s">
        <v>6111</v>
      </c>
      <c r="J305" t="s">
        <v>1458</v>
      </c>
      <c r="K305" t="s">
        <v>74</v>
      </c>
      <c r="L305" t="s">
        <v>74</v>
      </c>
      <c r="M305" t="s">
        <v>78</v>
      </c>
      <c r="N305" t="s">
        <v>79</v>
      </c>
      <c r="O305" t="s">
        <v>74</v>
      </c>
      <c r="P305" t="s">
        <v>74</v>
      </c>
      <c r="Q305" t="s">
        <v>74</v>
      </c>
      <c r="R305" t="s">
        <v>74</v>
      </c>
      <c r="S305" t="s">
        <v>74</v>
      </c>
      <c r="T305" t="s">
        <v>6112</v>
      </c>
      <c r="U305" t="s">
        <v>6113</v>
      </c>
      <c r="V305" t="s">
        <v>6114</v>
      </c>
      <c r="W305" t="s">
        <v>6115</v>
      </c>
      <c r="X305" t="s">
        <v>6116</v>
      </c>
      <c r="Y305" t="s">
        <v>6117</v>
      </c>
      <c r="Z305" t="s">
        <v>6118</v>
      </c>
      <c r="AA305" t="s">
        <v>74</v>
      </c>
      <c r="AB305" t="s">
        <v>6119</v>
      </c>
      <c r="AC305" t="s">
        <v>6120</v>
      </c>
      <c r="AD305" t="s">
        <v>6121</v>
      </c>
      <c r="AE305" t="s">
        <v>6122</v>
      </c>
      <c r="AF305" t="s">
        <v>74</v>
      </c>
      <c r="AG305">
        <v>84</v>
      </c>
      <c r="AH305">
        <v>38</v>
      </c>
      <c r="AI305">
        <v>44</v>
      </c>
      <c r="AJ305">
        <v>0</v>
      </c>
      <c r="AK305">
        <v>27</v>
      </c>
      <c r="AL305" t="s">
        <v>250</v>
      </c>
      <c r="AM305" t="s">
        <v>251</v>
      </c>
      <c r="AN305" t="s">
        <v>252</v>
      </c>
      <c r="AO305" t="s">
        <v>1471</v>
      </c>
      <c r="AP305" t="s">
        <v>74</v>
      </c>
      <c r="AQ305" t="s">
        <v>74</v>
      </c>
      <c r="AR305" t="s">
        <v>1472</v>
      </c>
      <c r="AS305" t="s">
        <v>1473</v>
      </c>
      <c r="AT305" t="s">
        <v>4956</v>
      </c>
      <c r="AU305">
        <v>2014</v>
      </c>
      <c r="AV305">
        <v>97</v>
      </c>
      <c r="AW305" t="s">
        <v>74</v>
      </c>
      <c r="AX305" t="s">
        <v>74</v>
      </c>
      <c r="AY305" t="s">
        <v>74</v>
      </c>
      <c r="AZ305" t="s">
        <v>74</v>
      </c>
      <c r="BA305" t="s">
        <v>74</v>
      </c>
      <c r="BB305">
        <v>102</v>
      </c>
      <c r="BC305">
        <v>120</v>
      </c>
      <c r="BD305" t="s">
        <v>74</v>
      </c>
      <c r="BE305" t="s">
        <v>6123</v>
      </c>
      <c r="BF305" t="str">
        <f>HYPERLINK("http://dx.doi.org/10.1016/j.quascirev.2014.05.007","http://dx.doi.org/10.1016/j.quascirev.2014.05.007")</f>
        <v>http://dx.doi.org/10.1016/j.quascirev.2014.05.007</v>
      </c>
      <c r="BG305" t="s">
        <v>74</v>
      </c>
      <c r="BH305" t="s">
        <v>74</v>
      </c>
      <c r="BI305">
        <v>19</v>
      </c>
      <c r="BJ305" t="s">
        <v>1427</v>
      </c>
      <c r="BK305" t="s">
        <v>102</v>
      </c>
      <c r="BL305" t="s">
        <v>1428</v>
      </c>
      <c r="BM305" t="s">
        <v>6124</v>
      </c>
      <c r="BN305" t="s">
        <v>74</v>
      </c>
      <c r="BO305" t="s">
        <v>289</v>
      </c>
      <c r="BP305" t="s">
        <v>74</v>
      </c>
      <c r="BQ305" t="s">
        <v>74</v>
      </c>
      <c r="BR305" t="s">
        <v>105</v>
      </c>
      <c r="BS305" t="s">
        <v>6125</v>
      </c>
      <c r="BT305" t="str">
        <f>HYPERLINK("https%3A%2F%2Fwww.webofscience.com%2Fwos%2Fwoscc%2Ffull-record%2FWOS:000339699600006","View Full Record in Web of Science")</f>
        <v>View Full Record in Web of Science</v>
      </c>
    </row>
    <row r="306" spans="1:72" x14ac:dyDescent="0.15">
      <c r="A306" t="s">
        <v>72</v>
      </c>
      <c r="B306" t="s">
        <v>6126</v>
      </c>
      <c r="C306" t="s">
        <v>74</v>
      </c>
      <c r="D306" t="s">
        <v>74</v>
      </c>
      <c r="E306" t="s">
        <v>74</v>
      </c>
      <c r="F306" t="s">
        <v>6127</v>
      </c>
      <c r="G306" t="s">
        <v>74</v>
      </c>
      <c r="H306" t="s">
        <v>74</v>
      </c>
      <c r="I306" t="s">
        <v>6128</v>
      </c>
      <c r="J306" t="s">
        <v>6129</v>
      </c>
      <c r="K306" t="s">
        <v>74</v>
      </c>
      <c r="L306" t="s">
        <v>74</v>
      </c>
      <c r="M306" t="s">
        <v>78</v>
      </c>
      <c r="N306" t="s">
        <v>79</v>
      </c>
      <c r="O306" t="s">
        <v>74</v>
      </c>
      <c r="P306" t="s">
        <v>74</v>
      </c>
      <c r="Q306" t="s">
        <v>74</v>
      </c>
      <c r="R306" t="s">
        <v>74</v>
      </c>
      <c r="S306" t="s">
        <v>74</v>
      </c>
      <c r="T306" t="s">
        <v>6130</v>
      </c>
      <c r="U306" t="s">
        <v>6131</v>
      </c>
      <c r="V306" t="s">
        <v>6132</v>
      </c>
      <c r="W306" t="s">
        <v>6133</v>
      </c>
      <c r="X306" t="s">
        <v>6134</v>
      </c>
      <c r="Y306" t="s">
        <v>6135</v>
      </c>
      <c r="Z306" t="s">
        <v>6136</v>
      </c>
      <c r="AA306" t="s">
        <v>74</v>
      </c>
      <c r="AB306" t="s">
        <v>74</v>
      </c>
      <c r="AC306" t="s">
        <v>6137</v>
      </c>
      <c r="AD306" t="s">
        <v>3686</v>
      </c>
      <c r="AE306" t="s">
        <v>6138</v>
      </c>
      <c r="AF306" t="s">
        <v>74</v>
      </c>
      <c r="AG306">
        <v>32</v>
      </c>
      <c r="AH306">
        <v>5</v>
      </c>
      <c r="AI306">
        <v>6</v>
      </c>
      <c r="AJ306">
        <v>1</v>
      </c>
      <c r="AK306">
        <v>13</v>
      </c>
      <c r="AL306" t="s">
        <v>2353</v>
      </c>
      <c r="AM306" t="s">
        <v>576</v>
      </c>
      <c r="AN306" t="s">
        <v>2354</v>
      </c>
      <c r="AO306" t="s">
        <v>6139</v>
      </c>
      <c r="AP306" t="s">
        <v>6140</v>
      </c>
      <c r="AQ306" t="s">
        <v>74</v>
      </c>
      <c r="AR306" t="s">
        <v>6141</v>
      </c>
      <c r="AS306" t="s">
        <v>6142</v>
      </c>
      <c r="AT306" t="s">
        <v>4934</v>
      </c>
      <c r="AU306">
        <v>2014</v>
      </c>
      <c r="AV306">
        <v>26</v>
      </c>
      <c r="AW306">
        <v>4</v>
      </c>
      <c r="AX306" t="s">
        <v>74</v>
      </c>
      <c r="AY306" t="s">
        <v>74</v>
      </c>
      <c r="AZ306" t="s">
        <v>74</v>
      </c>
      <c r="BA306" t="s">
        <v>74</v>
      </c>
      <c r="BB306">
        <v>331</v>
      </c>
      <c r="BC306">
        <v>340</v>
      </c>
      <c r="BD306" t="s">
        <v>74</v>
      </c>
      <c r="BE306" t="s">
        <v>6143</v>
      </c>
      <c r="BF306" t="str">
        <f>HYPERLINK("http://dx.doi.org/10.1017/S095410201300062X","http://dx.doi.org/10.1017/S095410201300062X")</f>
        <v>http://dx.doi.org/10.1017/S095410201300062X</v>
      </c>
      <c r="BG306" t="s">
        <v>74</v>
      </c>
      <c r="BH306" t="s">
        <v>74</v>
      </c>
      <c r="BI306">
        <v>10</v>
      </c>
      <c r="BJ306" t="s">
        <v>6144</v>
      </c>
      <c r="BK306" t="s">
        <v>102</v>
      </c>
      <c r="BL306" t="s">
        <v>6145</v>
      </c>
      <c r="BM306" t="s">
        <v>6146</v>
      </c>
      <c r="BN306" t="s">
        <v>74</v>
      </c>
      <c r="BO306" t="s">
        <v>74</v>
      </c>
      <c r="BP306" t="s">
        <v>74</v>
      </c>
      <c r="BQ306" t="s">
        <v>74</v>
      </c>
      <c r="BR306" t="s">
        <v>105</v>
      </c>
      <c r="BS306" t="s">
        <v>6147</v>
      </c>
      <c r="BT306" t="str">
        <f>HYPERLINK("https%3A%2F%2Fwww.webofscience.com%2Fwos%2Fwoscc%2Ffull-record%2FWOS:000339377300002","View Full Record in Web of Science")</f>
        <v>View Full Record in Web of Science</v>
      </c>
    </row>
    <row r="307" spans="1:72" x14ac:dyDescent="0.15">
      <c r="A307" t="s">
        <v>72</v>
      </c>
      <c r="B307" t="s">
        <v>6148</v>
      </c>
      <c r="C307" t="s">
        <v>74</v>
      </c>
      <c r="D307" t="s">
        <v>74</v>
      </c>
      <c r="E307" t="s">
        <v>74</v>
      </c>
      <c r="F307" t="s">
        <v>6149</v>
      </c>
      <c r="G307" t="s">
        <v>74</v>
      </c>
      <c r="H307" t="s">
        <v>74</v>
      </c>
      <c r="I307" t="s">
        <v>6150</v>
      </c>
      <c r="J307" t="s">
        <v>6129</v>
      </c>
      <c r="K307" t="s">
        <v>74</v>
      </c>
      <c r="L307" t="s">
        <v>74</v>
      </c>
      <c r="M307" t="s">
        <v>78</v>
      </c>
      <c r="N307" t="s">
        <v>79</v>
      </c>
      <c r="O307" t="s">
        <v>74</v>
      </c>
      <c r="P307" t="s">
        <v>74</v>
      </c>
      <c r="Q307" t="s">
        <v>74</v>
      </c>
      <c r="R307" t="s">
        <v>74</v>
      </c>
      <c r="S307" t="s">
        <v>74</v>
      </c>
      <c r="T307" t="s">
        <v>6151</v>
      </c>
      <c r="U307" t="s">
        <v>6152</v>
      </c>
      <c r="V307" t="s">
        <v>6153</v>
      </c>
      <c r="W307" t="s">
        <v>6154</v>
      </c>
      <c r="X307" t="s">
        <v>74</v>
      </c>
      <c r="Y307" t="s">
        <v>6155</v>
      </c>
      <c r="Z307" t="s">
        <v>6156</v>
      </c>
      <c r="AA307" t="s">
        <v>74</v>
      </c>
      <c r="AB307" t="s">
        <v>74</v>
      </c>
      <c r="AC307" t="s">
        <v>74</v>
      </c>
      <c r="AD307" t="s">
        <v>74</v>
      </c>
      <c r="AE307" t="s">
        <v>74</v>
      </c>
      <c r="AF307" t="s">
        <v>74</v>
      </c>
      <c r="AG307">
        <v>32</v>
      </c>
      <c r="AH307">
        <v>5</v>
      </c>
      <c r="AI307">
        <v>6</v>
      </c>
      <c r="AJ307">
        <v>1</v>
      </c>
      <c r="AK307">
        <v>10</v>
      </c>
      <c r="AL307" t="s">
        <v>2353</v>
      </c>
      <c r="AM307" t="s">
        <v>576</v>
      </c>
      <c r="AN307" t="s">
        <v>2354</v>
      </c>
      <c r="AO307" t="s">
        <v>6139</v>
      </c>
      <c r="AP307" t="s">
        <v>6140</v>
      </c>
      <c r="AQ307" t="s">
        <v>74</v>
      </c>
      <c r="AR307" t="s">
        <v>6141</v>
      </c>
      <c r="AS307" t="s">
        <v>6142</v>
      </c>
      <c r="AT307" t="s">
        <v>4934</v>
      </c>
      <c r="AU307">
        <v>2014</v>
      </c>
      <c r="AV307">
        <v>26</v>
      </c>
      <c r="AW307">
        <v>4</v>
      </c>
      <c r="AX307" t="s">
        <v>74</v>
      </c>
      <c r="AY307" t="s">
        <v>74</v>
      </c>
      <c r="AZ307" t="s">
        <v>74</v>
      </c>
      <c r="BA307" t="s">
        <v>74</v>
      </c>
      <c r="BB307">
        <v>341</v>
      </c>
      <c r="BC307">
        <v>344</v>
      </c>
      <c r="BD307" t="s">
        <v>74</v>
      </c>
      <c r="BE307" t="s">
        <v>6157</v>
      </c>
      <c r="BF307" t="str">
        <f>HYPERLINK("http://dx.doi.org/10.1017/S0954102013000606","http://dx.doi.org/10.1017/S0954102013000606")</f>
        <v>http://dx.doi.org/10.1017/S0954102013000606</v>
      </c>
      <c r="BG307" t="s">
        <v>74</v>
      </c>
      <c r="BH307" t="s">
        <v>74</v>
      </c>
      <c r="BI307">
        <v>4</v>
      </c>
      <c r="BJ307" t="s">
        <v>6144</v>
      </c>
      <c r="BK307" t="s">
        <v>102</v>
      </c>
      <c r="BL307" t="s">
        <v>6145</v>
      </c>
      <c r="BM307" t="s">
        <v>6146</v>
      </c>
      <c r="BN307" t="s">
        <v>74</v>
      </c>
      <c r="BO307" t="s">
        <v>74</v>
      </c>
      <c r="BP307" t="s">
        <v>74</v>
      </c>
      <c r="BQ307" t="s">
        <v>74</v>
      </c>
      <c r="BR307" t="s">
        <v>105</v>
      </c>
      <c r="BS307" t="s">
        <v>6158</v>
      </c>
      <c r="BT307" t="str">
        <f>HYPERLINK("https%3A%2F%2Fwww.webofscience.com%2Fwos%2Fwoscc%2Ffull-record%2FWOS:000339377300003","View Full Record in Web of Science")</f>
        <v>View Full Record in Web of Science</v>
      </c>
    </row>
    <row r="308" spans="1:72" x14ac:dyDescent="0.15">
      <c r="A308" t="s">
        <v>72</v>
      </c>
      <c r="B308" t="s">
        <v>6159</v>
      </c>
      <c r="C308" t="s">
        <v>74</v>
      </c>
      <c r="D308" t="s">
        <v>74</v>
      </c>
      <c r="E308" t="s">
        <v>74</v>
      </c>
      <c r="F308" t="s">
        <v>6160</v>
      </c>
      <c r="G308" t="s">
        <v>74</v>
      </c>
      <c r="H308" t="s">
        <v>74</v>
      </c>
      <c r="I308" t="s">
        <v>6161</v>
      </c>
      <c r="J308" t="s">
        <v>6129</v>
      </c>
      <c r="K308" t="s">
        <v>74</v>
      </c>
      <c r="L308" t="s">
        <v>74</v>
      </c>
      <c r="M308" t="s">
        <v>78</v>
      </c>
      <c r="N308" t="s">
        <v>79</v>
      </c>
      <c r="O308" t="s">
        <v>74</v>
      </c>
      <c r="P308" t="s">
        <v>74</v>
      </c>
      <c r="Q308" t="s">
        <v>74</v>
      </c>
      <c r="R308" t="s">
        <v>74</v>
      </c>
      <c r="S308" t="s">
        <v>74</v>
      </c>
      <c r="T308" t="s">
        <v>6162</v>
      </c>
      <c r="U308" t="s">
        <v>6163</v>
      </c>
      <c r="V308" t="s">
        <v>6164</v>
      </c>
      <c r="W308" t="s">
        <v>6165</v>
      </c>
      <c r="X308" t="s">
        <v>4278</v>
      </c>
      <c r="Y308" t="s">
        <v>6166</v>
      </c>
      <c r="Z308" t="s">
        <v>6167</v>
      </c>
      <c r="AA308" t="s">
        <v>6168</v>
      </c>
      <c r="AB308" t="s">
        <v>6169</v>
      </c>
      <c r="AC308" t="s">
        <v>6170</v>
      </c>
      <c r="AD308" t="s">
        <v>6171</v>
      </c>
      <c r="AE308" t="s">
        <v>6172</v>
      </c>
      <c r="AF308" t="s">
        <v>74</v>
      </c>
      <c r="AG308">
        <v>40</v>
      </c>
      <c r="AH308">
        <v>15</v>
      </c>
      <c r="AI308">
        <v>19</v>
      </c>
      <c r="AJ308">
        <v>1</v>
      </c>
      <c r="AK308">
        <v>24</v>
      </c>
      <c r="AL308" t="s">
        <v>2353</v>
      </c>
      <c r="AM308" t="s">
        <v>576</v>
      </c>
      <c r="AN308" t="s">
        <v>2354</v>
      </c>
      <c r="AO308" t="s">
        <v>6139</v>
      </c>
      <c r="AP308" t="s">
        <v>6140</v>
      </c>
      <c r="AQ308" t="s">
        <v>74</v>
      </c>
      <c r="AR308" t="s">
        <v>6141</v>
      </c>
      <c r="AS308" t="s">
        <v>6142</v>
      </c>
      <c r="AT308" t="s">
        <v>4934</v>
      </c>
      <c r="AU308">
        <v>2014</v>
      </c>
      <c r="AV308">
        <v>26</v>
      </c>
      <c r="AW308">
        <v>4</v>
      </c>
      <c r="AX308" t="s">
        <v>74</v>
      </c>
      <c r="AY308" t="s">
        <v>74</v>
      </c>
      <c r="AZ308" t="s">
        <v>74</v>
      </c>
      <c r="BA308" t="s">
        <v>74</v>
      </c>
      <c r="BB308">
        <v>345</v>
      </c>
      <c r="BC308">
        <v>360</v>
      </c>
      <c r="BD308" t="s">
        <v>74</v>
      </c>
      <c r="BE308" t="s">
        <v>6173</v>
      </c>
      <c r="BF308" t="str">
        <f>HYPERLINK("http://dx.doi.org/10.1017/S0954102013000795","http://dx.doi.org/10.1017/S0954102013000795")</f>
        <v>http://dx.doi.org/10.1017/S0954102013000795</v>
      </c>
      <c r="BG308" t="s">
        <v>74</v>
      </c>
      <c r="BH308" t="s">
        <v>74</v>
      </c>
      <c r="BI308">
        <v>16</v>
      </c>
      <c r="BJ308" t="s">
        <v>6144</v>
      </c>
      <c r="BK308" t="s">
        <v>102</v>
      </c>
      <c r="BL308" t="s">
        <v>6145</v>
      </c>
      <c r="BM308" t="s">
        <v>6146</v>
      </c>
      <c r="BN308" t="s">
        <v>74</v>
      </c>
      <c r="BO308" t="s">
        <v>74</v>
      </c>
      <c r="BP308" t="s">
        <v>74</v>
      </c>
      <c r="BQ308" t="s">
        <v>74</v>
      </c>
      <c r="BR308" t="s">
        <v>105</v>
      </c>
      <c r="BS308" t="s">
        <v>6174</v>
      </c>
      <c r="BT308" t="str">
        <f>HYPERLINK("https%3A%2F%2Fwww.webofscience.com%2Fwos%2Fwoscc%2Ffull-record%2FWOS:000339377300004","View Full Record in Web of Science")</f>
        <v>View Full Record in Web of Science</v>
      </c>
    </row>
    <row r="309" spans="1:72" x14ac:dyDescent="0.15">
      <c r="A309" t="s">
        <v>72</v>
      </c>
      <c r="B309" t="s">
        <v>6175</v>
      </c>
      <c r="C309" t="s">
        <v>74</v>
      </c>
      <c r="D309" t="s">
        <v>74</v>
      </c>
      <c r="E309" t="s">
        <v>74</v>
      </c>
      <c r="F309" t="s">
        <v>6176</v>
      </c>
      <c r="G309" t="s">
        <v>74</v>
      </c>
      <c r="H309" t="s">
        <v>74</v>
      </c>
      <c r="I309" t="s">
        <v>6177</v>
      </c>
      <c r="J309" t="s">
        <v>6129</v>
      </c>
      <c r="K309" t="s">
        <v>74</v>
      </c>
      <c r="L309" t="s">
        <v>74</v>
      </c>
      <c r="M309" t="s">
        <v>78</v>
      </c>
      <c r="N309" t="s">
        <v>79</v>
      </c>
      <c r="O309" t="s">
        <v>74</v>
      </c>
      <c r="P309" t="s">
        <v>74</v>
      </c>
      <c r="Q309" t="s">
        <v>74</v>
      </c>
      <c r="R309" t="s">
        <v>74</v>
      </c>
      <c r="S309" t="s">
        <v>74</v>
      </c>
      <c r="T309" t="s">
        <v>6178</v>
      </c>
      <c r="U309" t="s">
        <v>6179</v>
      </c>
      <c r="V309" t="s">
        <v>6180</v>
      </c>
      <c r="W309" t="s">
        <v>6181</v>
      </c>
      <c r="X309" t="s">
        <v>6182</v>
      </c>
      <c r="Y309" t="s">
        <v>6183</v>
      </c>
      <c r="Z309" t="s">
        <v>6184</v>
      </c>
      <c r="AA309" t="s">
        <v>74</v>
      </c>
      <c r="AB309" t="s">
        <v>6185</v>
      </c>
      <c r="AC309" t="s">
        <v>6186</v>
      </c>
      <c r="AD309" t="s">
        <v>6187</v>
      </c>
      <c r="AE309" t="s">
        <v>6188</v>
      </c>
      <c r="AF309" t="s">
        <v>74</v>
      </c>
      <c r="AG309">
        <v>34</v>
      </c>
      <c r="AH309">
        <v>1</v>
      </c>
      <c r="AI309">
        <v>1</v>
      </c>
      <c r="AJ309">
        <v>0</v>
      </c>
      <c r="AK309">
        <v>11</v>
      </c>
      <c r="AL309" t="s">
        <v>2353</v>
      </c>
      <c r="AM309" t="s">
        <v>576</v>
      </c>
      <c r="AN309" t="s">
        <v>2354</v>
      </c>
      <c r="AO309" t="s">
        <v>6139</v>
      </c>
      <c r="AP309" t="s">
        <v>6140</v>
      </c>
      <c r="AQ309" t="s">
        <v>74</v>
      </c>
      <c r="AR309" t="s">
        <v>6141</v>
      </c>
      <c r="AS309" t="s">
        <v>6142</v>
      </c>
      <c r="AT309" t="s">
        <v>4934</v>
      </c>
      <c r="AU309">
        <v>2014</v>
      </c>
      <c r="AV309">
        <v>26</v>
      </c>
      <c r="AW309">
        <v>4</v>
      </c>
      <c r="AX309" t="s">
        <v>74</v>
      </c>
      <c r="AY309" t="s">
        <v>74</v>
      </c>
      <c r="AZ309" t="s">
        <v>74</v>
      </c>
      <c r="BA309" t="s">
        <v>74</v>
      </c>
      <c r="BB309">
        <v>361</v>
      </c>
      <c r="BC309">
        <v>368</v>
      </c>
      <c r="BD309" t="s">
        <v>74</v>
      </c>
      <c r="BE309" t="s">
        <v>6189</v>
      </c>
      <c r="BF309" t="str">
        <f>HYPERLINK("http://dx.doi.org/10.1017/S0954102013000953","http://dx.doi.org/10.1017/S0954102013000953")</f>
        <v>http://dx.doi.org/10.1017/S0954102013000953</v>
      </c>
      <c r="BG309" t="s">
        <v>74</v>
      </c>
      <c r="BH309" t="s">
        <v>74</v>
      </c>
      <c r="BI309">
        <v>8</v>
      </c>
      <c r="BJ309" t="s">
        <v>6144</v>
      </c>
      <c r="BK309" t="s">
        <v>102</v>
      </c>
      <c r="BL309" t="s">
        <v>6145</v>
      </c>
      <c r="BM309" t="s">
        <v>6146</v>
      </c>
      <c r="BN309" t="s">
        <v>74</v>
      </c>
      <c r="BO309" t="s">
        <v>74</v>
      </c>
      <c r="BP309" t="s">
        <v>74</v>
      </c>
      <c r="BQ309" t="s">
        <v>74</v>
      </c>
      <c r="BR309" t="s">
        <v>105</v>
      </c>
      <c r="BS309" t="s">
        <v>6190</v>
      </c>
      <c r="BT309" t="str">
        <f>HYPERLINK("https%3A%2F%2Fwww.webofscience.com%2Fwos%2Fwoscc%2Ffull-record%2FWOS:000339377300005","View Full Record in Web of Science")</f>
        <v>View Full Record in Web of Science</v>
      </c>
    </row>
    <row r="310" spans="1:72" x14ac:dyDescent="0.15">
      <c r="A310" t="s">
        <v>72</v>
      </c>
      <c r="B310" t="s">
        <v>6191</v>
      </c>
      <c r="C310" t="s">
        <v>74</v>
      </c>
      <c r="D310" t="s">
        <v>74</v>
      </c>
      <c r="E310" t="s">
        <v>74</v>
      </c>
      <c r="F310" t="s">
        <v>6192</v>
      </c>
      <c r="G310" t="s">
        <v>74</v>
      </c>
      <c r="H310" t="s">
        <v>74</v>
      </c>
      <c r="I310" t="s">
        <v>6193</v>
      </c>
      <c r="J310" t="s">
        <v>6129</v>
      </c>
      <c r="K310" t="s">
        <v>74</v>
      </c>
      <c r="L310" t="s">
        <v>74</v>
      </c>
      <c r="M310" t="s">
        <v>78</v>
      </c>
      <c r="N310" t="s">
        <v>79</v>
      </c>
      <c r="O310" t="s">
        <v>74</v>
      </c>
      <c r="P310" t="s">
        <v>74</v>
      </c>
      <c r="Q310" t="s">
        <v>74</v>
      </c>
      <c r="R310" t="s">
        <v>74</v>
      </c>
      <c r="S310" t="s">
        <v>74</v>
      </c>
      <c r="T310" t="s">
        <v>74</v>
      </c>
      <c r="U310" t="s">
        <v>6194</v>
      </c>
      <c r="V310" t="s">
        <v>74</v>
      </c>
      <c r="W310" t="s">
        <v>6195</v>
      </c>
      <c r="X310" t="s">
        <v>6196</v>
      </c>
      <c r="Y310" t="s">
        <v>6197</v>
      </c>
      <c r="Z310" t="s">
        <v>6198</v>
      </c>
      <c r="AA310" t="s">
        <v>6199</v>
      </c>
      <c r="AB310" t="s">
        <v>6200</v>
      </c>
      <c r="AC310" t="s">
        <v>6201</v>
      </c>
      <c r="AD310" t="s">
        <v>6202</v>
      </c>
      <c r="AE310" t="s">
        <v>6203</v>
      </c>
      <c r="AF310" t="s">
        <v>74</v>
      </c>
      <c r="AG310">
        <v>7</v>
      </c>
      <c r="AH310">
        <v>1</v>
      </c>
      <c r="AI310">
        <v>1</v>
      </c>
      <c r="AJ310">
        <v>0</v>
      </c>
      <c r="AK310">
        <v>8</v>
      </c>
      <c r="AL310" t="s">
        <v>2353</v>
      </c>
      <c r="AM310" t="s">
        <v>576</v>
      </c>
      <c r="AN310" t="s">
        <v>2354</v>
      </c>
      <c r="AO310" t="s">
        <v>6139</v>
      </c>
      <c r="AP310" t="s">
        <v>6140</v>
      </c>
      <c r="AQ310" t="s">
        <v>74</v>
      </c>
      <c r="AR310" t="s">
        <v>6141</v>
      </c>
      <c r="AS310" t="s">
        <v>6142</v>
      </c>
      <c r="AT310" t="s">
        <v>4934</v>
      </c>
      <c r="AU310">
        <v>2014</v>
      </c>
      <c r="AV310">
        <v>26</v>
      </c>
      <c r="AW310">
        <v>4</v>
      </c>
      <c r="AX310" t="s">
        <v>74</v>
      </c>
      <c r="AY310" t="s">
        <v>74</v>
      </c>
      <c r="AZ310" t="s">
        <v>74</v>
      </c>
      <c r="BA310" t="s">
        <v>74</v>
      </c>
      <c r="BB310">
        <v>369</v>
      </c>
      <c r="BC310" t="s">
        <v>4545</v>
      </c>
      <c r="BD310" t="s">
        <v>74</v>
      </c>
      <c r="BE310" t="s">
        <v>6204</v>
      </c>
      <c r="BF310" t="str">
        <f>HYPERLINK("http://dx.doi.org/10.1017/S0954102014000182","http://dx.doi.org/10.1017/S0954102014000182")</f>
        <v>http://dx.doi.org/10.1017/S0954102014000182</v>
      </c>
      <c r="BG310" t="s">
        <v>74</v>
      </c>
      <c r="BH310" t="s">
        <v>74</v>
      </c>
      <c r="BI310">
        <v>2</v>
      </c>
      <c r="BJ310" t="s">
        <v>6144</v>
      </c>
      <c r="BK310" t="s">
        <v>102</v>
      </c>
      <c r="BL310" t="s">
        <v>6145</v>
      </c>
      <c r="BM310" t="s">
        <v>6146</v>
      </c>
      <c r="BN310" t="s">
        <v>74</v>
      </c>
      <c r="BO310" t="s">
        <v>74</v>
      </c>
      <c r="BP310" t="s">
        <v>74</v>
      </c>
      <c r="BQ310" t="s">
        <v>74</v>
      </c>
      <c r="BR310" t="s">
        <v>105</v>
      </c>
      <c r="BS310" t="s">
        <v>6205</v>
      </c>
      <c r="BT310" t="str">
        <f>HYPERLINK("https%3A%2F%2Fwww.webofscience.com%2Fwos%2Fwoscc%2Ffull-record%2FWOS:000339377300006","View Full Record in Web of Science")</f>
        <v>View Full Record in Web of Science</v>
      </c>
    </row>
    <row r="311" spans="1:72" x14ac:dyDescent="0.15">
      <c r="A311" t="s">
        <v>72</v>
      </c>
      <c r="B311" t="s">
        <v>6206</v>
      </c>
      <c r="C311" t="s">
        <v>74</v>
      </c>
      <c r="D311" t="s">
        <v>74</v>
      </c>
      <c r="E311" t="s">
        <v>74</v>
      </c>
      <c r="F311" t="s">
        <v>6207</v>
      </c>
      <c r="G311" t="s">
        <v>74</v>
      </c>
      <c r="H311" t="s">
        <v>74</v>
      </c>
      <c r="I311" t="s">
        <v>6208</v>
      </c>
      <c r="J311" t="s">
        <v>6129</v>
      </c>
      <c r="K311" t="s">
        <v>74</v>
      </c>
      <c r="L311" t="s">
        <v>74</v>
      </c>
      <c r="M311" t="s">
        <v>78</v>
      </c>
      <c r="N311" t="s">
        <v>79</v>
      </c>
      <c r="O311" t="s">
        <v>74</v>
      </c>
      <c r="P311" t="s">
        <v>74</v>
      </c>
      <c r="Q311" t="s">
        <v>74</v>
      </c>
      <c r="R311" t="s">
        <v>74</v>
      </c>
      <c r="S311" t="s">
        <v>74</v>
      </c>
      <c r="T311" t="s">
        <v>6209</v>
      </c>
      <c r="U311" t="s">
        <v>6210</v>
      </c>
      <c r="V311" t="s">
        <v>6211</v>
      </c>
      <c r="W311" t="s">
        <v>6212</v>
      </c>
      <c r="X311" t="s">
        <v>6213</v>
      </c>
      <c r="Y311" t="s">
        <v>6214</v>
      </c>
      <c r="Z311" t="s">
        <v>6215</v>
      </c>
      <c r="AA311" t="s">
        <v>6216</v>
      </c>
      <c r="AB311" t="s">
        <v>6217</v>
      </c>
      <c r="AC311" t="s">
        <v>6218</v>
      </c>
      <c r="AD311" t="s">
        <v>6219</v>
      </c>
      <c r="AE311" t="s">
        <v>6220</v>
      </c>
      <c r="AF311" t="s">
        <v>74</v>
      </c>
      <c r="AG311">
        <v>30</v>
      </c>
      <c r="AH311">
        <v>5</v>
      </c>
      <c r="AI311">
        <v>6</v>
      </c>
      <c r="AJ311">
        <v>0</v>
      </c>
      <c r="AK311">
        <v>8</v>
      </c>
      <c r="AL311" t="s">
        <v>2353</v>
      </c>
      <c r="AM311" t="s">
        <v>576</v>
      </c>
      <c r="AN311" t="s">
        <v>2354</v>
      </c>
      <c r="AO311" t="s">
        <v>6139</v>
      </c>
      <c r="AP311" t="s">
        <v>6140</v>
      </c>
      <c r="AQ311" t="s">
        <v>74</v>
      </c>
      <c r="AR311" t="s">
        <v>6141</v>
      </c>
      <c r="AS311" t="s">
        <v>6142</v>
      </c>
      <c r="AT311" t="s">
        <v>4934</v>
      </c>
      <c r="AU311">
        <v>2014</v>
      </c>
      <c r="AV311">
        <v>26</v>
      </c>
      <c r="AW311">
        <v>4</v>
      </c>
      <c r="AX311" t="s">
        <v>74</v>
      </c>
      <c r="AY311" t="s">
        <v>74</v>
      </c>
      <c r="AZ311" t="s">
        <v>74</v>
      </c>
      <c r="BA311" t="s">
        <v>74</v>
      </c>
      <c r="BB311">
        <v>371</v>
      </c>
      <c r="BC311">
        <v>376</v>
      </c>
      <c r="BD311" t="s">
        <v>74</v>
      </c>
      <c r="BE311" t="s">
        <v>6221</v>
      </c>
      <c r="BF311" t="str">
        <f>HYPERLINK("http://dx.doi.org/10.1017/S095410201300076X","http://dx.doi.org/10.1017/S095410201300076X")</f>
        <v>http://dx.doi.org/10.1017/S095410201300076X</v>
      </c>
      <c r="BG311" t="s">
        <v>74</v>
      </c>
      <c r="BH311" t="s">
        <v>74</v>
      </c>
      <c r="BI311">
        <v>6</v>
      </c>
      <c r="BJ311" t="s">
        <v>6144</v>
      </c>
      <c r="BK311" t="s">
        <v>102</v>
      </c>
      <c r="BL311" t="s">
        <v>6145</v>
      </c>
      <c r="BM311" t="s">
        <v>6146</v>
      </c>
      <c r="BN311" t="s">
        <v>74</v>
      </c>
      <c r="BO311" t="s">
        <v>74</v>
      </c>
      <c r="BP311" t="s">
        <v>74</v>
      </c>
      <c r="BQ311" t="s">
        <v>74</v>
      </c>
      <c r="BR311" t="s">
        <v>105</v>
      </c>
      <c r="BS311" t="s">
        <v>6222</v>
      </c>
      <c r="BT311" t="str">
        <f>HYPERLINK("https%3A%2F%2Fwww.webofscience.com%2Fwos%2Fwoscc%2Ffull-record%2FWOS:000339377300007","View Full Record in Web of Science")</f>
        <v>View Full Record in Web of Science</v>
      </c>
    </row>
    <row r="312" spans="1:72" x14ac:dyDescent="0.15">
      <c r="A312" t="s">
        <v>72</v>
      </c>
      <c r="B312" t="s">
        <v>6223</v>
      </c>
      <c r="C312" t="s">
        <v>74</v>
      </c>
      <c r="D312" t="s">
        <v>74</v>
      </c>
      <c r="E312" t="s">
        <v>74</v>
      </c>
      <c r="F312" t="s">
        <v>6224</v>
      </c>
      <c r="G312" t="s">
        <v>74</v>
      </c>
      <c r="H312" t="s">
        <v>74</v>
      </c>
      <c r="I312" t="s">
        <v>6225</v>
      </c>
      <c r="J312" t="s">
        <v>6129</v>
      </c>
      <c r="K312" t="s">
        <v>74</v>
      </c>
      <c r="L312" t="s">
        <v>74</v>
      </c>
      <c r="M312" t="s">
        <v>78</v>
      </c>
      <c r="N312" t="s">
        <v>79</v>
      </c>
      <c r="O312" t="s">
        <v>74</v>
      </c>
      <c r="P312" t="s">
        <v>74</v>
      </c>
      <c r="Q312" t="s">
        <v>74</v>
      </c>
      <c r="R312" t="s">
        <v>74</v>
      </c>
      <c r="S312" t="s">
        <v>74</v>
      </c>
      <c r="T312" t="s">
        <v>6226</v>
      </c>
      <c r="U312" t="s">
        <v>6227</v>
      </c>
      <c r="V312" t="s">
        <v>6228</v>
      </c>
      <c r="W312" t="s">
        <v>6229</v>
      </c>
      <c r="X312" t="s">
        <v>6230</v>
      </c>
      <c r="Y312" t="s">
        <v>6231</v>
      </c>
      <c r="Z312" t="s">
        <v>6232</v>
      </c>
      <c r="AA312" t="s">
        <v>6233</v>
      </c>
      <c r="AB312" t="s">
        <v>74</v>
      </c>
      <c r="AC312" t="s">
        <v>6234</v>
      </c>
      <c r="AD312" t="s">
        <v>6235</v>
      </c>
      <c r="AE312" t="s">
        <v>6236</v>
      </c>
      <c r="AF312" t="s">
        <v>74</v>
      </c>
      <c r="AG312">
        <v>38</v>
      </c>
      <c r="AH312">
        <v>3</v>
      </c>
      <c r="AI312">
        <v>4</v>
      </c>
      <c r="AJ312">
        <v>0</v>
      </c>
      <c r="AK312">
        <v>13</v>
      </c>
      <c r="AL312" t="s">
        <v>2353</v>
      </c>
      <c r="AM312" t="s">
        <v>576</v>
      </c>
      <c r="AN312" t="s">
        <v>2354</v>
      </c>
      <c r="AO312" t="s">
        <v>6139</v>
      </c>
      <c r="AP312" t="s">
        <v>6140</v>
      </c>
      <c r="AQ312" t="s">
        <v>74</v>
      </c>
      <c r="AR312" t="s">
        <v>6141</v>
      </c>
      <c r="AS312" t="s">
        <v>6142</v>
      </c>
      <c r="AT312" t="s">
        <v>4934</v>
      </c>
      <c r="AU312">
        <v>2014</v>
      </c>
      <c r="AV312">
        <v>26</v>
      </c>
      <c r="AW312">
        <v>4</v>
      </c>
      <c r="AX312" t="s">
        <v>74</v>
      </c>
      <c r="AY312" t="s">
        <v>74</v>
      </c>
      <c r="AZ312" t="s">
        <v>74</v>
      </c>
      <c r="BA312" t="s">
        <v>74</v>
      </c>
      <c r="BB312">
        <v>377</v>
      </c>
      <c r="BC312">
        <v>383</v>
      </c>
      <c r="BD312" t="s">
        <v>74</v>
      </c>
      <c r="BE312" t="s">
        <v>6237</v>
      </c>
      <c r="BF312" t="str">
        <f>HYPERLINK("http://dx.doi.org/10.1017/S0954102013000746","http://dx.doi.org/10.1017/S0954102013000746")</f>
        <v>http://dx.doi.org/10.1017/S0954102013000746</v>
      </c>
      <c r="BG312" t="s">
        <v>74</v>
      </c>
      <c r="BH312" t="s">
        <v>74</v>
      </c>
      <c r="BI312">
        <v>7</v>
      </c>
      <c r="BJ312" t="s">
        <v>6144</v>
      </c>
      <c r="BK312" t="s">
        <v>102</v>
      </c>
      <c r="BL312" t="s">
        <v>6145</v>
      </c>
      <c r="BM312" t="s">
        <v>6146</v>
      </c>
      <c r="BN312" t="s">
        <v>74</v>
      </c>
      <c r="BO312" t="s">
        <v>262</v>
      </c>
      <c r="BP312" t="s">
        <v>74</v>
      </c>
      <c r="BQ312" t="s">
        <v>74</v>
      </c>
      <c r="BR312" t="s">
        <v>105</v>
      </c>
      <c r="BS312" t="s">
        <v>6238</v>
      </c>
      <c r="BT312" t="str">
        <f>HYPERLINK("https%3A%2F%2Fwww.webofscience.com%2Fwos%2Fwoscc%2Ffull-record%2FWOS:000339377300008","View Full Record in Web of Science")</f>
        <v>View Full Record in Web of Science</v>
      </c>
    </row>
    <row r="313" spans="1:72" x14ac:dyDescent="0.15">
      <c r="A313" t="s">
        <v>72</v>
      </c>
      <c r="B313" t="s">
        <v>6239</v>
      </c>
      <c r="C313" t="s">
        <v>74</v>
      </c>
      <c r="D313" t="s">
        <v>74</v>
      </c>
      <c r="E313" t="s">
        <v>74</v>
      </c>
      <c r="F313" t="s">
        <v>6240</v>
      </c>
      <c r="G313" t="s">
        <v>74</v>
      </c>
      <c r="H313" t="s">
        <v>74</v>
      </c>
      <c r="I313" t="s">
        <v>6241</v>
      </c>
      <c r="J313" t="s">
        <v>6129</v>
      </c>
      <c r="K313" t="s">
        <v>74</v>
      </c>
      <c r="L313" t="s">
        <v>74</v>
      </c>
      <c r="M313" t="s">
        <v>78</v>
      </c>
      <c r="N313" t="s">
        <v>79</v>
      </c>
      <c r="O313" t="s">
        <v>74</v>
      </c>
      <c r="P313" t="s">
        <v>74</v>
      </c>
      <c r="Q313" t="s">
        <v>74</v>
      </c>
      <c r="R313" t="s">
        <v>74</v>
      </c>
      <c r="S313" t="s">
        <v>74</v>
      </c>
      <c r="T313" t="s">
        <v>6242</v>
      </c>
      <c r="U313" t="s">
        <v>6243</v>
      </c>
      <c r="V313" t="s">
        <v>6244</v>
      </c>
      <c r="W313" t="s">
        <v>6245</v>
      </c>
      <c r="X313" t="s">
        <v>6246</v>
      </c>
      <c r="Y313" t="s">
        <v>6247</v>
      </c>
      <c r="Z313" t="s">
        <v>6248</v>
      </c>
      <c r="AA313" t="s">
        <v>6249</v>
      </c>
      <c r="AB313" t="s">
        <v>6250</v>
      </c>
      <c r="AC313" t="s">
        <v>6251</v>
      </c>
      <c r="AD313" t="s">
        <v>6251</v>
      </c>
      <c r="AE313" t="s">
        <v>6252</v>
      </c>
      <c r="AF313" t="s">
        <v>74</v>
      </c>
      <c r="AG313">
        <v>45</v>
      </c>
      <c r="AH313">
        <v>4</v>
      </c>
      <c r="AI313">
        <v>4</v>
      </c>
      <c r="AJ313">
        <v>0</v>
      </c>
      <c r="AK313">
        <v>9</v>
      </c>
      <c r="AL313" t="s">
        <v>2353</v>
      </c>
      <c r="AM313" t="s">
        <v>576</v>
      </c>
      <c r="AN313" t="s">
        <v>2354</v>
      </c>
      <c r="AO313" t="s">
        <v>6139</v>
      </c>
      <c r="AP313" t="s">
        <v>6140</v>
      </c>
      <c r="AQ313" t="s">
        <v>74</v>
      </c>
      <c r="AR313" t="s">
        <v>6141</v>
      </c>
      <c r="AS313" t="s">
        <v>6142</v>
      </c>
      <c r="AT313" t="s">
        <v>4934</v>
      </c>
      <c r="AU313">
        <v>2014</v>
      </c>
      <c r="AV313">
        <v>26</v>
      </c>
      <c r="AW313">
        <v>4</v>
      </c>
      <c r="AX313" t="s">
        <v>74</v>
      </c>
      <c r="AY313" t="s">
        <v>74</v>
      </c>
      <c r="AZ313" t="s">
        <v>74</v>
      </c>
      <c r="BA313" t="s">
        <v>74</v>
      </c>
      <c r="BB313">
        <v>427</v>
      </c>
      <c r="BC313">
        <v>444</v>
      </c>
      <c r="BD313" t="s">
        <v>74</v>
      </c>
      <c r="BE313" t="s">
        <v>6253</v>
      </c>
      <c r="BF313" t="str">
        <f>HYPERLINK("http://dx.doi.org/10.1017/S0954102013000813","http://dx.doi.org/10.1017/S0954102013000813")</f>
        <v>http://dx.doi.org/10.1017/S0954102013000813</v>
      </c>
      <c r="BG313" t="s">
        <v>74</v>
      </c>
      <c r="BH313" t="s">
        <v>74</v>
      </c>
      <c r="BI313">
        <v>18</v>
      </c>
      <c r="BJ313" t="s">
        <v>6144</v>
      </c>
      <c r="BK313" t="s">
        <v>102</v>
      </c>
      <c r="BL313" t="s">
        <v>6145</v>
      </c>
      <c r="BM313" t="s">
        <v>6146</v>
      </c>
      <c r="BN313" t="s">
        <v>74</v>
      </c>
      <c r="BO313" t="s">
        <v>74</v>
      </c>
      <c r="BP313" t="s">
        <v>74</v>
      </c>
      <c r="BQ313" t="s">
        <v>74</v>
      </c>
      <c r="BR313" t="s">
        <v>105</v>
      </c>
      <c r="BS313" t="s">
        <v>6254</v>
      </c>
      <c r="BT313" t="str">
        <f>HYPERLINK("https%3A%2F%2Fwww.webofscience.com%2Fwos%2Fwoscc%2Ffull-record%2FWOS:000339377300013","View Full Record in Web of Science")</f>
        <v>View Full Record in Web of Science</v>
      </c>
    </row>
    <row r="314" spans="1:72" x14ac:dyDescent="0.15">
      <c r="A314" t="s">
        <v>72</v>
      </c>
      <c r="B314" t="s">
        <v>6255</v>
      </c>
      <c r="C314" t="s">
        <v>74</v>
      </c>
      <c r="D314" t="s">
        <v>74</v>
      </c>
      <c r="E314" t="s">
        <v>74</v>
      </c>
      <c r="F314" t="s">
        <v>6256</v>
      </c>
      <c r="G314" t="s">
        <v>74</v>
      </c>
      <c r="H314" t="s">
        <v>74</v>
      </c>
      <c r="I314" t="s">
        <v>6257</v>
      </c>
      <c r="J314" t="s">
        <v>6258</v>
      </c>
      <c r="K314" t="s">
        <v>74</v>
      </c>
      <c r="L314" t="s">
        <v>74</v>
      </c>
      <c r="M314" t="s">
        <v>78</v>
      </c>
      <c r="N314" t="s">
        <v>79</v>
      </c>
      <c r="O314" t="s">
        <v>74</v>
      </c>
      <c r="P314" t="s">
        <v>74</v>
      </c>
      <c r="Q314" t="s">
        <v>74</v>
      </c>
      <c r="R314" t="s">
        <v>74</v>
      </c>
      <c r="S314" t="s">
        <v>74</v>
      </c>
      <c r="T314" t="s">
        <v>6259</v>
      </c>
      <c r="U314" t="s">
        <v>6260</v>
      </c>
      <c r="V314" t="s">
        <v>6261</v>
      </c>
      <c r="W314" t="s">
        <v>6262</v>
      </c>
      <c r="X314" t="s">
        <v>6263</v>
      </c>
      <c r="Y314" t="s">
        <v>6264</v>
      </c>
      <c r="Z314" t="s">
        <v>6265</v>
      </c>
      <c r="AA314" t="s">
        <v>6266</v>
      </c>
      <c r="AB314" t="s">
        <v>6267</v>
      </c>
      <c r="AC314" t="s">
        <v>6268</v>
      </c>
      <c r="AD314" t="s">
        <v>6268</v>
      </c>
      <c r="AE314" t="s">
        <v>6269</v>
      </c>
      <c r="AF314" t="s">
        <v>74</v>
      </c>
      <c r="AG314">
        <v>37</v>
      </c>
      <c r="AH314">
        <v>12</v>
      </c>
      <c r="AI314">
        <v>17</v>
      </c>
      <c r="AJ314">
        <v>2</v>
      </c>
      <c r="AK314">
        <v>73</v>
      </c>
      <c r="AL314" t="s">
        <v>171</v>
      </c>
      <c r="AM314" t="s">
        <v>93</v>
      </c>
      <c r="AN314" t="s">
        <v>94</v>
      </c>
      <c r="AO314" t="s">
        <v>6270</v>
      </c>
      <c r="AP314" t="s">
        <v>6271</v>
      </c>
      <c r="AQ314" t="s">
        <v>74</v>
      </c>
      <c r="AR314" t="s">
        <v>6272</v>
      </c>
      <c r="AS314" t="s">
        <v>6273</v>
      </c>
      <c r="AT314" t="s">
        <v>4934</v>
      </c>
      <c r="AU314">
        <v>2014</v>
      </c>
      <c r="AV314">
        <v>59</v>
      </c>
      <c r="AW314">
        <v>8</v>
      </c>
      <c r="AX314" t="s">
        <v>74</v>
      </c>
      <c r="AY314" t="s">
        <v>74</v>
      </c>
      <c r="AZ314" t="s">
        <v>74</v>
      </c>
      <c r="BA314" t="s">
        <v>74</v>
      </c>
      <c r="BB314">
        <v>1622</v>
      </c>
      <c r="BC314">
        <v>1632</v>
      </c>
      <c r="BD314" t="s">
        <v>74</v>
      </c>
      <c r="BE314" t="s">
        <v>6274</v>
      </c>
      <c r="BF314" t="str">
        <f>HYPERLINK("http://dx.doi.org/10.1111/fwb.12368","http://dx.doi.org/10.1111/fwb.12368")</f>
        <v>http://dx.doi.org/10.1111/fwb.12368</v>
      </c>
      <c r="BG314" t="s">
        <v>74</v>
      </c>
      <c r="BH314" t="s">
        <v>74</v>
      </c>
      <c r="BI314">
        <v>11</v>
      </c>
      <c r="BJ314" t="s">
        <v>932</v>
      </c>
      <c r="BK314" t="s">
        <v>102</v>
      </c>
      <c r="BL314" t="s">
        <v>933</v>
      </c>
      <c r="BM314" t="s">
        <v>6275</v>
      </c>
      <c r="BN314" t="s">
        <v>74</v>
      </c>
      <c r="BO314" t="s">
        <v>74</v>
      </c>
      <c r="BP314" t="s">
        <v>74</v>
      </c>
      <c r="BQ314" t="s">
        <v>74</v>
      </c>
      <c r="BR314" t="s">
        <v>105</v>
      </c>
      <c r="BS314" t="s">
        <v>6276</v>
      </c>
      <c r="BT314" t="str">
        <f>HYPERLINK("https%3A%2F%2Fwww.webofscience.com%2Fwos%2Fwoscc%2Ffull-record%2FWOS:000339385100005","View Full Record in Web of Science")</f>
        <v>View Full Record in Web of Science</v>
      </c>
    </row>
    <row r="315" spans="1:72" x14ac:dyDescent="0.15">
      <c r="A315" t="s">
        <v>72</v>
      </c>
      <c r="B315" t="s">
        <v>6277</v>
      </c>
      <c r="C315" t="s">
        <v>74</v>
      </c>
      <c r="D315" t="s">
        <v>74</v>
      </c>
      <c r="E315" t="s">
        <v>74</v>
      </c>
      <c r="F315" t="s">
        <v>6278</v>
      </c>
      <c r="G315" t="s">
        <v>74</v>
      </c>
      <c r="H315" t="s">
        <v>74</v>
      </c>
      <c r="I315" t="s">
        <v>6279</v>
      </c>
      <c r="J315" t="s">
        <v>6280</v>
      </c>
      <c r="K315" t="s">
        <v>74</v>
      </c>
      <c r="L315" t="s">
        <v>74</v>
      </c>
      <c r="M315" t="s">
        <v>78</v>
      </c>
      <c r="N315" t="s">
        <v>79</v>
      </c>
      <c r="O315" t="s">
        <v>74</v>
      </c>
      <c r="P315" t="s">
        <v>74</v>
      </c>
      <c r="Q315" t="s">
        <v>74</v>
      </c>
      <c r="R315" t="s">
        <v>74</v>
      </c>
      <c r="S315" t="s">
        <v>74</v>
      </c>
      <c r="T315" t="s">
        <v>6281</v>
      </c>
      <c r="U315" t="s">
        <v>6282</v>
      </c>
      <c r="V315" t="s">
        <v>6283</v>
      </c>
      <c r="W315" t="s">
        <v>6284</v>
      </c>
      <c r="X315" t="s">
        <v>6285</v>
      </c>
      <c r="Y315" t="s">
        <v>6286</v>
      </c>
      <c r="Z315" t="s">
        <v>6287</v>
      </c>
      <c r="AA315" t="s">
        <v>6288</v>
      </c>
      <c r="AB315" t="s">
        <v>6289</v>
      </c>
      <c r="AC315" t="s">
        <v>6290</v>
      </c>
      <c r="AD315" t="s">
        <v>6290</v>
      </c>
      <c r="AE315" t="s">
        <v>6291</v>
      </c>
      <c r="AF315" t="s">
        <v>74</v>
      </c>
      <c r="AG315">
        <v>50</v>
      </c>
      <c r="AH315">
        <v>85</v>
      </c>
      <c r="AI315">
        <v>95</v>
      </c>
      <c r="AJ315">
        <v>2</v>
      </c>
      <c r="AK315">
        <v>78</v>
      </c>
      <c r="AL315" t="s">
        <v>171</v>
      </c>
      <c r="AM315" t="s">
        <v>93</v>
      </c>
      <c r="AN315" t="s">
        <v>94</v>
      </c>
      <c r="AO315" t="s">
        <v>6292</v>
      </c>
      <c r="AP315" t="s">
        <v>6293</v>
      </c>
      <c r="AQ315" t="s">
        <v>74</v>
      </c>
      <c r="AR315" t="s">
        <v>6294</v>
      </c>
      <c r="AS315" t="s">
        <v>6295</v>
      </c>
      <c r="AT315" t="s">
        <v>4934</v>
      </c>
      <c r="AU315">
        <v>2014</v>
      </c>
      <c r="AV315">
        <v>23</v>
      </c>
      <c r="AW315">
        <v>15</v>
      </c>
      <c r="AX315" t="s">
        <v>74</v>
      </c>
      <c r="AY315" t="s">
        <v>74</v>
      </c>
      <c r="AZ315" t="s">
        <v>258</v>
      </c>
      <c r="BA315" t="s">
        <v>74</v>
      </c>
      <c r="BB315">
        <v>3706</v>
      </c>
      <c r="BC315">
        <v>3718</v>
      </c>
      <c r="BD315" t="s">
        <v>74</v>
      </c>
      <c r="BE315" t="s">
        <v>6296</v>
      </c>
      <c r="BF315" t="str">
        <f>HYPERLINK("http://dx.doi.org/10.1111/mec.12523","http://dx.doi.org/10.1111/mec.12523")</f>
        <v>http://dx.doi.org/10.1111/mec.12523</v>
      </c>
      <c r="BG315" t="s">
        <v>74</v>
      </c>
      <c r="BH315" t="s">
        <v>74</v>
      </c>
      <c r="BI315">
        <v>13</v>
      </c>
      <c r="BJ315" t="s">
        <v>3983</v>
      </c>
      <c r="BK315" t="s">
        <v>102</v>
      </c>
      <c r="BL315" t="s">
        <v>3984</v>
      </c>
      <c r="BM315" t="s">
        <v>6297</v>
      </c>
      <c r="BN315">
        <v>24102760</v>
      </c>
      <c r="BO315" t="s">
        <v>74</v>
      </c>
      <c r="BP315" t="s">
        <v>74</v>
      </c>
      <c r="BQ315" t="s">
        <v>74</v>
      </c>
      <c r="BR315" t="s">
        <v>105</v>
      </c>
      <c r="BS315" t="s">
        <v>6298</v>
      </c>
      <c r="BT315" t="str">
        <f>HYPERLINK("https%3A%2F%2Fwww.webofscience.com%2Fwos%2Fwoscc%2Ffull-record%2FWOS:000339487300010","View Full Record in Web of Science")</f>
        <v>View Full Record in Web of Science</v>
      </c>
    </row>
    <row r="316" spans="1:72" x14ac:dyDescent="0.15">
      <c r="A316" t="s">
        <v>72</v>
      </c>
      <c r="B316" t="s">
        <v>6299</v>
      </c>
      <c r="C316" t="s">
        <v>74</v>
      </c>
      <c r="D316" t="s">
        <v>74</v>
      </c>
      <c r="E316" t="s">
        <v>74</v>
      </c>
      <c r="F316" t="s">
        <v>6300</v>
      </c>
      <c r="G316" t="s">
        <v>74</v>
      </c>
      <c r="H316" t="s">
        <v>74</v>
      </c>
      <c r="I316" t="s">
        <v>6301</v>
      </c>
      <c r="J316" t="s">
        <v>6280</v>
      </c>
      <c r="K316" t="s">
        <v>74</v>
      </c>
      <c r="L316" t="s">
        <v>74</v>
      </c>
      <c r="M316" t="s">
        <v>78</v>
      </c>
      <c r="N316" t="s">
        <v>79</v>
      </c>
      <c r="O316" t="s">
        <v>74</v>
      </c>
      <c r="P316" t="s">
        <v>74</v>
      </c>
      <c r="Q316" t="s">
        <v>74</v>
      </c>
      <c r="R316" t="s">
        <v>74</v>
      </c>
      <c r="S316" t="s">
        <v>74</v>
      </c>
      <c r="T316" t="s">
        <v>6302</v>
      </c>
      <c r="U316" t="s">
        <v>6303</v>
      </c>
      <c r="V316" t="s">
        <v>6304</v>
      </c>
      <c r="W316" t="s">
        <v>6305</v>
      </c>
      <c r="X316" t="s">
        <v>6306</v>
      </c>
      <c r="Y316" t="s">
        <v>6307</v>
      </c>
      <c r="Z316" t="s">
        <v>6308</v>
      </c>
      <c r="AA316" t="s">
        <v>6309</v>
      </c>
      <c r="AB316" t="s">
        <v>6310</v>
      </c>
      <c r="AC316" t="s">
        <v>6311</v>
      </c>
      <c r="AD316" t="s">
        <v>6312</v>
      </c>
      <c r="AE316" t="s">
        <v>6313</v>
      </c>
      <c r="AF316" t="s">
        <v>74</v>
      </c>
      <c r="AG316">
        <v>58</v>
      </c>
      <c r="AH316">
        <v>19</v>
      </c>
      <c r="AI316">
        <v>20</v>
      </c>
      <c r="AJ316">
        <v>1</v>
      </c>
      <c r="AK316">
        <v>48</v>
      </c>
      <c r="AL316" t="s">
        <v>171</v>
      </c>
      <c r="AM316" t="s">
        <v>93</v>
      </c>
      <c r="AN316" t="s">
        <v>94</v>
      </c>
      <c r="AO316" t="s">
        <v>6292</v>
      </c>
      <c r="AP316" t="s">
        <v>6293</v>
      </c>
      <c r="AQ316" t="s">
        <v>74</v>
      </c>
      <c r="AR316" t="s">
        <v>6294</v>
      </c>
      <c r="AS316" t="s">
        <v>6295</v>
      </c>
      <c r="AT316" t="s">
        <v>4934</v>
      </c>
      <c r="AU316">
        <v>2014</v>
      </c>
      <c r="AV316">
        <v>23</v>
      </c>
      <c r="AW316">
        <v>15</v>
      </c>
      <c r="AX316" t="s">
        <v>74</v>
      </c>
      <c r="AY316" t="s">
        <v>74</v>
      </c>
      <c r="AZ316" t="s">
        <v>258</v>
      </c>
      <c r="BA316" t="s">
        <v>74</v>
      </c>
      <c r="BB316">
        <v>3849</v>
      </c>
      <c r="BC316">
        <v>3869</v>
      </c>
      <c r="BD316" t="s">
        <v>74</v>
      </c>
      <c r="BE316" t="s">
        <v>6314</v>
      </c>
      <c r="BF316" t="str">
        <f>HYPERLINK("http://dx.doi.org/10.1111/mec.12795","http://dx.doi.org/10.1111/mec.12795")</f>
        <v>http://dx.doi.org/10.1111/mec.12795</v>
      </c>
      <c r="BG316" t="s">
        <v>74</v>
      </c>
      <c r="BH316" t="s">
        <v>74</v>
      </c>
      <c r="BI316">
        <v>21</v>
      </c>
      <c r="BJ316" t="s">
        <v>3983</v>
      </c>
      <c r="BK316" t="s">
        <v>102</v>
      </c>
      <c r="BL316" t="s">
        <v>3984</v>
      </c>
      <c r="BM316" t="s">
        <v>6297</v>
      </c>
      <c r="BN316">
        <v>24844936</v>
      </c>
      <c r="BO316" t="s">
        <v>74</v>
      </c>
      <c r="BP316" t="s">
        <v>74</v>
      </c>
      <c r="BQ316" t="s">
        <v>74</v>
      </c>
      <c r="BR316" t="s">
        <v>105</v>
      </c>
      <c r="BS316" t="s">
        <v>6315</v>
      </c>
      <c r="BT316" t="str">
        <f>HYPERLINK("https%3A%2F%2Fwww.webofscience.com%2Fwos%2Fwoscc%2Ffull-record%2FWOS:000339487300022","View Full Record in Web of Science")</f>
        <v>View Full Record in Web of Science</v>
      </c>
    </row>
    <row r="317" spans="1:72" x14ac:dyDescent="0.15">
      <c r="A317" t="s">
        <v>72</v>
      </c>
      <c r="B317" t="s">
        <v>6316</v>
      </c>
      <c r="C317" t="s">
        <v>74</v>
      </c>
      <c r="D317" t="s">
        <v>74</v>
      </c>
      <c r="E317" t="s">
        <v>74</v>
      </c>
      <c r="F317" t="s">
        <v>6317</v>
      </c>
      <c r="G317" t="s">
        <v>74</v>
      </c>
      <c r="H317" t="s">
        <v>74</v>
      </c>
      <c r="I317" t="s">
        <v>6318</v>
      </c>
      <c r="J317" t="s">
        <v>3277</v>
      </c>
      <c r="K317" t="s">
        <v>74</v>
      </c>
      <c r="L317" t="s">
        <v>74</v>
      </c>
      <c r="M317" t="s">
        <v>78</v>
      </c>
      <c r="N317" t="s">
        <v>79</v>
      </c>
      <c r="O317" t="s">
        <v>74</v>
      </c>
      <c r="P317" t="s">
        <v>74</v>
      </c>
      <c r="Q317" t="s">
        <v>74</v>
      </c>
      <c r="R317" t="s">
        <v>74</v>
      </c>
      <c r="S317" t="s">
        <v>74</v>
      </c>
      <c r="T317" t="s">
        <v>6319</v>
      </c>
      <c r="U317" t="s">
        <v>6320</v>
      </c>
      <c r="V317" t="s">
        <v>6321</v>
      </c>
      <c r="W317" t="s">
        <v>6322</v>
      </c>
      <c r="X317" t="s">
        <v>4323</v>
      </c>
      <c r="Y317" t="s">
        <v>6323</v>
      </c>
      <c r="Z317" t="s">
        <v>6324</v>
      </c>
      <c r="AA317" t="s">
        <v>74</v>
      </c>
      <c r="AB317" t="s">
        <v>74</v>
      </c>
      <c r="AC317" t="s">
        <v>4323</v>
      </c>
      <c r="AD317" t="s">
        <v>4323</v>
      </c>
      <c r="AE317" t="s">
        <v>6325</v>
      </c>
      <c r="AF317" t="s">
        <v>74</v>
      </c>
      <c r="AG317">
        <v>29</v>
      </c>
      <c r="AH317">
        <v>4</v>
      </c>
      <c r="AI317">
        <v>6</v>
      </c>
      <c r="AJ317">
        <v>0</v>
      </c>
      <c r="AK317">
        <v>12</v>
      </c>
      <c r="AL317" t="s">
        <v>224</v>
      </c>
      <c r="AM317" t="s">
        <v>225</v>
      </c>
      <c r="AN317" t="s">
        <v>226</v>
      </c>
      <c r="AO317" t="s">
        <v>3289</v>
      </c>
      <c r="AP317" t="s">
        <v>3290</v>
      </c>
      <c r="AQ317" t="s">
        <v>74</v>
      </c>
      <c r="AR317" t="s">
        <v>3291</v>
      </c>
      <c r="AS317" t="s">
        <v>3292</v>
      </c>
      <c r="AT317" t="s">
        <v>4934</v>
      </c>
      <c r="AU317">
        <v>2014</v>
      </c>
      <c r="AV317">
        <v>106</v>
      </c>
      <c r="AW317">
        <v>2</v>
      </c>
      <c r="AX317" t="s">
        <v>74</v>
      </c>
      <c r="AY317" t="s">
        <v>74</v>
      </c>
      <c r="AZ317" t="s">
        <v>74</v>
      </c>
      <c r="BA317" t="s">
        <v>74</v>
      </c>
      <c r="BB317">
        <v>381</v>
      </c>
      <c r="BC317">
        <v>389</v>
      </c>
      <c r="BD317" t="s">
        <v>74</v>
      </c>
      <c r="BE317" t="s">
        <v>6326</v>
      </c>
      <c r="BF317" t="str">
        <f>HYPERLINK("http://dx.doi.org/10.1007/s10482-014-0183-7","http://dx.doi.org/10.1007/s10482-014-0183-7")</f>
        <v>http://dx.doi.org/10.1007/s10482-014-0183-7</v>
      </c>
      <c r="BG317" t="s">
        <v>74</v>
      </c>
      <c r="BH317" t="s">
        <v>74</v>
      </c>
      <c r="BI317">
        <v>9</v>
      </c>
      <c r="BJ317" t="s">
        <v>1012</v>
      </c>
      <c r="BK317" t="s">
        <v>102</v>
      </c>
      <c r="BL317" t="s">
        <v>1012</v>
      </c>
      <c r="BM317" t="s">
        <v>6327</v>
      </c>
      <c r="BN317">
        <v>24819689</v>
      </c>
      <c r="BO317" t="s">
        <v>74</v>
      </c>
      <c r="BP317" t="s">
        <v>74</v>
      </c>
      <c r="BQ317" t="s">
        <v>74</v>
      </c>
      <c r="BR317" t="s">
        <v>105</v>
      </c>
      <c r="BS317" t="s">
        <v>6328</v>
      </c>
      <c r="BT317" t="str">
        <f>HYPERLINK("https%3A%2F%2Fwww.webofscience.com%2Fwos%2Fwoscc%2Ffull-record%2FWOS:000339374100022","View Full Record in Web of Science")</f>
        <v>View Full Record in Web of Science</v>
      </c>
    </row>
    <row r="318" spans="1:72" x14ac:dyDescent="0.15">
      <c r="A318" t="s">
        <v>72</v>
      </c>
      <c r="B318" t="s">
        <v>6329</v>
      </c>
      <c r="C318" t="s">
        <v>74</v>
      </c>
      <c r="D318" t="s">
        <v>74</v>
      </c>
      <c r="E318" t="s">
        <v>74</v>
      </c>
      <c r="F318" t="s">
        <v>6330</v>
      </c>
      <c r="G318" t="s">
        <v>74</v>
      </c>
      <c r="H318" t="s">
        <v>74</v>
      </c>
      <c r="I318" t="s">
        <v>6331</v>
      </c>
      <c r="J318" t="s">
        <v>6332</v>
      </c>
      <c r="K318" t="s">
        <v>74</v>
      </c>
      <c r="L318" t="s">
        <v>74</v>
      </c>
      <c r="M318" t="s">
        <v>78</v>
      </c>
      <c r="N318" t="s">
        <v>79</v>
      </c>
      <c r="O318" t="s">
        <v>74</v>
      </c>
      <c r="P318" t="s">
        <v>74</v>
      </c>
      <c r="Q318" t="s">
        <v>74</v>
      </c>
      <c r="R318" t="s">
        <v>74</v>
      </c>
      <c r="S318" t="s">
        <v>74</v>
      </c>
      <c r="T318" t="s">
        <v>6333</v>
      </c>
      <c r="U318" t="s">
        <v>6334</v>
      </c>
      <c r="V318" t="s">
        <v>6335</v>
      </c>
      <c r="W318" t="s">
        <v>6336</v>
      </c>
      <c r="X318" t="s">
        <v>6337</v>
      </c>
      <c r="Y318" t="s">
        <v>6338</v>
      </c>
      <c r="Z318" t="s">
        <v>6339</v>
      </c>
      <c r="AA318" t="s">
        <v>74</v>
      </c>
      <c r="AB318" t="s">
        <v>6340</v>
      </c>
      <c r="AC318" t="s">
        <v>6341</v>
      </c>
      <c r="AD318" t="s">
        <v>6342</v>
      </c>
      <c r="AE318" t="s">
        <v>6343</v>
      </c>
      <c r="AF318" t="s">
        <v>74</v>
      </c>
      <c r="AG318">
        <v>32</v>
      </c>
      <c r="AH318">
        <v>47</v>
      </c>
      <c r="AI318">
        <v>48</v>
      </c>
      <c r="AJ318">
        <v>3</v>
      </c>
      <c r="AK318">
        <v>67</v>
      </c>
      <c r="AL318" t="s">
        <v>250</v>
      </c>
      <c r="AM318" t="s">
        <v>251</v>
      </c>
      <c r="AN318" t="s">
        <v>252</v>
      </c>
      <c r="AO318" t="s">
        <v>6344</v>
      </c>
      <c r="AP318" t="s">
        <v>74</v>
      </c>
      <c r="AQ318" t="s">
        <v>74</v>
      </c>
      <c r="AR318" t="s">
        <v>6345</v>
      </c>
      <c r="AS318" t="s">
        <v>6346</v>
      </c>
      <c r="AT318" t="s">
        <v>4934</v>
      </c>
      <c r="AU318">
        <v>2014</v>
      </c>
      <c r="AV318">
        <v>98</v>
      </c>
      <c r="AW318" t="s">
        <v>74</v>
      </c>
      <c r="AX318" t="s">
        <v>74</v>
      </c>
      <c r="AY318" t="s">
        <v>74</v>
      </c>
      <c r="AZ318" t="s">
        <v>258</v>
      </c>
      <c r="BA318" t="s">
        <v>74</v>
      </c>
      <c r="BB318">
        <v>182</v>
      </c>
      <c r="BC318">
        <v>190</v>
      </c>
      <c r="BD318" t="s">
        <v>74</v>
      </c>
      <c r="BE318" t="s">
        <v>6347</v>
      </c>
      <c r="BF318" t="str">
        <f>HYPERLINK("http://dx.doi.org/10.1016/j.pss.2013.07.014","http://dx.doi.org/10.1016/j.pss.2013.07.014")</f>
        <v>http://dx.doi.org/10.1016/j.pss.2013.07.014</v>
      </c>
      <c r="BG318" t="s">
        <v>74</v>
      </c>
      <c r="BH318" t="s">
        <v>74</v>
      </c>
      <c r="BI318">
        <v>9</v>
      </c>
      <c r="BJ318" t="s">
        <v>339</v>
      </c>
      <c r="BK318" t="s">
        <v>102</v>
      </c>
      <c r="BL318" t="s">
        <v>339</v>
      </c>
      <c r="BM318" t="s">
        <v>6348</v>
      </c>
      <c r="BN318" t="s">
        <v>74</v>
      </c>
      <c r="BO318" t="s">
        <v>359</v>
      </c>
      <c r="BP318" t="s">
        <v>74</v>
      </c>
      <c r="BQ318" t="s">
        <v>74</v>
      </c>
      <c r="BR318" t="s">
        <v>105</v>
      </c>
      <c r="BS318" t="s">
        <v>6349</v>
      </c>
      <c r="BT318" t="str">
        <f>HYPERLINK("https%3A%2F%2Fwww.webofscience.com%2Fwos%2Fwoscc%2Ffull-record%2FWOS:000339129400016","View Full Record in Web of Science")</f>
        <v>View Full Record in Web of Science</v>
      </c>
    </row>
    <row r="319" spans="1:72" x14ac:dyDescent="0.15">
      <c r="A319" t="s">
        <v>72</v>
      </c>
      <c r="B319" t="s">
        <v>6350</v>
      </c>
      <c r="C319" t="s">
        <v>74</v>
      </c>
      <c r="D319" t="s">
        <v>74</v>
      </c>
      <c r="E319" t="s">
        <v>74</v>
      </c>
      <c r="F319" t="s">
        <v>6351</v>
      </c>
      <c r="G319" t="s">
        <v>74</v>
      </c>
      <c r="H319" t="s">
        <v>74</v>
      </c>
      <c r="I319" t="s">
        <v>6352</v>
      </c>
      <c r="J319" t="s">
        <v>3542</v>
      </c>
      <c r="K319" t="s">
        <v>74</v>
      </c>
      <c r="L319" t="s">
        <v>74</v>
      </c>
      <c r="M319" t="s">
        <v>78</v>
      </c>
      <c r="N319" t="s">
        <v>79</v>
      </c>
      <c r="O319" t="s">
        <v>74</v>
      </c>
      <c r="P319" t="s">
        <v>74</v>
      </c>
      <c r="Q319" t="s">
        <v>74</v>
      </c>
      <c r="R319" t="s">
        <v>74</v>
      </c>
      <c r="S319" t="s">
        <v>74</v>
      </c>
      <c r="T319" t="s">
        <v>6353</v>
      </c>
      <c r="U319" t="s">
        <v>6354</v>
      </c>
      <c r="V319" t="s">
        <v>6355</v>
      </c>
      <c r="W319" t="s">
        <v>6356</v>
      </c>
      <c r="X319" t="s">
        <v>6357</v>
      </c>
      <c r="Y319" t="s">
        <v>6358</v>
      </c>
      <c r="Z319" t="s">
        <v>6359</v>
      </c>
      <c r="AA319" t="s">
        <v>6360</v>
      </c>
      <c r="AB319" t="s">
        <v>6361</v>
      </c>
      <c r="AC319" t="s">
        <v>6362</v>
      </c>
      <c r="AD319" t="s">
        <v>6363</v>
      </c>
      <c r="AE319" t="s">
        <v>6364</v>
      </c>
      <c r="AF319" t="s">
        <v>74</v>
      </c>
      <c r="AG319">
        <v>196</v>
      </c>
      <c r="AH319">
        <v>64</v>
      </c>
      <c r="AI319">
        <v>68</v>
      </c>
      <c r="AJ319">
        <v>2</v>
      </c>
      <c r="AK319">
        <v>112</v>
      </c>
      <c r="AL319" t="s">
        <v>123</v>
      </c>
      <c r="AM319" t="s">
        <v>124</v>
      </c>
      <c r="AN319" t="s">
        <v>125</v>
      </c>
      <c r="AO319" t="s">
        <v>3551</v>
      </c>
      <c r="AP319" t="s">
        <v>3552</v>
      </c>
      <c r="AQ319" t="s">
        <v>74</v>
      </c>
      <c r="AR319" t="s">
        <v>3553</v>
      </c>
      <c r="AS319" t="s">
        <v>3554</v>
      </c>
      <c r="AT319" t="s">
        <v>4934</v>
      </c>
      <c r="AU319">
        <v>2014</v>
      </c>
      <c r="AV319">
        <v>119</v>
      </c>
      <c r="AW319" t="s">
        <v>74</v>
      </c>
      <c r="AX319" t="s">
        <v>74</v>
      </c>
      <c r="AY319" t="s">
        <v>74</v>
      </c>
      <c r="AZ319" t="s">
        <v>74</v>
      </c>
      <c r="BA319" t="s">
        <v>74</v>
      </c>
      <c r="BB319">
        <v>1</v>
      </c>
      <c r="BC319">
        <v>22</v>
      </c>
      <c r="BD319" t="s">
        <v>74</v>
      </c>
      <c r="BE319" t="s">
        <v>6365</v>
      </c>
      <c r="BF319" t="str">
        <f>HYPERLINK("http://dx.doi.org/10.1016/j.gloplacha.2014.04.004","http://dx.doi.org/10.1016/j.gloplacha.2014.04.004")</f>
        <v>http://dx.doi.org/10.1016/j.gloplacha.2014.04.004</v>
      </c>
      <c r="BG319" t="s">
        <v>74</v>
      </c>
      <c r="BH319" t="s">
        <v>74</v>
      </c>
      <c r="BI319">
        <v>22</v>
      </c>
      <c r="BJ319" t="s">
        <v>1427</v>
      </c>
      <c r="BK319" t="s">
        <v>102</v>
      </c>
      <c r="BL319" t="s">
        <v>1428</v>
      </c>
      <c r="BM319" t="s">
        <v>6366</v>
      </c>
      <c r="BN319" t="s">
        <v>74</v>
      </c>
      <c r="BO319" t="s">
        <v>74</v>
      </c>
      <c r="BP319" t="s">
        <v>74</v>
      </c>
      <c r="BQ319" t="s">
        <v>74</v>
      </c>
      <c r="BR319" t="s">
        <v>105</v>
      </c>
      <c r="BS319" t="s">
        <v>6367</v>
      </c>
      <c r="BT319" t="str">
        <f>HYPERLINK("https%3A%2F%2Fwww.webofscience.com%2Fwos%2Fwoscc%2Ffull-record%2FWOS:000338978900001","View Full Record in Web of Science")</f>
        <v>View Full Record in Web of Science</v>
      </c>
    </row>
    <row r="320" spans="1:72" x14ac:dyDescent="0.15">
      <c r="A320" t="s">
        <v>72</v>
      </c>
      <c r="B320" t="s">
        <v>6368</v>
      </c>
      <c r="C320" t="s">
        <v>74</v>
      </c>
      <c r="D320" t="s">
        <v>74</v>
      </c>
      <c r="E320" t="s">
        <v>74</v>
      </c>
      <c r="F320" t="s">
        <v>6369</v>
      </c>
      <c r="G320" t="s">
        <v>74</v>
      </c>
      <c r="H320" t="s">
        <v>74</v>
      </c>
      <c r="I320" t="s">
        <v>6370</v>
      </c>
      <c r="J320" t="s">
        <v>3542</v>
      </c>
      <c r="K320" t="s">
        <v>74</v>
      </c>
      <c r="L320" t="s">
        <v>74</v>
      </c>
      <c r="M320" t="s">
        <v>78</v>
      </c>
      <c r="N320" t="s">
        <v>79</v>
      </c>
      <c r="O320" t="s">
        <v>74</v>
      </c>
      <c r="P320" t="s">
        <v>74</v>
      </c>
      <c r="Q320" t="s">
        <v>74</v>
      </c>
      <c r="R320" t="s">
        <v>74</v>
      </c>
      <c r="S320" t="s">
        <v>74</v>
      </c>
      <c r="T320" t="s">
        <v>6371</v>
      </c>
      <c r="U320" t="s">
        <v>6372</v>
      </c>
      <c r="V320" t="s">
        <v>6373</v>
      </c>
      <c r="W320" t="s">
        <v>6374</v>
      </c>
      <c r="X320" t="s">
        <v>6375</v>
      </c>
      <c r="Y320" t="s">
        <v>6376</v>
      </c>
      <c r="Z320" t="s">
        <v>6377</v>
      </c>
      <c r="AA320" t="s">
        <v>6378</v>
      </c>
      <c r="AB320" t="s">
        <v>6379</v>
      </c>
      <c r="AC320" t="s">
        <v>6380</v>
      </c>
      <c r="AD320" t="s">
        <v>6381</v>
      </c>
      <c r="AE320" t="s">
        <v>6382</v>
      </c>
      <c r="AF320" t="s">
        <v>74</v>
      </c>
      <c r="AG320">
        <v>80</v>
      </c>
      <c r="AH320">
        <v>11</v>
      </c>
      <c r="AI320">
        <v>16</v>
      </c>
      <c r="AJ320">
        <v>2</v>
      </c>
      <c r="AK320">
        <v>33</v>
      </c>
      <c r="AL320" t="s">
        <v>753</v>
      </c>
      <c r="AM320" t="s">
        <v>124</v>
      </c>
      <c r="AN320" t="s">
        <v>754</v>
      </c>
      <c r="AO320" t="s">
        <v>3551</v>
      </c>
      <c r="AP320" t="s">
        <v>3552</v>
      </c>
      <c r="AQ320" t="s">
        <v>74</v>
      </c>
      <c r="AR320" t="s">
        <v>3553</v>
      </c>
      <c r="AS320" t="s">
        <v>3554</v>
      </c>
      <c r="AT320" t="s">
        <v>4934</v>
      </c>
      <c r="AU320">
        <v>2014</v>
      </c>
      <c r="AV320">
        <v>119</v>
      </c>
      <c r="AW320" t="s">
        <v>74</v>
      </c>
      <c r="AX320" t="s">
        <v>74</v>
      </c>
      <c r="AY320" t="s">
        <v>74</v>
      </c>
      <c r="AZ320" t="s">
        <v>74</v>
      </c>
      <c r="BA320" t="s">
        <v>74</v>
      </c>
      <c r="BB320">
        <v>56</v>
      </c>
      <c r="BC320">
        <v>70</v>
      </c>
      <c r="BD320" t="s">
        <v>74</v>
      </c>
      <c r="BE320" t="s">
        <v>6383</v>
      </c>
      <c r="BF320" t="str">
        <f>HYPERLINK("http://dx.doi.org/10.1016/j.gloplacha.2014.05.011","http://dx.doi.org/10.1016/j.gloplacha.2014.05.011")</f>
        <v>http://dx.doi.org/10.1016/j.gloplacha.2014.05.011</v>
      </c>
      <c r="BG320" t="s">
        <v>74</v>
      </c>
      <c r="BH320" t="s">
        <v>74</v>
      </c>
      <c r="BI320">
        <v>15</v>
      </c>
      <c r="BJ320" t="s">
        <v>1427</v>
      </c>
      <c r="BK320" t="s">
        <v>102</v>
      </c>
      <c r="BL320" t="s">
        <v>1428</v>
      </c>
      <c r="BM320" t="s">
        <v>6366</v>
      </c>
      <c r="BN320" t="s">
        <v>74</v>
      </c>
      <c r="BO320" t="s">
        <v>1274</v>
      </c>
      <c r="BP320" t="s">
        <v>74</v>
      </c>
      <c r="BQ320" t="s">
        <v>74</v>
      </c>
      <c r="BR320" t="s">
        <v>105</v>
      </c>
      <c r="BS320" t="s">
        <v>6384</v>
      </c>
      <c r="BT320" t="str">
        <f>HYPERLINK("https%3A%2F%2Fwww.webofscience.com%2Fwos%2Fwoscc%2Ffull-record%2FWOS:000338978900005","View Full Record in Web of Science")</f>
        <v>View Full Record in Web of Science</v>
      </c>
    </row>
    <row r="321" spans="1:72" x14ac:dyDescent="0.15">
      <c r="A321" t="s">
        <v>72</v>
      </c>
      <c r="B321" t="s">
        <v>6385</v>
      </c>
      <c r="C321" t="s">
        <v>74</v>
      </c>
      <c r="D321" t="s">
        <v>74</v>
      </c>
      <c r="E321" t="s">
        <v>74</v>
      </c>
      <c r="F321" t="s">
        <v>6386</v>
      </c>
      <c r="G321" t="s">
        <v>74</v>
      </c>
      <c r="H321" t="s">
        <v>74</v>
      </c>
      <c r="I321" t="s">
        <v>6387</v>
      </c>
      <c r="J321" t="s">
        <v>2984</v>
      </c>
      <c r="K321" t="s">
        <v>74</v>
      </c>
      <c r="L321" t="s">
        <v>74</v>
      </c>
      <c r="M321" t="s">
        <v>78</v>
      </c>
      <c r="N321" t="s">
        <v>79</v>
      </c>
      <c r="O321" t="s">
        <v>74</v>
      </c>
      <c r="P321" t="s">
        <v>74</v>
      </c>
      <c r="Q321" t="s">
        <v>74</v>
      </c>
      <c r="R321" t="s">
        <v>74</v>
      </c>
      <c r="S321" t="s">
        <v>74</v>
      </c>
      <c r="T321" t="s">
        <v>6388</v>
      </c>
      <c r="U321" t="s">
        <v>6389</v>
      </c>
      <c r="V321" t="s">
        <v>6390</v>
      </c>
      <c r="W321" t="s">
        <v>6391</v>
      </c>
      <c r="X321" t="s">
        <v>6392</v>
      </c>
      <c r="Y321" t="s">
        <v>6393</v>
      </c>
      <c r="Z321" t="s">
        <v>6394</v>
      </c>
      <c r="AA321" t="s">
        <v>6395</v>
      </c>
      <c r="AB321" t="s">
        <v>74</v>
      </c>
      <c r="AC321" t="s">
        <v>6396</v>
      </c>
      <c r="AD321" t="s">
        <v>6397</v>
      </c>
      <c r="AE321" t="s">
        <v>6398</v>
      </c>
      <c r="AF321" t="s">
        <v>74</v>
      </c>
      <c r="AG321">
        <v>54</v>
      </c>
      <c r="AH321">
        <v>18</v>
      </c>
      <c r="AI321">
        <v>21</v>
      </c>
      <c r="AJ321">
        <v>0</v>
      </c>
      <c r="AK321">
        <v>19</v>
      </c>
      <c r="AL321" t="s">
        <v>753</v>
      </c>
      <c r="AM321" t="s">
        <v>124</v>
      </c>
      <c r="AN321" t="s">
        <v>754</v>
      </c>
      <c r="AO321" t="s">
        <v>2997</v>
      </c>
      <c r="AP321" t="s">
        <v>2998</v>
      </c>
      <c r="AQ321" t="s">
        <v>74</v>
      </c>
      <c r="AR321" t="s">
        <v>2999</v>
      </c>
      <c r="AS321" t="s">
        <v>3000</v>
      </c>
      <c r="AT321" t="s">
        <v>4956</v>
      </c>
      <c r="AU321">
        <v>2014</v>
      </c>
      <c r="AV321">
        <v>399</v>
      </c>
      <c r="AW321" t="s">
        <v>74</v>
      </c>
      <c r="AX321" t="s">
        <v>74</v>
      </c>
      <c r="AY321" t="s">
        <v>74</v>
      </c>
      <c r="AZ321" t="s">
        <v>74</v>
      </c>
      <c r="BA321" t="s">
        <v>74</v>
      </c>
      <c r="BB321">
        <v>52</v>
      </c>
      <c r="BC321">
        <v>60</v>
      </c>
      <c r="BD321" t="s">
        <v>74</v>
      </c>
      <c r="BE321" t="s">
        <v>6399</v>
      </c>
      <c r="BF321" t="str">
        <f>HYPERLINK("http://dx.doi.org/10.1016/j.epsl.2014.05.001","http://dx.doi.org/10.1016/j.epsl.2014.05.001")</f>
        <v>http://dx.doi.org/10.1016/j.epsl.2014.05.001</v>
      </c>
      <c r="BG321" t="s">
        <v>74</v>
      </c>
      <c r="BH321" t="s">
        <v>74</v>
      </c>
      <c r="BI321">
        <v>9</v>
      </c>
      <c r="BJ321" t="s">
        <v>425</v>
      </c>
      <c r="BK321" t="s">
        <v>102</v>
      </c>
      <c r="BL321" t="s">
        <v>425</v>
      </c>
      <c r="BM321" t="s">
        <v>6400</v>
      </c>
      <c r="BN321" t="s">
        <v>74</v>
      </c>
      <c r="BO321" t="s">
        <v>2979</v>
      </c>
      <c r="BP321" t="s">
        <v>74</v>
      </c>
      <c r="BQ321" t="s">
        <v>74</v>
      </c>
      <c r="BR321" t="s">
        <v>105</v>
      </c>
      <c r="BS321" t="s">
        <v>6401</v>
      </c>
      <c r="BT321" t="str">
        <f>HYPERLINK("https%3A%2F%2Fwww.webofscience.com%2Fwos%2Fwoscc%2Ffull-record%2FWOS:000338620200006","View Full Record in Web of Science")</f>
        <v>View Full Record in Web of Science</v>
      </c>
    </row>
    <row r="322" spans="1:72" x14ac:dyDescent="0.15">
      <c r="A322" t="s">
        <v>72</v>
      </c>
      <c r="B322" t="s">
        <v>6402</v>
      </c>
      <c r="C322" t="s">
        <v>74</v>
      </c>
      <c r="D322" t="s">
        <v>74</v>
      </c>
      <c r="E322" t="s">
        <v>74</v>
      </c>
      <c r="F322" t="s">
        <v>6403</v>
      </c>
      <c r="G322" t="s">
        <v>74</v>
      </c>
      <c r="H322" t="s">
        <v>74</v>
      </c>
      <c r="I322" t="s">
        <v>6404</v>
      </c>
      <c r="J322" t="s">
        <v>6129</v>
      </c>
      <c r="K322" t="s">
        <v>74</v>
      </c>
      <c r="L322" t="s">
        <v>74</v>
      </c>
      <c r="M322" t="s">
        <v>78</v>
      </c>
      <c r="N322" t="s">
        <v>1516</v>
      </c>
      <c r="O322" t="s">
        <v>74</v>
      </c>
      <c r="P322" t="s">
        <v>74</v>
      </c>
      <c r="Q322" t="s">
        <v>74</v>
      </c>
      <c r="R322" t="s">
        <v>74</v>
      </c>
      <c r="S322" t="s">
        <v>74</v>
      </c>
      <c r="T322" t="s">
        <v>74</v>
      </c>
      <c r="U322" t="s">
        <v>74</v>
      </c>
      <c r="V322" t="s">
        <v>74</v>
      </c>
      <c r="W322" t="s">
        <v>74</v>
      </c>
      <c r="X322" t="s">
        <v>74</v>
      </c>
      <c r="Y322" t="s">
        <v>74</v>
      </c>
      <c r="Z322" t="s">
        <v>74</v>
      </c>
      <c r="AA322" t="s">
        <v>74</v>
      </c>
      <c r="AB322" t="s">
        <v>74</v>
      </c>
      <c r="AC322" t="s">
        <v>74</v>
      </c>
      <c r="AD322" t="s">
        <v>74</v>
      </c>
      <c r="AE322" t="s">
        <v>74</v>
      </c>
      <c r="AF322" t="s">
        <v>74</v>
      </c>
      <c r="AG322">
        <v>0</v>
      </c>
      <c r="AH322">
        <v>1</v>
      </c>
      <c r="AI322">
        <v>1</v>
      </c>
      <c r="AJ322">
        <v>1</v>
      </c>
      <c r="AK322">
        <v>9</v>
      </c>
      <c r="AL322" t="s">
        <v>2353</v>
      </c>
      <c r="AM322" t="s">
        <v>576</v>
      </c>
      <c r="AN322" t="s">
        <v>2354</v>
      </c>
      <c r="AO322" t="s">
        <v>6139</v>
      </c>
      <c r="AP322" t="s">
        <v>6140</v>
      </c>
      <c r="AQ322" t="s">
        <v>74</v>
      </c>
      <c r="AR322" t="s">
        <v>6141</v>
      </c>
      <c r="AS322" t="s">
        <v>6142</v>
      </c>
      <c r="AT322" t="s">
        <v>4934</v>
      </c>
      <c r="AU322">
        <v>2014</v>
      </c>
      <c r="AV322">
        <v>26</v>
      </c>
      <c r="AW322">
        <v>4</v>
      </c>
      <c r="AX322" t="s">
        <v>74</v>
      </c>
      <c r="AY322" t="s">
        <v>74</v>
      </c>
      <c r="AZ322" t="s">
        <v>74</v>
      </c>
      <c r="BA322" t="s">
        <v>74</v>
      </c>
      <c r="BB322">
        <v>329</v>
      </c>
      <c r="BC322">
        <v>329</v>
      </c>
      <c r="BD322" t="s">
        <v>74</v>
      </c>
      <c r="BE322" t="s">
        <v>6405</v>
      </c>
      <c r="BF322" t="str">
        <f>HYPERLINK("http://dx.doi.org/10.1017/S0954102014000492","http://dx.doi.org/10.1017/S0954102014000492")</f>
        <v>http://dx.doi.org/10.1017/S0954102014000492</v>
      </c>
      <c r="BG322" t="s">
        <v>74</v>
      </c>
      <c r="BH322" t="s">
        <v>74</v>
      </c>
      <c r="BI322">
        <v>1</v>
      </c>
      <c r="BJ322" t="s">
        <v>6144</v>
      </c>
      <c r="BK322" t="s">
        <v>102</v>
      </c>
      <c r="BL322" t="s">
        <v>6145</v>
      </c>
      <c r="BM322" t="s">
        <v>6146</v>
      </c>
      <c r="BN322" t="s">
        <v>74</v>
      </c>
      <c r="BO322" t="s">
        <v>427</v>
      </c>
      <c r="BP322" t="s">
        <v>74</v>
      </c>
      <c r="BQ322" t="s">
        <v>74</v>
      </c>
      <c r="BR322" t="s">
        <v>105</v>
      </c>
      <c r="BS322" t="s">
        <v>6406</v>
      </c>
      <c r="BT322" t="str">
        <f>HYPERLINK("https%3A%2F%2Fwww.webofscience.com%2Fwos%2Fwoscc%2Ffull-record%2FWOS:000339377300001","View Full Record in Web of Science")</f>
        <v>View Full Record in Web of Science</v>
      </c>
    </row>
    <row r="323" spans="1:72" x14ac:dyDescent="0.15">
      <c r="A323" t="s">
        <v>72</v>
      </c>
      <c r="B323" t="s">
        <v>6407</v>
      </c>
      <c r="C323" t="s">
        <v>74</v>
      </c>
      <c r="D323" t="s">
        <v>74</v>
      </c>
      <c r="E323" t="s">
        <v>74</v>
      </c>
      <c r="F323" t="s">
        <v>6408</v>
      </c>
      <c r="G323" t="s">
        <v>74</v>
      </c>
      <c r="H323" t="s">
        <v>74</v>
      </c>
      <c r="I323" t="s">
        <v>6409</v>
      </c>
      <c r="J323" t="s">
        <v>6129</v>
      </c>
      <c r="K323" t="s">
        <v>74</v>
      </c>
      <c r="L323" t="s">
        <v>74</v>
      </c>
      <c r="M323" t="s">
        <v>78</v>
      </c>
      <c r="N323" t="s">
        <v>79</v>
      </c>
      <c r="O323" t="s">
        <v>74</v>
      </c>
      <c r="P323" t="s">
        <v>74</v>
      </c>
      <c r="Q323" t="s">
        <v>74</v>
      </c>
      <c r="R323" t="s">
        <v>74</v>
      </c>
      <c r="S323" t="s">
        <v>74</v>
      </c>
      <c r="T323" t="s">
        <v>6410</v>
      </c>
      <c r="U323" t="s">
        <v>74</v>
      </c>
      <c r="V323" t="s">
        <v>6411</v>
      </c>
      <c r="W323" t="s">
        <v>6412</v>
      </c>
      <c r="X323" t="s">
        <v>6413</v>
      </c>
      <c r="Y323" t="s">
        <v>6414</v>
      </c>
      <c r="Z323" t="s">
        <v>6415</v>
      </c>
      <c r="AA323" t="s">
        <v>6416</v>
      </c>
      <c r="AB323" t="s">
        <v>6417</v>
      </c>
      <c r="AC323" t="s">
        <v>6418</v>
      </c>
      <c r="AD323" t="s">
        <v>6419</v>
      </c>
      <c r="AE323" t="s">
        <v>6420</v>
      </c>
      <c r="AF323" t="s">
        <v>74</v>
      </c>
      <c r="AG323">
        <v>31</v>
      </c>
      <c r="AH323">
        <v>4</v>
      </c>
      <c r="AI323">
        <v>5</v>
      </c>
      <c r="AJ323">
        <v>0</v>
      </c>
      <c r="AK323">
        <v>7</v>
      </c>
      <c r="AL323" t="s">
        <v>2353</v>
      </c>
      <c r="AM323" t="s">
        <v>576</v>
      </c>
      <c r="AN323" t="s">
        <v>2354</v>
      </c>
      <c r="AO323" t="s">
        <v>6139</v>
      </c>
      <c r="AP323" t="s">
        <v>6140</v>
      </c>
      <c r="AQ323" t="s">
        <v>74</v>
      </c>
      <c r="AR323" t="s">
        <v>6141</v>
      </c>
      <c r="AS323" t="s">
        <v>6142</v>
      </c>
      <c r="AT323" t="s">
        <v>4934</v>
      </c>
      <c r="AU323">
        <v>2014</v>
      </c>
      <c r="AV323">
        <v>26</v>
      </c>
      <c r="AW323">
        <v>4</v>
      </c>
      <c r="AX323" t="s">
        <v>74</v>
      </c>
      <c r="AY323" t="s">
        <v>74</v>
      </c>
      <c r="AZ323" t="s">
        <v>74</v>
      </c>
      <c r="BA323" t="s">
        <v>74</v>
      </c>
      <c r="BB323">
        <v>384</v>
      </c>
      <c r="BC323">
        <v>388</v>
      </c>
      <c r="BD323" t="s">
        <v>74</v>
      </c>
      <c r="BE323" t="s">
        <v>6421</v>
      </c>
      <c r="BF323" t="str">
        <f>HYPERLINK("http://dx.doi.org/10.1017/S0954102013000771","http://dx.doi.org/10.1017/S0954102013000771")</f>
        <v>http://dx.doi.org/10.1017/S0954102013000771</v>
      </c>
      <c r="BG323" t="s">
        <v>74</v>
      </c>
      <c r="BH323" t="s">
        <v>74</v>
      </c>
      <c r="BI323">
        <v>5</v>
      </c>
      <c r="BJ323" t="s">
        <v>6144</v>
      </c>
      <c r="BK323" t="s">
        <v>102</v>
      </c>
      <c r="BL323" t="s">
        <v>6145</v>
      </c>
      <c r="BM323" t="s">
        <v>6146</v>
      </c>
      <c r="BN323" t="s">
        <v>74</v>
      </c>
      <c r="BO323" t="s">
        <v>74</v>
      </c>
      <c r="BP323" t="s">
        <v>74</v>
      </c>
      <c r="BQ323" t="s">
        <v>74</v>
      </c>
      <c r="BR323" t="s">
        <v>105</v>
      </c>
      <c r="BS323" t="s">
        <v>6422</v>
      </c>
      <c r="BT323" t="str">
        <f>HYPERLINK("https%3A%2F%2Fwww.webofscience.com%2Fwos%2Fwoscc%2Ffull-record%2FWOS:000339377300009","View Full Record in Web of Science")</f>
        <v>View Full Record in Web of Science</v>
      </c>
    </row>
    <row r="324" spans="1:72" x14ac:dyDescent="0.15">
      <c r="A324" t="s">
        <v>72</v>
      </c>
      <c r="B324" t="s">
        <v>6423</v>
      </c>
      <c r="C324" t="s">
        <v>74</v>
      </c>
      <c r="D324" t="s">
        <v>74</v>
      </c>
      <c r="E324" t="s">
        <v>74</v>
      </c>
      <c r="F324" t="s">
        <v>6424</v>
      </c>
      <c r="G324" t="s">
        <v>74</v>
      </c>
      <c r="H324" t="s">
        <v>74</v>
      </c>
      <c r="I324" t="s">
        <v>6425</v>
      </c>
      <c r="J324" t="s">
        <v>6129</v>
      </c>
      <c r="K324" t="s">
        <v>74</v>
      </c>
      <c r="L324" t="s">
        <v>74</v>
      </c>
      <c r="M324" t="s">
        <v>78</v>
      </c>
      <c r="N324" t="s">
        <v>79</v>
      </c>
      <c r="O324" t="s">
        <v>74</v>
      </c>
      <c r="P324" t="s">
        <v>74</v>
      </c>
      <c r="Q324" t="s">
        <v>74</v>
      </c>
      <c r="R324" t="s">
        <v>74</v>
      </c>
      <c r="S324" t="s">
        <v>74</v>
      </c>
      <c r="T324" t="s">
        <v>6426</v>
      </c>
      <c r="U324" t="s">
        <v>6427</v>
      </c>
      <c r="V324" t="s">
        <v>6428</v>
      </c>
      <c r="W324" t="s">
        <v>6429</v>
      </c>
      <c r="X324" t="s">
        <v>6430</v>
      </c>
      <c r="Y324" t="s">
        <v>6431</v>
      </c>
      <c r="Z324" t="s">
        <v>6432</v>
      </c>
      <c r="AA324" t="s">
        <v>6433</v>
      </c>
      <c r="AB324" t="s">
        <v>6434</v>
      </c>
      <c r="AC324" t="s">
        <v>6435</v>
      </c>
      <c r="AD324" t="s">
        <v>678</v>
      </c>
      <c r="AE324" t="s">
        <v>74</v>
      </c>
      <c r="AF324" t="s">
        <v>74</v>
      </c>
      <c r="AG324">
        <v>39</v>
      </c>
      <c r="AH324">
        <v>9</v>
      </c>
      <c r="AI324">
        <v>10</v>
      </c>
      <c r="AJ324">
        <v>0</v>
      </c>
      <c r="AK324">
        <v>5</v>
      </c>
      <c r="AL324" t="s">
        <v>2353</v>
      </c>
      <c r="AM324" t="s">
        <v>576</v>
      </c>
      <c r="AN324" t="s">
        <v>2354</v>
      </c>
      <c r="AO324" t="s">
        <v>6139</v>
      </c>
      <c r="AP324" t="s">
        <v>6140</v>
      </c>
      <c r="AQ324" t="s">
        <v>74</v>
      </c>
      <c r="AR324" t="s">
        <v>6141</v>
      </c>
      <c r="AS324" t="s">
        <v>6142</v>
      </c>
      <c r="AT324" t="s">
        <v>4934</v>
      </c>
      <c r="AU324">
        <v>2014</v>
      </c>
      <c r="AV324">
        <v>26</v>
      </c>
      <c r="AW324">
        <v>4</v>
      </c>
      <c r="AX324" t="s">
        <v>74</v>
      </c>
      <c r="AY324" t="s">
        <v>74</v>
      </c>
      <c r="AZ324" t="s">
        <v>74</v>
      </c>
      <c r="BA324" t="s">
        <v>74</v>
      </c>
      <c r="BB324">
        <v>389</v>
      </c>
      <c r="BC324">
        <v>399</v>
      </c>
      <c r="BD324" t="s">
        <v>74</v>
      </c>
      <c r="BE324" t="s">
        <v>6436</v>
      </c>
      <c r="BF324" t="str">
        <f>HYPERLINK("http://dx.doi.org/10.1017/S0954102013000916","http://dx.doi.org/10.1017/S0954102013000916")</f>
        <v>http://dx.doi.org/10.1017/S0954102013000916</v>
      </c>
      <c r="BG324" t="s">
        <v>74</v>
      </c>
      <c r="BH324" t="s">
        <v>74</v>
      </c>
      <c r="BI324">
        <v>11</v>
      </c>
      <c r="BJ324" t="s">
        <v>6144</v>
      </c>
      <c r="BK324" t="s">
        <v>102</v>
      </c>
      <c r="BL324" t="s">
        <v>6145</v>
      </c>
      <c r="BM324" t="s">
        <v>6146</v>
      </c>
      <c r="BN324" t="s">
        <v>74</v>
      </c>
      <c r="BO324" t="s">
        <v>359</v>
      </c>
      <c r="BP324" t="s">
        <v>74</v>
      </c>
      <c r="BQ324" t="s">
        <v>74</v>
      </c>
      <c r="BR324" t="s">
        <v>105</v>
      </c>
      <c r="BS324" t="s">
        <v>6437</v>
      </c>
      <c r="BT324" t="str">
        <f>HYPERLINK("https%3A%2F%2Fwww.webofscience.com%2Fwos%2Fwoscc%2Ffull-record%2FWOS:000339377300010","View Full Record in Web of Science")</f>
        <v>View Full Record in Web of Science</v>
      </c>
    </row>
    <row r="325" spans="1:72" x14ac:dyDescent="0.15">
      <c r="A325" t="s">
        <v>72</v>
      </c>
      <c r="B325" t="s">
        <v>6438</v>
      </c>
      <c r="C325" t="s">
        <v>74</v>
      </c>
      <c r="D325" t="s">
        <v>74</v>
      </c>
      <c r="E325" t="s">
        <v>74</v>
      </c>
      <c r="F325" t="s">
        <v>6439</v>
      </c>
      <c r="G325" t="s">
        <v>74</v>
      </c>
      <c r="H325" t="s">
        <v>74</v>
      </c>
      <c r="I325" t="s">
        <v>6440</v>
      </c>
      <c r="J325" t="s">
        <v>6129</v>
      </c>
      <c r="K325" t="s">
        <v>74</v>
      </c>
      <c r="L325" t="s">
        <v>74</v>
      </c>
      <c r="M325" t="s">
        <v>78</v>
      </c>
      <c r="N325" t="s">
        <v>79</v>
      </c>
      <c r="O325" t="s">
        <v>74</v>
      </c>
      <c r="P325" t="s">
        <v>74</v>
      </c>
      <c r="Q325" t="s">
        <v>74</v>
      </c>
      <c r="R325" t="s">
        <v>74</v>
      </c>
      <c r="S325" t="s">
        <v>74</v>
      </c>
      <c r="T325" t="s">
        <v>6441</v>
      </c>
      <c r="U325" t="s">
        <v>6442</v>
      </c>
      <c r="V325" t="s">
        <v>6443</v>
      </c>
      <c r="W325" t="s">
        <v>6444</v>
      </c>
      <c r="X325" t="s">
        <v>6445</v>
      </c>
      <c r="Y325" t="s">
        <v>6446</v>
      </c>
      <c r="Z325" t="s">
        <v>6447</v>
      </c>
      <c r="AA325" t="s">
        <v>6448</v>
      </c>
      <c r="AB325" t="s">
        <v>6449</v>
      </c>
      <c r="AC325" t="s">
        <v>6450</v>
      </c>
      <c r="AD325" t="s">
        <v>6451</v>
      </c>
      <c r="AE325" t="s">
        <v>6452</v>
      </c>
      <c r="AF325" t="s">
        <v>74</v>
      </c>
      <c r="AG325">
        <v>35</v>
      </c>
      <c r="AH325">
        <v>9</v>
      </c>
      <c r="AI325">
        <v>9</v>
      </c>
      <c r="AJ325">
        <v>0</v>
      </c>
      <c r="AK325">
        <v>8</v>
      </c>
      <c r="AL325" t="s">
        <v>2353</v>
      </c>
      <c r="AM325" t="s">
        <v>576</v>
      </c>
      <c r="AN325" t="s">
        <v>2354</v>
      </c>
      <c r="AO325" t="s">
        <v>6139</v>
      </c>
      <c r="AP325" t="s">
        <v>6140</v>
      </c>
      <c r="AQ325" t="s">
        <v>74</v>
      </c>
      <c r="AR325" t="s">
        <v>6141</v>
      </c>
      <c r="AS325" t="s">
        <v>6142</v>
      </c>
      <c r="AT325" t="s">
        <v>4934</v>
      </c>
      <c r="AU325">
        <v>2014</v>
      </c>
      <c r="AV325">
        <v>26</v>
      </c>
      <c r="AW325">
        <v>4</v>
      </c>
      <c r="AX325" t="s">
        <v>74</v>
      </c>
      <c r="AY325" t="s">
        <v>74</v>
      </c>
      <c r="AZ325" t="s">
        <v>74</v>
      </c>
      <c r="BA325" t="s">
        <v>74</v>
      </c>
      <c r="BB325">
        <v>400</v>
      </c>
      <c r="BC325">
        <v>412</v>
      </c>
      <c r="BD325" t="s">
        <v>74</v>
      </c>
      <c r="BE325" t="s">
        <v>6453</v>
      </c>
      <c r="BF325" t="str">
        <f>HYPERLINK("http://dx.doi.org/10.1017/S0954102013000783","http://dx.doi.org/10.1017/S0954102013000783")</f>
        <v>http://dx.doi.org/10.1017/S0954102013000783</v>
      </c>
      <c r="BG325" t="s">
        <v>74</v>
      </c>
      <c r="BH325" t="s">
        <v>74</v>
      </c>
      <c r="BI325">
        <v>13</v>
      </c>
      <c r="BJ325" t="s">
        <v>6144</v>
      </c>
      <c r="BK325" t="s">
        <v>102</v>
      </c>
      <c r="BL325" t="s">
        <v>6145</v>
      </c>
      <c r="BM325" t="s">
        <v>6146</v>
      </c>
      <c r="BN325" t="s">
        <v>74</v>
      </c>
      <c r="BO325" t="s">
        <v>74</v>
      </c>
      <c r="BP325" t="s">
        <v>74</v>
      </c>
      <c r="BQ325" t="s">
        <v>74</v>
      </c>
      <c r="BR325" t="s">
        <v>105</v>
      </c>
      <c r="BS325" t="s">
        <v>6454</v>
      </c>
      <c r="BT325" t="str">
        <f>HYPERLINK("https%3A%2F%2Fwww.webofscience.com%2Fwos%2Fwoscc%2Ffull-record%2FWOS:000339377300011","View Full Record in Web of Science")</f>
        <v>View Full Record in Web of Science</v>
      </c>
    </row>
    <row r="326" spans="1:72" x14ac:dyDescent="0.15">
      <c r="A326" t="s">
        <v>72</v>
      </c>
      <c r="B326" t="s">
        <v>6455</v>
      </c>
      <c r="C326" t="s">
        <v>74</v>
      </c>
      <c r="D326" t="s">
        <v>74</v>
      </c>
      <c r="E326" t="s">
        <v>74</v>
      </c>
      <c r="F326" t="s">
        <v>6456</v>
      </c>
      <c r="G326" t="s">
        <v>74</v>
      </c>
      <c r="H326" t="s">
        <v>74</v>
      </c>
      <c r="I326" t="s">
        <v>6457</v>
      </c>
      <c r="J326" t="s">
        <v>6129</v>
      </c>
      <c r="K326" t="s">
        <v>74</v>
      </c>
      <c r="L326" t="s">
        <v>74</v>
      </c>
      <c r="M326" t="s">
        <v>78</v>
      </c>
      <c r="N326" t="s">
        <v>79</v>
      </c>
      <c r="O326" t="s">
        <v>74</v>
      </c>
      <c r="P326" t="s">
        <v>74</v>
      </c>
      <c r="Q326" t="s">
        <v>74</v>
      </c>
      <c r="R326" t="s">
        <v>74</v>
      </c>
      <c r="S326" t="s">
        <v>74</v>
      </c>
      <c r="T326" t="s">
        <v>6458</v>
      </c>
      <c r="U326" t="s">
        <v>6459</v>
      </c>
      <c r="V326" t="s">
        <v>6460</v>
      </c>
      <c r="W326" t="s">
        <v>6461</v>
      </c>
      <c r="X326" t="s">
        <v>6462</v>
      </c>
      <c r="Y326" t="s">
        <v>6463</v>
      </c>
      <c r="Z326" t="s">
        <v>6464</v>
      </c>
      <c r="AA326" t="s">
        <v>6465</v>
      </c>
      <c r="AB326" t="s">
        <v>6466</v>
      </c>
      <c r="AC326" t="s">
        <v>6467</v>
      </c>
      <c r="AD326" t="s">
        <v>6468</v>
      </c>
      <c r="AE326" t="s">
        <v>6469</v>
      </c>
      <c r="AF326" t="s">
        <v>74</v>
      </c>
      <c r="AG326">
        <v>44</v>
      </c>
      <c r="AH326">
        <v>17</v>
      </c>
      <c r="AI326">
        <v>19</v>
      </c>
      <c r="AJ326">
        <v>0</v>
      </c>
      <c r="AK326">
        <v>24</v>
      </c>
      <c r="AL326" t="s">
        <v>2353</v>
      </c>
      <c r="AM326" t="s">
        <v>576</v>
      </c>
      <c r="AN326" t="s">
        <v>2354</v>
      </c>
      <c r="AO326" t="s">
        <v>6139</v>
      </c>
      <c r="AP326" t="s">
        <v>6140</v>
      </c>
      <c r="AQ326" t="s">
        <v>74</v>
      </c>
      <c r="AR326" t="s">
        <v>6141</v>
      </c>
      <c r="AS326" t="s">
        <v>6142</v>
      </c>
      <c r="AT326" t="s">
        <v>4934</v>
      </c>
      <c r="AU326">
        <v>2014</v>
      </c>
      <c r="AV326">
        <v>26</v>
      </c>
      <c r="AW326">
        <v>4</v>
      </c>
      <c r="AX326" t="s">
        <v>74</v>
      </c>
      <c r="AY326" t="s">
        <v>74</v>
      </c>
      <c r="AZ326" t="s">
        <v>74</v>
      </c>
      <c r="BA326" t="s">
        <v>74</v>
      </c>
      <c r="BB326">
        <v>413</v>
      </c>
      <c r="BC326">
        <v>426</v>
      </c>
      <c r="BD326" t="s">
        <v>74</v>
      </c>
      <c r="BE326" t="s">
        <v>6470</v>
      </c>
      <c r="BF326" t="str">
        <f>HYPERLINK("http://dx.doi.org/10.1017/S0954102013000710","http://dx.doi.org/10.1017/S0954102013000710")</f>
        <v>http://dx.doi.org/10.1017/S0954102013000710</v>
      </c>
      <c r="BG326" t="s">
        <v>74</v>
      </c>
      <c r="BH326" t="s">
        <v>74</v>
      </c>
      <c r="BI326">
        <v>14</v>
      </c>
      <c r="BJ326" t="s">
        <v>6144</v>
      </c>
      <c r="BK326" t="s">
        <v>102</v>
      </c>
      <c r="BL326" t="s">
        <v>6145</v>
      </c>
      <c r="BM326" t="s">
        <v>6146</v>
      </c>
      <c r="BN326" t="s">
        <v>74</v>
      </c>
      <c r="BO326" t="s">
        <v>74</v>
      </c>
      <c r="BP326" t="s">
        <v>74</v>
      </c>
      <c r="BQ326" t="s">
        <v>74</v>
      </c>
      <c r="BR326" t="s">
        <v>105</v>
      </c>
      <c r="BS326" t="s">
        <v>6471</v>
      </c>
      <c r="BT326" t="str">
        <f>HYPERLINK("https%3A%2F%2Fwww.webofscience.com%2Fwos%2Fwoscc%2Ffull-record%2FWOS:000339377300012","View Full Record in Web of Science")</f>
        <v>View Full Record in Web of Science</v>
      </c>
    </row>
    <row r="327" spans="1:72" x14ac:dyDescent="0.15">
      <c r="A327" t="s">
        <v>72</v>
      </c>
      <c r="B327" t="s">
        <v>6472</v>
      </c>
      <c r="C327" t="s">
        <v>74</v>
      </c>
      <c r="D327" t="s">
        <v>74</v>
      </c>
      <c r="E327" t="s">
        <v>74</v>
      </c>
      <c r="F327" t="s">
        <v>6473</v>
      </c>
      <c r="G327" t="s">
        <v>74</v>
      </c>
      <c r="H327" t="s">
        <v>74</v>
      </c>
      <c r="I327" t="s">
        <v>6474</v>
      </c>
      <c r="J327" t="s">
        <v>6129</v>
      </c>
      <c r="K327" t="s">
        <v>74</v>
      </c>
      <c r="L327" t="s">
        <v>74</v>
      </c>
      <c r="M327" t="s">
        <v>78</v>
      </c>
      <c r="N327" t="s">
        <v>79</v>
      </c>
      <c r="O327" t="s">
        <v>74</v>
      </c>
      <c r="P327" t="s">
        <v>74</v>
      </c>
      <c r="Q327" t="s">
        <v>74</v>
      </c>
      <c r="R327" t="s">
        <v>74</v>
      </c>
      <c r="S327" t="s">
        <v>74</v>
      </c>
      <c r="T327" t="s">
        <v>6475</v>
      </c>
      <c r="U327" t="s">
        <v>6476</v>
      </c>
      <c r="V327" t="s">
        <v>6477</v>
      </c>
      <c r="W327" t="s">
        <v>6478</v>
      </c>
      <c r="X327" t="s">
        <v>6479</v>
      </c>
      <c r="Y327" t="s">
        <v>6480</v>
      </c>
      <c r="Z327" t="s">
        <v>6481</v>
      </c>
      <c r="AA327" t="s">
        <v>6482</v>
      </c>
      <c r="AB327" t="s">
        <v>74</v>
      </c>
      <c r="AC327" t="s">
        <v>6483</v>
      </c>
      <c r="AD327" t="s">
        <v>6484</v>
      </c>
      <c r="AE327" t="s">
        <v>6485</v>
      </c>
      <c r="AF327" t="s">
        <v>74</v>
      </c>
      <c r="AG327">
        <v>26</v>
      </c>
      <c r="AH327">
        <v>5</v>
      </c>
      <c r="AI327">
        <v>5</v>
      </c>
      <c r="AJ327">
        <v>1</v>
      </c>
      <c r="AK327">
        <v>29</v>
      </c>
      <c r="AL327" t="s">
        <v>2353</v>
      </c>
      <c r="AM327" t="s">
        <v>576</v>
      </c>
      <c r="AN327" t="s">
        <v>2354</v>
      </c>
      <c r="AO327" t="s">
        <v>6139</v>
      </c>
      <c r="AP327" t="s">
        <v>6140</v>
      </c>
      <c r="AQ327" t="s">
        <v>74</v>
      </c>
      <c r="AR327" t="s">
        <v>6141</v>
      </c>
      <c r="AS327" t="s">
        <v>6142</v>
      </c>
      <c r="AT327" t="s">
        <v>4934</v>
      </c>
      <c r="AU327">
        <v>2014</v>
      </c>
      <c r="AV327">
        <v>26</v>
      </c>
      <c r="AW327">
        <v>4</v>
      </c>
      <c r="AX327" t="s">
        <v>74</v>
      </c>
      <c r="AY327" t="s">
        <v>74</v>
      </c>
      <c r="AZ327" t="s">
        <v>74</v>
      </c>
      <c r="BA327" t="s">
        <v>74</v>
      </c>
      <c r="BB327">
        <v>445</v>
      </c>
      <c r="BC327">
        <v>451</v>
      </c>
      <c r="BD327" t="s">
        <v>74</v>
      </c>
      <c r="BE327" t="s">
        <v>6486</v>
      </c>
      <c r="BF327" t="str">
        <f>HYPERLINK("http://dx.doi.org/10.1017/S0954102013000734","http://dx.doi.org/10.1017/S0954102013000734")</f>
        <v>http://dx.doi.org/10.1017/S0954102013000734</v>
      </c>
      <c r="BG327" t="s">
        <v>74</v>
      </c>
      <c r="BH327" t="s">
        <v>74</v>
      </c>
      <c r="BI327">
        <v>7</v>
      </c>
      <c r="BJ327" t="s">
        <v>6144</v>
      </c>
      <c r="BK327" t="s">
        <v>102</v>
      </c>
      <c r="BL327" t="s">
        <v>6145</v>
      </c>
      <c r="BM327" t="s">
        <v>6146</v>
      </c>
      <c r="BN327" t="s">
        <v>74</v>
      </c>
      <c r="BO327" t="s">
        <v>74</v>
      </c>
      <c r="BP327" t="s">
        <v>74</v>
      </c>
      <c r="BQ327" t="s">
        <v>74</v>
      </c>
      <c r="BR327" t="s">
        <v>105</v>
      </c>
      <c r="BS327" t="s">
        <v>6487</v>
      </c>
      <c r="BT327" t="str">
        <f>HYPERLINK("https%3A%2F%2Fwww.webofscience.com%2Fwos%2Fwoscc%2Ffull-record%2FWOS:000339377300014","View Full Record in Web of Science")</f>
        <v>View Full Record in Web of Science</v>
      </c>
    </row>
    <row r="328" spans="1:72" x14ac:dyDescent="0.15">
      <c r="A328" t="s">
        <v>72</v>
      </c>
      <c r="B328" t="s">
        <v>6488</v>
      </c>
      <c r="C328" t="s">
        <v>74</v>
      </c>
      <c r="D328" t="s">
        <v>74</v>
      </c>
      <c r="E328" t="s">
        <v>74</v>
      </c>
      <c r="F328" t="s">
        <v>6489</v>
      </c>
      <c r="G328" t="s">
        <v>74</v>
      </c>
      <c r="H328" t="s">
        <v>74</v>
      </c>
      <c r="I328" t="s">
        <v>6490</v>
      </c>
      <c r="J328" t="s">
        <v>5255</v>
      </c>
      <c r="K328" t="s">
        <v>74</v>
      </c>
      <c r="L328" t="s">
        <v>74</v>
      </c>
      <c r="M328" t="s">
        <v>78</v>
      </c>
      <c r="N328" t="s">
        <v>79</v>
      </c>
      <c r="O328" t="s">
        <v>74</v>
      </c>
      <c r="P328" t="s">
        <v>74</v>
      </c>
      <c r="Q328" t="s">
        <v>74</v>
      </c>
      <c r="R328" t="s">
        <v>74</v>
      </c>
      <c r="S328" t="s">
        <v>74</v>
      </c>
      <c r="T328" t="s">
        <v>74</v>
      </c>
      <c r="U328" t="s">
        <v>6491</v>
      </c>
      <c r="V328" t="s">
        <v>6492</v>
      </c>
      <c r="W328" t="s">
        <v>6493</v>
      </c>
      <c r="X328" t="s">
        <v>6494</v>
      </c>
      <c r="Y328" t="s">
        <v>6495</v>
      </c>
      <c r="Z328" t="s">
        <v>6496</v>
      </c>
      <c r="AA328" t="s">
        <v>6497</v>
      </c>
      <c r="AB328" t="s">
        <v>6498</v>
      </c>
      <c r="AC328" t="s">
        <v>6499</v>
      </c>
      <c r="AD328" t="s">
        <v>6500</v>
      </c>
      <c r="AE328" t="s">
        <v>6501</v>
      </c>
      <c r="AF328" t="s">
        <v>74</v>
      </c>
      <c r="AG328">
        <v>38</v>
      </c>
      <c r="AH328">
        <v>3</v>
      </c>
      <c r="AI328">
        <v>3</v>
      </c>
      <c r="AJ328">
        <v>0</v>
      </c>
      <c r="AK328">
        <v>30</v>
      </c>
      <c r="AL328" t="s">
        <v>5266</v>
      </c>
      <c r="AM328" t="s">
        <v>1938</v>
      </c>
      <c r="AN328" t="s">
        <v>5267</v>
      </c>
      <c r="AO328" t="s">
        <v>5268</v>
      </c>
      <c r="AP328" t="s">
        <v>5269</v>
      </c>
      <c r="AQ328" t="s">
        <v>74</v>
      </c>
      <c r="AR328" t="s">
        <v>5270</v>
      </c>
      <c r="AS328" t="s">
        <v>5271</v>
      </c>
      <c r="AT328" t="s">
        <v>4934</v>
      </c>
      <c r="AU328">
        <v>2014</v>
      </c>
      <c r="AV328">
        <v>46</v>
      </c>
      <c r="AW328">
        <v>3</v>
      </c>
      <c r="AX328" t="s">
        <v>74</v>
      </c>
      <c r="AY328" t="s">
        <v>74</v>
      </c>
      <c r="AZ328" t="s">
        <v>74</v>
      </c>
      <c r="BA328" t="s">
        <v>74</v>
      </c>
      <c r="BB328">
        <v>548</v>
      </c>
      <c r="BC328">
        <v>557</v>
      </c>
      <c r="BD328" t="s">
        <v>74</v>
      </c>
      <c r="BE328" t="s">
        <v>6502</v>
      </c>
      <c r="BF328" t="str">
        <f>HYPERLINK("http://dx.doi.org/10.1657/1938-4246-46.3.548","http://dx.doi.org/10.1657/1938-4246-46.3.548")</f>
        <v>http://dx.doi.org/10.1657/1938-4246-46.3.548</v>
      </c>
      <c r="BG328" t="s">
        <v>74</v>
      </c>
      <c r="BH328" t="s">
        <v>74</v>
      </c>
      <c r="BI328">
        <v>10</v>
      </c>
      <c r="BJ328" t="s">
        <v>5273</v>
      </c>
      <c r="BK328" t="s">
        <v>102</v>
      </c>
      <c r="BL328" t="s">
        <v>103</v>
      </c>
      <c r="BM328" t="s">
        <v>5274</v>
      </c>
      <c r="BN328" t="s">
        <v>74</v>
      </c>
      <c r="BO328" t="s">
        <v>74</v>
      </c>
      <c r="BP328" t="s">
        <v>74</v>
      </c>
      <c r="BQ328" t="s">
        <v>74</v>
      </c>
      <c r="BR328" t="s">
        <v>105</v>
      </c>
      <c r="BS328" t="s">
        <v>6503</v>
      </c>
      <c r="BT328" t="str">
        <f>HYPERLINK("https%3A%2F%2Fwww.webofscience.com%2Fwos%2Fwoscc%2Ffull-record%2FWOS:000341282400003","View Full Record in Web of Science")</f>
        <v>View Full Record in Web of Science</v>
      </c>
    </row>
    <row r="329" spans="1:72" x14ac:dyDescent="0.15">
      <c r="A329" t="s">
        <v>72</v>
      </c>
      <c r="B329" t="s">
        <v>6504</v>
      </c>
      <c r="C329" t="s">
        <v>74</v>
      </c>
      <c r="D329" t="s">
        <v>74</v>
      </c>
      <c r="E329" t="s">
        <v>74</v>
      </c>
      <c r="F329" t="s">
        <v>6505</v>
      </c>
      <c r="G329" t="s">
        <v>74</v>
      </c>
      <c r="H329" t="s">
        <v>74</v>
      </c>
      <c r="I329" t="s">
        <v>6506</v>
      </c>
      <c r="J329" t="s">
        <v>5255</v>
      </c>
      <c r="K329" t="s">
        <v>74</v>
      </c>
      <c r="L329" t="s">
        <v>74</v>
      </c>
      <c r="M329" t="s">
        <v>78</v>
      </c>
      <c r="N329" t="s">
        <v>79</v>
      </c>
      <c r="O329" t="s">
        <v>74</v>
      </c>
      <c r="P329" t="s">
        <v>74</v>
      </c>
      <c r="Q329" t="s">
        <v>74</v>
      </c>
      <c r="R329" t="s">
        <v>74</v>
      </c>
      <c r="S329" t="s">
        <v>74</v>
      </c>
      <c r="T329" t="s">
        <v>74</v>
      </c>
      <c r="U329" t="s">
        <v>6507</v>
      </c>
      <c r="V329" t="s">
        <v>6508</v>
      </c>
      <c r="W329" t="s">
        <v>6509</v>
      </c>
      <c r="X329" t="s">
        <v>6510</v>
      </c>
      <c r="Y329" t="s">
        <v>6511</v>
      </c>
      <c r="Z329" t="s">
        <v>6512</v>
      </c>
      <c r="AA329" t="s">
        <v>6513</v>
      </c>
      <c r="AB329" t="s">
        <v>6514</v>
      </c>
      <c r="AC329" t="s">
        <v>6515</v>
      </c>
      <c r="AD329" t="s">
        <v>6516</v>
      </c>
      <c r="AE329" t="s">
        <v>6517</v>
      </c>
      <c r="AF329" t="s">
        <v>74</v>
      </c>
      <c r="AG329">
        <v>72</v>
      </c>
      <c r="AH329">
        <v>17</v>
      </c>
      <c r="AI329">
        <v>18</v>
      </c>
      <c r="AJ329">
        <v>5</v>
      </c>
      <c r="AK329">
        <v>87</v>
      </c>
      <c r="AL329" t="s">
        <v>5266</v>
      </c>
      <c r="AM329" t="s">
        <v>1938</v>
      </c>
      <c r="AN329" t="s">
        <v>5267</v>
      </c>
      <c r="AO329" t="s">
        <v>5268</v>
      </c>
      <c r="AP329" t="s">
        <v>5269</v>
      </c>
      <c r="AQ329" t="s">
        <v>74</v>
      </c>
      <c r="AR329" t="s">
        <v>5270</v>
      </c>
      <c r="AS329" t="s">
        <v>5271</v>
      </c>
      <c r="AT329" t="s">
        <v>4934</v>
      </c>
      <c r="AU329">
        <v>2014</v>
      </c>
      <c r="AV329">
        <v>46</v>
      </c>
      <c r="AW329">
        <v>3</v>
      </c>
      <c r="AX329" t="s">
        <v>74</v>
      </c>
      <c r="AY329" t="s">
        <v>74</v>
      </c>
      <c r="AZ329" t="s">
        <v>74</v>
      </c>
      <c r="BA329" t="s">
        <v>74</v>
      </c>
      <c r="BB329">
        <v>568</v>
      </c>
      <c r="BC329">
        <v>580</v>
      </c>
      <c r="BD329" t="s">
        <v>74</v>
      </c>
      <c r="BE329" t="s">
        <v>6518</v>
      </c>
      <c r="BF329" t="str">
        <f>HYPERLINK("http://dx.doi.org/10.1657/1938-4246-46.3.568","http://dx.doi.org/10.1657/1938-4246-46.3.568")</f>
        <v>http://dx.doi.org/10.1657/1938-4246-46.3.568</v>
      </c>
      <c r="BG329" t="s">
        <v>74</v>
      </c>
      <c r="BH329" t="s">
        <v>74</v>
      </c>
      <c r="BI329">
        <v>13</v>
      </c>
      <c r="BJ329" t="s">
        <v>5273</v>
      </c>
      <c r="BK329" t="s">
        <v>102</v>
      </c>
      <c r="BL329" t="s">
        <v>103</v>
      </c>
      <c r="BM329" t="s">
        <v>5274</v>
      </c>
      <c r="BN329" t="s">
        <v>74</v>
      </c>
      <c r="BO329" t="s">
        <v>1274</v>
      </c>
      <c r="BP329" t="s">
        <v>74</v>
      </c>
      <c r="BQ329" t="s">
        <v>74</v>
      </c>
      <c r="BR329" t="s">
        <v>105</v>
      </c>
      <c r="BS329" t="s">
        <v>6519</v>
      </c>
      <c r="BT329" t="str">
        <f>HYPERLINK("https%3A%2F%2Fwww.webofscience.com%2Fwos%2Fwoscc%2Ffull-record%2FWOS:000341282400005","View Full Record in Web of Science")</f>
        <v>View Full Record in Web of Science</v>
      </c>
    </row>
    <row r="330" spans="1:72" x14ac:dyDescent="0.15">
      <c r="A330" t="s">
        <v>72</v>
      </c>
      <c r="B330" t="s">
        <v>6520</v>
      </c>
      <c r="C330" t="s">
        <v>74</v>
      </c>
      <c r="D330" t="s">
        <v>74</v>
      </c>
      <c r="E330" t="s">
        <v>74</v>
      </c>
      <c r="F330" t="s">
        <v>6521</v>
      </c>
      <c r="G330" t="s">
        <v>74</v>
      </c>
      <c r="H330" t="s">
        <v>74</v>
      </c>
      <c r="I330" t="s">
        <v>6522</v>
      </c>
      <c r="J330" t="s">
        <v>5255</v>
      </c>
      <c r="K330" t="s">
        <v>74</v>
      </c>
      <c r="L330" t="s">
        <v>74</v>
      </c>
      <c r="M330" t="s">
        <v>78</v>
      </c>
      <c r="N330" t="s">
        <v>79</v>
      </c>
      <c r="O330" t="s">
        <v>74</v>
      </c>
      <c r="P330" t="s">
        <v>74</v>
      </c>
      <c r="Q330" t="s">
        <v>74</v>
      </c>
      <c r="R330" t="s">
        <v>74</v>
      </c>
      <c r="S330" t="s">
        <v>74</v>
      </c>
      <c r="T330" t="s">
        <v>74</v>
      </c>
      <c r="U330" t="s">
        <v>6523</v>
      </c>
      <c r="V330" t="s">
        <v>6524</v>
      </c>
      <c r="W330" t="s">
        <v>6525</v>
      </c>
      <c r="X330" t="s">
        <v>6526</v>
      </c>
      <c r="Y330" t="s">
        <v>6527</v>
      </c>
      <c r="Z330" t="s">
        <v>6528</v>
      </c>
      <c r="AA330" t="s">
        <v>6529</v>
      </c>
      <c r="AB330" t="s">
        <v>6530</v>
      </c>
      <c r="AC330" t="s">
        <v>6531</v>
      </c>
      <c r="AD330" t="s">
        <v>6532</v>
      </c>
      <c r="AE330" t="s">
        <v>6533</v>
      </c>
      <c r="AF330" t="s">
        <v>74</v>
      </c>
      <c r="AG330">
        <v>73</v>
      </c>
      <c r="AH330">
        <v>51</v>
      </c>
      <c r="AI330">
        <v>58</v>
      </c>
      <c r="AJ330">
        <v>4</v>
      </c>
      <c r="AK330">
        <v>120</v>
      </c>
      <c r="AL330" t="s">
        <v>1764</v>
      </c>
      <c r="AM330" t="s">
        <v>1765</v>
      </c>
      <c r="AN330" t="s">
        <v>3608</v>
      </c>
      <c r="AO330" t="s">
        <v>5268</v>
      </c>
      <c r="AP330" t="s">
        <v>5269</v>
      </c>
      <c r="AQ330" t="s">
        <v>74</v>
      </c>
      <c r="AR330" t="s">
        <v>5270</v>
      </c>
      <c r="AS330" t="s">
        <v>5271</v>
      </c>
      <c r="AT330" t="s">
        <v>4934</v>
      </c>
      <c r="AU330">
        <v>2014</v>
      </c>
      <c r="AV330">
        <v>46</v>
      </c>
      <c r="AW330">
        <v>3</v>
      </c>
      <c r="AX330" t="s">
        <v>74</v>
      </c>
      <c r="AY330" t="s">
        <v>74</v>
      </c>
      <c r="AZ330" t="s">
        <v>74</v>
      </c>
      <c r="BA330" t="s">
        <v>74</v>
      </c>
      <c r="BB330">
        <v>616</v>
      </c>
      <c r="BC330">
        <v>631</v>
      </c>
      <c r="BD330" t="s">
        <v>74</v>
      </c>
      <c r="BE330" t="s">
        <v>6534</v>
      </c>
      <c r="BF330" t="str">
        <f>HYPERLINK("http://dx.doi.org/10.1657/1938-4246-46.3.616","http://dx.doi.org/10.1657/1938-4246-46.3.616")</f>
        <v>http://dx.doi.org/10.1657/1938-4246-46.3.616</v>
      </c>
      <c r="BG330" t="s">
        <v>74</v>
      </c>
      <c r="BH330" t="s">
        <v>74</v>
      </c>
      <c r="BI330">
        <v>16</v>
      </c>
      <c r="BJ330" t="s">
        <v>5273</v>
      </c>
      <c r="BK330" t="s">
        <v>102</v>
      </c>
      <c r="BL330" t="s">
        <v>103</v>
      </c>
      <c r="BM330" t="s">
        <v>5274</v>
      </c>
      <c r="BN330" t="s">
        <v>74</v>
      </c>
      <c r="BO330" t="s">
        <v>2037</v>
      </c>
      <c r="BP330" t="s">
        <v>74</v>
      </c>
      <c r="BQ330" t="s">
        <v>74</v>
      </c>
      <c r="BR330" t="s">
        <v>105</v>
      </c>
      <c r="BS330" t="s">
        <v>6535</v>
      </c>
      <c r="BT330" t="str">
        <f>HYPERLINK("https%3A%2F%2Fwww.webofscience.com%2Fwos%2Fwoscc%2Ffull-record%2FWOS:000341282400009","View Full Record in Web of Science")</f>
        <v>View Full Record in Web of Science</v>
      </c>
    </row>
    <row r="331" spans="1:72" x14ac:dyDescent="0.15">
      <c r="A331" t="s">
        <v>72</v>
      </c>
      <c r="B331" t="s">
        <v>6536</v>
      </c>
      <c r="C331" t="s">
        <v>74</v>
      </c>
      <c r="D331" t="s">
        <v>74</v>
      </c>
      <c r="E331" t="s">
        <v>74</v>
      </c>
      <c r="F331" t="s">
        <v>6537</v>
      </c>
      <c r="G331" t="s">
        <v>74</v>
      </c>
      <c r="H331" t="s">
        <v>74</v>
      </c>
      <c r="I331" t="s">
        <v>6538</v>
      </c>
      <c r="J331" t="s">
        <v>5255</v>
      </c>
      <c r="K331" t="s">
        <v>74</v>
      </c>
      <c r="L331" t="s">
        <v>74</v>
      </c>
      <c r="M331" t="s">
        <v>78</v>
      </c>
      <c r="N331" t="s">
        <v>79</v>
      </c>
      <c r="O331" t="s">
        <v>74</v>
      </c>
      <c r="P331" t="s">
        <v>74</v>
      </c>
      <c r="Q331" t="s">
        <v>74</v>
      </c>
      <c r="R331" t="s">
        <v>74</v>
      </c>
      <c r="S331" t="s">
        <v>74</v>
      </c>
      <c r="T331" t="s">
        <v>74</v>
      </c>
      <c r="U331" t="s">
        <v>6539</v>
      </c>
      <c r="V331" t="s">
        <v>6540</v>
      </c>
      <c r="W331" t="s">
        <v>6541</v>
      </c>
      <c r="X331" t="s">
        <v>6542</v>
      </c>
      <c r="Y331" t="s">
        <v>6543</v>
      </c>
      <c r="Z331" t="s">
        <v>6544</v>
      </c>
      <c r="AA331" t="s">
        <v>74</v>
      </c>
      <c r="AB331" t="s">
        <v>74</v>
      </c>
      <c r="AC331" t="s">
        <v>6545</v>
      </c>
      <c r="AD331" t="s">
        <v>6546</v>
      </c>
      <c r="AE331" t="s">
        <v>6547</v>
      </c>
      <c r="AF331" t="s">
        <v>74</v>
      </c>
      <c r="AG331">
        <v>41</v>
      </c>
      <c r="AH331">
        <v>17</v>
      </c>
      <c r="AI331">
        <v>20</v>
      </c>
      <c r="AJ331">
        <v>8</v>
      </c>
      <c r="AK331">
        <v>80</v>
      </c>
      <c r="AL331" t="s">
        <v>1764</v>
      </c>
      <c r="AM331" t="s">
        <v>1765</v>
      </c>
      <c r="AN331" t="s">
        <v>3608</v>
      </c>
      <c r="AO331" t="s">
        <v>5268</v>
      </c>
      <c r="AP331" t="s">
        <v>5269</v>
      </c>
      <c r="AQ331" t="s">
        <v>74</v>
      </c>
      <c r="AR331" t="s">
        <v>5270</v>
      </c>
      <c r="AS331" t="s">
        <v>5271</v>
      </c>
      <c r="AT331" t="s">
        <v>4934</v>
      </c>
      <c r="AU331">
        <v>2014</v>
      </c>
      <c r="AV331">
        <v>46</v>
      </c>
      <c r="AW331">
        <v>3</v>
      </c>
      <c r="AX331" t="s">
        <v>74</v>
      </c>
      <c r="AY331" t="s">
        <v>74</v>
      </c>
      <c r="AZ331" t="s">
        <v>74</v>
      </c>
      <c r="BA331" t="s">
        <v>74</v>
      </c>
      <c r="BB331">
        <v>632</v>
      </c>
      <c r="BC331">
        <v>644</v>
      </c>
      <c r="BD331" t="s">
        <v>74</v>
      </c>
      <c r="BE331" t="s">
        <v>6548</v>
      </c>
      <c r="BF331" t="str">
        <f>HYPERLINK("http://dx.doi.org/10.1657/1938-4246-46.3.632","http://dx.doi.org/10.1657/1938-4246-46.3.632")</f>
        <v>http://dx.doi.org/10.1657/1938-4246-46.3.632</v>
      </c>
      <c r="BG331" t="s">
        <v>74</v>
      </c>
      <c r="BH331" t="s">
        <v>74</v>
      </c>
      <c r="BI331">
        <v>13</v>
      </c>
      <c r="BJ331" t="s">
        <v>5273</v>
      </c>
      <c r="BK331" t="s">
        <v>102</v>
      </c>
      <c r="BL331" t="s">
        <v>103</v>
      </c>
      <c r="BM331" t="s">
        <v>5274</v>
      </c>
      <c r="BN331" t="s">
        <v>74</v>
      </c>
      <c r="BO331" t="s">
        <v>1274</v>
      </c>
      <c r="BP331" t="s">
        <v>74</v>
      </c>
      <c r="BQ331" t="s">
        <v>74</v>
      </c>
      <c r="BR331" t="s">
        <v>105</v>
      </c>
      <c r="BS331" t="s">
        <v>6549</v>
      </c>
      <c r="BT331" t="str">
        <f>HYPERLINK("https%3A%2F%2Fwww.webofscience.com%2Fwos%2Fwoscc%2Ffull-record%2FWOS:000341282400010","View Full Record in Web of Science")</f>
        <v>View Full Record in Web of Science</v>
      </c>
    </row>
    <row r="332" spans="1:72" x14ac:dyDescent="0.15">
      <c r="A332" t="s">
        <v>72</v>
      </c>
      <c r="B332" t="s">
        <v>6550</v>
      </c>
      <c r="C332" t="s">
        <v>74</v>
      </c>
      <c r="D332" t="s">
        <v>74</v>
      </c>
      <c r="E332" t="s">
        <v>74</v>
      </c>
      <c r="F332" t="s">
        <v>6551</v>
      </c>
      <c r="G332" t="s">
        <v>74</v>
      </c>
      <c r="H332" t="s">
        <v>74</v>
      </c>
      <c r="I332" t="s">
        <v>6552</v>
      </c>
      <c r="J332" t="s">
        <v>5255</v>
      </c>
      <c r="K332" t="s">
        <v>74</v>
      </c>
      <c r="L332" t="s">
        <v>74</v>
      </c>
      <c r="M332" t="s">
        <v>78</v>
      </c>
      <c r="N332" t="s">
        <v>79</v>
      </c>
      <c r="O332" t="s">
        <v>74</v>
      </c>
      <c r="P332" t="s">
        <v>74</v>
      </c>
      <c r="Q332" t="s">
        <v>74</v>
      </c>
      <c r="R332" t="s">
        <v>74</v>
      </c>
      <c r="S332" t="s">
        <v>74</v>
      </c>
      <c r="T332" t="s">
        <v>74</v>
      </c>
      <c r="U332" t="s">
        <v>6553</v>
      </c>
      <c r="V332" t="s">
        <v>6554</v>
      </c>
      <c r="W332" t="s">
        <v>6555</v>
      </c>
      <c r="X332" t="s">
        <v>6556</v>
      </c>
      <c r="Y332" t="s">
        <v>6557</v>
      </c>
      <c r="Z332" t="s">
        <v>6558</v>
      </c>
      <c r="AA332" t="s">
        <v>6559</v>
      </c>
      <c r="AB332" t="s">
        <v>6560</v>
      </c>
      <c r="AC332" t="s">
        <v>6561</v>
      </c>
      <c r="AD332" t="s">
        <v>6562</v>
      </c>
      <c r="AE332" t="s">
        <v>6563</v>
      </c>
      <c r="AF332" t="s">
        <v>74</v>
      </c>
      <c r="AG332">
        <v>39</v>
      </c>
      <c r="AH332">
        <v>4</v>
      </c>
      <c r="AI332">
        <v>7</v>
      </c>
      <c r="AJ332">
        <v>1</v>
      </c>
      <c r="AK332">
        <v>16</v>
      </c>
      <c r="AL332" t="s">
        <v>5266</v>
      </c>
      <c r="AM332" t="s">
        <v>1938</v>
      </c>
      <c r="AN332" t="s">
        <v>5267</v>
      </c>
      <c r="AO332" t="s">
        <v>5268</v>
      </c>
      <c r="AP332" t="s">
        <v>5269</v>
      </c>
      <c r="AQ332" t="s">
        <v>74</v>
      </c>
      <c r="AR332" t="s">
        <v>5270</v>
      </c>
      <c r="AS332" t="s">
        <v>5271</v>
      </c>
      <c r="AT332" t="s">
        <v>4934</v>
      </c>
      <c r="AU332">
        <v>2014</v>
      </c>
      <c r="AV332">
        <v>46</v>
      </c>
      <c r="AW332">
        <v>3</v>
      </c>
      <c r="AX332" t="s">
        <v>74</v>
      </c>
      <c r="AY332" t="s">
        <v>74</v>
      </c>
      <c r="AZ332" t="s">
        <v>74</v>
      </c>
      <c r="BA332" t="s">
        <v>74</v>
      </c>
      <c r="BB332">
        <v>669</v>
      </c>
      <c r="BC332">
        <v>681</v>
      </c>
      <c r="BD332" t="s">
        <v>74</v>
      </c>
      <c r="BE332" t="s">
        <v>6564</v>
      </c>
      <c r="BF332" t="str">
        <f>HYPERLINK("http://dx.doi.org/10.1657/1938-4246-46.3.669","http://dx.doi.org/10.1657/1938-4246-46.3.669")</f>
        <v>http://dx.doi.org/10.1657/1938-4246-46.3.669</v>
      </c>
      <c r="BG332" t="s">
        <v>74</v>
      </c>
      <c r="BH332" t="s">
        <v>74</v>
      </c>
      <c r="BI332">
        <v>13</v>
      </c>
      <c r="BJ332" t="s">
        <v>5273</v>
      </c>
      <c r="BK332" t="s">
        <v>102</v>
      </c>
      <c r="BL332" t="s">
        <v>103</v>
      </c>
      <c r="BM332" t="s">
        <v>5274</v>
      </c>
      <c r="BN332" t="s">
        <v>74</v>
      </c>
      <c r="BO332" t="s">
        <v>2037</v>
      </c>
      <c r="BP332" t="s">
        <v>74</v>
      </c>
      <c r="BQ332" t="s">
        <v>74</v>
      </c>
      <c r="BR332" t="s">
        <v>105</v>
      </c>
      <c r="BS332" t="s">
        <v>6565</v>
      </c>
      <c r="BT332" t="str">
        <f>HYPERLINK("https%3A%2F%2Fwww.webofscience.com%2Fwos%2Fwoscc%2Ffull-record%2FWOS:000341282400013","View Full Record in Web of Science")</f>
        <v>View Full Record in Web of Science</v>
      </c>
    </row>
    <row r="333" spans="1:72" x14ac:dyDescent="0.15">
      <c r="A333" t="s">
        <v>72</v>
      </c>
      <c r="B333" t="s">
        <v>6566</v>
      </c>
      <c r="C333" t="s">
        <v>74</v>
      </c>
      <c r="D333" t="s">
        <v>74</v>
      </c>
      <c r="E333" t="s">
        <v>74</v>
      </c>
      <c r="F333" t="s">
        <v>6567</v>
      </c>
      <c r="G333" t="s">
        <v>74</v>
      </c>
      <c r="H333" t="s">
        <v>74</v>
      </c>
      <c r="I333" t="s">
        <v>6568</v>
      </c>
      <c r="J333" t="s">
        <v>5843</v>
      </c>
      <c r="K333" t="s">
        <v>74</v>
      </c>
      <c r="L333" t="s">
        <v>74</v>
      </c>
      <c r="M333" t="s">
        <v>78</v>
      </c>
      <c r="N333" t="s">
        <v>79</v>
      </c>
      <c r="O333" t="s">
        <v>74</v>
      </c>
      <c r="P333" t="s">
        <v>74</v>
      </c>
      <c r="Q333" t="s">
        <v>74</v>
      </c>
      <c r="R333" t="s">
        <v>74</v>
      </c>
      <c r="S333" t="s">
        <v>74</v>
      </c>
      <c r="T333" t="s">
        <v>6569</v>
      </c>
      <c r="U333" t="s">
        <v>6570</v>
      </c>
      <c r="V333" t="s">
        <v>6571</v>
      </c>
      <c r="W333" t="s">
        <v>6572</v>
      </c>
      <c r="X333" t="s">
        <v>6573</v>
      </c>
      <c r="Y333" t="s">
        <v>6574</v>
      </c>
      <c r="Z333" t="s">
        <v>6575</v>
      </c>
      <c r="AA333" t="s">
        <v>6576</v>
      </c>
      <c r="AB333" t="s">
        <v>6577</v>
      </c>
      <c r="AC333" t="s">
        <v>6578</v>
      </c>
      <c r="AD333" t="s">
        <v>6579</v>
      </c>
      <c r="AE333" t="s">
        <v>6580</v>
      </c>
      <c r="AF333" t="s">
        <v>74</v>
      </c>
      <c r="AG333">
        <v>61</v>
      </c>
      <c r="AH333">
        <v>54</v>
      </c>
      <c r="AI333">
        <v>61</v>
      </c>
      <c r="AJ333">
        <v>0</v>
      </c>
      <c r="AK333">
        <v>70</v>
      </c>
      <c r="AL333" t="s">
        <v>601</v>
      </c>
      <c r="AM333" t="s">
        <v>251</v>
      </c>
      <c r="AN333" t="s">
        <v>602</v>
      </c>
      <c r="AO333" t="s">
        <v>5853</v>
      </c>
      <c r="AP333" t="s">
        <v>5854</v>
      </c>
      <c r="AQ333" t="s">
        <v>74</v>
      </c>
      <c r="AR333" t="s">
        <v>5855</v>
      </c>
      <c r="AS333" t="s">
        <v>5856</v>
      </c>
      <c r="AT333" t="s">
        <v>4934</v>
      </c>
      <c r="AU333">
        <v>2014</v>
      </c>
      <c r="AV333">
        <v>176</v>
      </c>
      <c r="AW333" t="s">
        <v>74</v>
      </c>
      <c r="AX333" t="s">
        <v>74</v>
      </c>
      <c r="AY333" t="s">
        <v>74</v>
      </c>
      <c r="AZ333" t="s">
        <v>74</v>
      </c>
      <c r="BA333" t="s">
        <v>74</v>
      </c>
      <c r="BB333">
        <v>99</v>
      </c>
      <c r="BC333">
        <v>108</v>
      </c>
      <c r="BD333" t="s">
        <v>74</v>
      </c>
      <c r="BE333" t="s">
        <v>6581</v>
      </c>
      <c r="BF333" t="str">
        <f>HYPERLINK("http://dx.doi.org/10.1016/j.biocon.2014.05.017","http://dx.doi.org/10.1016/j.biocon.2014.05.017")</f>
        <v>http://dx.doi.org/10.1016/j.biocon.2014.05.017</v>
      </c>
      <c r="BG333" t="s">
        <v>74</v>
      </c>
      <c r="BH333" t="s">
        <v>74</v>
      </c>
      <c r="BI333">
        <v>10</v>
      </c>
      <c r="BJ333" t="s">
        <v>5858</v>
      </c>
      <c r="BK333" t="s">
        <v>102</v>
      </c>
      <c r="BL333" t="s">
        <v>785</v>
      </c>
      <c r="BM333" t="s">
        <v>5859</v>
      </c>
      <c r="BN333" t="s">
        <v>74</v>
      </c>
      <c r="BO333" t="s">
        <v>74</v>
      </c>
      <c r="BP333" t="s">
        <v>74</v>
      </c>
      <c r="BQ333" t="s">
        <v>74</v>
      </c>
      <c r="BR333" t="s">
        <v>105</v>
      </c>
      <c r="BS333" t="s">
        <v>6582</v>
      </c>
      <c r="BT333" t="str">
        <f>HYPERLINK("https%3A%2F%2Fwww.webofscience.com%2Fwos%2Fwoscc%2Ffull-record%2FWOS:000340223500011","View Full Record in Web of Science")</f>
        <v>View Full Record in Web of Science</v>
      </c>
    </row>
    <row r="334" spans="1:72" x14ac:dyDescent="0.15">
      <c r="A334" t="s">
        <v>72</v>
      </c>
      <c r="B334" t="s">
        <v>6583</v>
      </c>
      <c r="C334" t="s">
        <v>74</v>
      </c>
      <c r="D334" t="s">
        <v>74</v>
      </c>
      <c r="E334" t="s">
        <v>74</v>
      </c>
      <c r="F334" t="s">
        <v>6584</v>
      </c>
      <c r="G334" t="s">
        <v>74</v>
      </c>
      <c r="H334" t="s">
        <v>74</v>
      </c>
      <c r="I334" t="s">
        <v>6585</v>
      </c>
      <c r="J334" t="s">
        <v>6586</v>
      </c>
      <c r="K334" t="s">
        <v>74</v>
      </c>
      <c r="L334" t="s">
        <v>74</v>
      </c>
      <c r="M334" t="s">
        <v>78</v>
      </c>
      <c r="N334" t="s">
        <v>185</v>
      </c>
      <c r="O334" t="s">
        <v>74</v>
      </c>
      <c r="P334" t="s">
        <v>74</v>
      </c>
      <c r="Q334" t="s">
        <v>74</v>
      </c>
      <c r="R334" t="s">
        <v>74</v>
      </c>
      <c r="S334" t="s">
        <v>74</v>
      </c>
      <c r="T334" t="s">
        <v>74</v>
      </c>
      <c r="U334" t="s">
        <v>74</v>
      </c>
      <c r="V334" t="s">
        <v>74</v>
      </c>
      <c r="W334" t="s">
        <v>6587</v>
      </c>
      <c r="X334" t="s">
        <v>6588</v>
      </c>
      <c r="Y334" t="s">
        <v>6589</v>
      </c>
      <c r="Z334" t="s">
        <v>6590</v>
      </c>
      <c r="AA334" t="s">
        <v>74</v>
      </c>
      <c r="AB334" t="s">
        <v>6591</v>
      </c>
      <c r="AC334" t="s">
        <v>74</v>
      </c>
      <c r="AD334" t="s">
        <v>74</v>
      </c>
      <c r="AE334" t="s">
        <v>74</v>
      </c>
      <c r="AF334" t="s">
        <v>74</v>
      </c>
      <c r="AG334">
        <v>0</v>
      </c>
      <c r="AH334">
        <v>0</v>
      </c>
      <c r="AI334">
        <v>0</v>
      </c>
      <c r="AJ334">
        <v>0</v>
      </c>
      <c r="AK334">
        <v>0</v>
      </c>
      <c r="AL334" t="s">
        <v>6592</v>
      </c>
      <c r="AM334" t="s">
        <v>6593</v>
      </c>
      <c r="AN334" t="s">
        <v>6594</v>
      </c>
      <c r="AO334" t="s">
        <v>6595</v>
      </c>
      <c r="AP334" t="s">
        <v>6596</v>
      </c>
      <c r="AQ334" t="s">
        <v>74</v>
      </c>
      <c r="AR334" t="s">
        <v>6597</v>
      </c>
      <c r="AS334" t="s">
        <v>6598</v>
      </c>
      <c r="AT334" t="s">
        <v>4934</v>
      </c>
      <c r="AU334">
        <v>2014</v>
      </c>
      <c r="AV334">
        <v>16</v>
      </c>
      <c r="AW334">
        <v>3</v>
      </c>
      <c r="AX334" t="s">
        <v>74</v>
      </c>
      <c r="AY334" t="s">
        <v>74</v>
      </c>
      <c r="AZ334" t="s">
        <v>74</v>
      </c>
      <c r="BA334" t="s">
        <v>74</v>
      </c>
      <c r="BB334">
        <v>283</v>
      </c>
      <c r="BC334">
        <v>288</v>
      </c>
      <c r="BD334" t="s">
        <v>74</v>
      </c>
      <c r="BE334" t="s">
        <v>6599</v>
      </c>
      <c r="BF334" t="str">
        <f>HYPERLINK("http://dx.doi.org/10.1179/1350503315Z.00000000087","http://dx.doi.org/10.1179/1350503315Z.00000000087")</f>
        <v>http://dx.doi.org/10.1179/1350503315Z.00000000087</v>
      </c>
      <c r="BG334" t="s">
        <v>74</v>
      </c>
      <c r="BH334" t="s">
        <v>74</v>
      </c>
      <c r="BI334">
        <v>6</v>
      </c>
      <c r="BJ334" t="s">
        <v>6600</v>
      </c>
      <c r="BK334" t="s">
        <v>6601</v>
      </c>
      <c r="BL334" t="s">
        <v>6600</v>
      </c>
      <c r="BM334" t="s">
        <v>6602</v>
      </c>
      <c r="BN334" t="s">
        <v>74</v>
      </c>
      <c r="BO334" t="s">
        <v>74</v>
      </c>
      <c r="BP334" t="s">
        <v>74</v>
      </c>
      <c r="BQ334" t="s">
        <v>74</v>
      </c>
      <c r="BR334" t="s">
        <v>105</v>
      </c>
      <c r="BS334" t="s">
        <v>6603</v>
      </c>
      <c r="BT334" t="str">
        <f>HYPERLINK("https%3A%2F%2Fwww.webofscience.com%2Fwos%2Fwoscc%2Ffull-record%2FWOS:000359303400007","View Full Record in Web of Science")</f>
        <v>View Full Record in Web of Science</v>
      </c>
    </row>
    <row r="335" spans="1:72" x14ac:dyDescent="0.15">
      <c r="A335" t="s">
        <v>72</v>
      </c>
      <c r="B335" t="s">
        <v>6604</v>
      </c>
      <c r="C335" t="s">
        <v>74</v>
      </c>
      <c r="D335" t="s">
        <v>74</v>
      </c>
      <c r="E335" t="s">
        <v>74</v>
      </c>
      <c r="F335" t="s">
        <v>6605</v>
      </c>
      <c r="G335" t="s">
        <v>74</v>
      </c>
      <c r="H335" t="s">
        <v>74</v>
      </c>
      <c r="I335" t="s">
        <v>6606</v>
      </c>
      <c r="J335" t="s">
        <v>6000</v>
      </c>
      <c r="K335" t="s">
        <v>74</v>
      </c>
      <c r="L335" t="s">
        <v>74</v>
      </c>
      <c r="M335" t="s">
        <v>78</v>
      </c>
      <c r="N335" t="s">
        <v>79</v>
      </c>
      <c r="O335" t="s">
        <v>74</v>
      </c>
      <c r="P335" t="s">
        <v>74</v>
      </c>
      <c r="Q335" t="s">
        <v>74</v>
      </c>
      <c r="R335" t="s">
        <v>74</v>
      </c>
      <c r="S335" t="s">
        <v>74</v>
      </c>
      <c r="T335" t="s">
        <v>6607</v>
      </c>
      <c r="U335" t="s">
        <v>6608</v>
      </c>
      <c r="V335" t="s">
        <v>6609</v>
      </c>
      <c r="W335" t="s">
        <v>6610</v>
      </c>
      <c r="X335" t="s">
        <v>6611</v>
      </c>
      <c r="Y335" t="s">
        <v>6612</v>
      </c>
      <c r="Z335" t="s">
        <v>6613</v>
      </c>
      <c r="AA335" t="s">
        <v>6614</v>
      </c>
      <c r="AB335" t="s">
        <v>6615</v>
      </c>
      <c r="AC335" t="s">
        <v>6616</v>
      </c>
      <c r="AD335" t="s">
        <v>6617</v>
      </c>
      <c r="AE335" t="s">
        <v>6618</v>
      </c>
      <c r="AF335" t="s">
        <v>74</v>
      </c>
      <c r="AG335">
        <v>71</v>
      </c>
      <c r="AH335">
        <v>19</v>
      </c>
      <c r="AI335">
        <v>19</v>
      </c>
      <c r="AJ335">
        <v>0</v>
      </c>
      <c r="AK335">
        <v>32</v>
      </c>
      <c r="AL335" t="s">
        <v>250</v>
      </c>
      <c r="AM335" t="s">
        <v>251</v>
      </c>
      <c r="AN335" t="s">
        <v>252</v>
      </c>
      <c r="AO335" t="s">
        <v>6011</v>
      </c>
      <c r="AP335" t="s">
        <v>6012</v>
      </c>
      <c r="AQ335" t="s">
        <v>74</v>
      </c>
      <c r="AR335" t="s">
        <v>6013</v>
      </c>
      <c r="AS335" t="s">
        <v>6014</v>
      </c>
      <c r="AT335" t="s">
        <v>4956</v>
      </c>
      <c r="AU335">
        <v>2014</v>
      </c>
      <c r="AV335">
        <v>84</v>
      </c>
      <c r="AW335" t="s">
        <v>74</v>
      </c>
      <c r="AX335" t="s">
        <v>74</v>
      </c>
      <c r="AY335" t="s">
        <v>74</v>
      </c>
      <c r="AZ335" t="s">
        <v>74</v>
      </c>
      <c r="BA335" t="s">
        <v>74</v>
      </c>
      <c r="BB335">
        <v>188</v>
      </c>
      <c r="BC335">
        <v>203</v>
      </c>
      <c r="BD335" t="s">
        <v>74</v>
      </c>
      <c r="BE335" t="s">
        <v>6619</v>
      </c>
      <c r="BF335" t="str">
        <f>HYPERLINK("http://dx.doi.org/10.1016/j.csr.2014.04.022","http://dx.doi.org/10.1016/j.csr.2014.04.022")</f>
        <v>http://dx.doi.org/10.1016/j.csr.2014.04.022</v>
      </c>
      <c r="BG335" t="s">
        <v>74</v>
      </c>
      <c r="BH335" t="s">
        <v>74</v>
      </c>
      <c r="BI335">
        <v>16</v>
      </c>
      <c r="BJ335" t="s">
        <v>152</v>
      </c>
      <c r="BK335" t="s">
        <v>102</v>
      </c>
      <c r="BL335" t="s">
        <v>152</v>
      </c>
      <c r="BM335" t="s">
        <v>6016</v>
      </c>
      <c r="BN335" t="s">
        <v>74</v>
      </c>
      <c r="BO335" t="s">
        <v>74</v>
      </c>
      <c r="BP335" t="s">
        <v>74</v>
      </c>
      <c r="BQ335" t="s">
        <v>74</v>
      </c>
      <c r="BR335" t="s">
        <v>105</v>
      </c>
      <c r="BS335" t="s">
        <v>6620</v>
      </c>
      <c r="BT335" t="str">
        <f>HYPERLINK("https%3A%2F%2Fwww.webofscience.com%2Fwos%2Fwoscc%2Ffull-record%2FWOS:000339696200015","View Full Record in Web of Science")</f>
        <v>View Full Record in Web of Science</v>
      </c>
    </row>
    <row r="336" spans="1:72" x14ac:dyDescent="0.15">
      <c r="A336" t="s">
        <v>72</v>
      </c>
      <c r="B336" t="s">
        <v>6621</v>
      </c>
      <c r="C336" t="s">
        <v>74</v>
      </c>
      <c r="D336" t="s">
        <v>74</v>
      </c>
      <c r="E336" t="s">
        <v>74</v>
      </c>
      <c r="F336" t="s">
        <v>6622</v>
      </c>
      <c r="G336" t="s">
        <v>74</v>
      </c>
      <c r="H336" t="s">
        <v>74</v>
      </c>
      <c r="I336" t="s">
        <v>6623</v>
      </c>
      <c r="J336" t="s">
        <v>5586</v>
      </c>
      <c r="K336" t="s">
        <v>74</v>
      </c>
      <c r="L336" t="s">
        <v>74</v>
      </c>
      <c r="M336" t="s">
        <v>78</v>
      </c>
      <c r="N336" t="s">
        <v>79</v>
      </c>
      <c r="O336" t="s">
        <v>74</v>
      </c>
      <c r="P336" t="s">
        <v>74</v>
      </c>
      <c r="Q336" t="s">
        <v>74</v>
      </c>
      <c r="R336" t="s">
        <v>74</v>
      </c>
      <c r="S336" t="s">
        <v>74</v>
      </c>
      <c r="T336" t="s">
        <v>6624</v>
      </c>
      <c r="U336" t="s">
        <v>6625</v>
      </c>
      <c r="V336" t="s">
        <v>6626</v>
      </c>
      <c r="W336" t="s">
        <v>6627</v>
      </c>
      <c r="X336" t="s">
        <v>6628</v>
      </c>
      <c r="Y336" t="s">
        <v>6629</v>
      </c>
      <c r="Z336" t="s">
        <v>6630</v>
      </c>
      <c r="AA336" t="s">
        <v>6631</v>
      </c>
      <c r="AB336" t="s">
        <v>6632</v>
      </c>
      <c r="AC336" t="s">
        <v>6633</v>
      </c>
      <c r="AD336" t="s">
        <v>6633</v>
      </c>
      <c r="AE336" t="s">
        <v>6634</v>
      </c>
      <c r="AF336" t="s">
        <v>74</v>
      </c>
      <c r="AG336">
        <v>32</v>
      </c>
      <c r="AH336">
        <v>12</v>
      </c>
      <c r="AI336">
        <v>15</v>
      </c>
      <c r="AJ336">
        <v>0</v>
      </c>
      <c r="AK336">
        <v>40</v>
      </c>
      <c r="AL336" t="s">
        <v>627</v>
      </c>
      <c r="AM336" t="s">
        <v>628</v>
      </c>
      <c r="AN336" t="s">
        <v>629</v>
      </c>
      <c r="AO336" t="s">
        <v>5599</v>
      </c>
      <c r="AP336" t="s">
        <v>5600</v>
      </c>
      <c r="AQ336" t="s">
        <v>74</v>
      </c>
      <c r="AR336" t="s">
        <v>5586</v>
      </c>
      <c r="AS336" t="s">
        <v>5601</v>
      </c>
      <c r="AT336" t="s">
        <v>4934</v>
      </c>
      <c r="AU336">
        <v>2014</v>
      </c>
      <c r="AV336">
        <v>69</v>
      </c>
      <c r="AW336">
        <v>1</v>
      </c>
      <c r="AX336" t="s">
        <v>74</v>
      </c>
      <c r="AY336" t="s">
        <v>74</v>
      </c>
      <c r="AZ336" t="s">
        <v>74</v>
      </c>
      <c r="BA336" t="s">
        <v>74</v>
      </c>
      <c r="BB336">
        <v>163</v>
      </c>
      <c r="BC336">
        <v>168</v>
      </c>
      <c r="BD336" t="s">
        <v>74</v>
      </c>
      <c r="BE336" t="s">
        <v>6635</v>
      </c>
      <c r="BF336" t="str">
        <f>HYPERLINK("http://dx.doi.org/10.1016/j.cryobiol.2014.07.003","http://dx.doi.org/10.1016/j.cryobiol.2014.07.003")</f>
        <v>http://dx.doi.org/10.1016/j.cryobiol.2014.07.003</v>
      </c>
      <c r="BG336" t="s">
        <v>74</v>
      </c>
      <c r="BH336" t="s">
        <v>74</v>
      </c>
      <c r="BI336">
        <v>6</v>
      </c>
      <c r="BJ336" t="s">
        <v>5603</v>
      </c>
      <c r="BK336" t="s">
        <v>102</v>
      </c>
      <c r="BL336" t="s">
        <v>5604</v>
      </c>
      <c r="BM336" t="s">
        <v>5605</v>
      </c>
      <c r="BN336">
        <v>25025819</v>
      </c>
      <c r="BO336" t="s">
        <v>74</v>
      </c>
      <c r="BP336" t="s">
        <v>74</v>
      </c>
      <c r="BQ336" t="s">
        <v>74</v>
      </c>
      <c r="BR336" t="s">
        <v>105</v>
      </c>
      <c r="BS336" t="s">
        <v>6636</v>
      </c>
      <c r="BT336" t="str">
        <f>HYPERLINK("https%3A%2F%2Fwww.webofscience.com%2Fwos%2Fwoscc%2Ffull-record%2FWOS:000340691700025","View Full Record in Web of Science")</f>
        <v>View Full Record in Web of Science</v>
      </c>
    </row>
    <row r="337" spans="1:72" x14ac:dyDescent="0.15">
      <c r="A337" t="s">
        <v>72</v>
      </c>
      <c r="B337" t="s">
        <v>6637</v>
      </c>
      <c r="C337" t="s">
        <v>74</v>
      </c>
      <c r="D337" t="s">
        <v>74</v>
      </c>
      <c r="E337" t="s">
        <v>74</v>
      </c>
      <c r="F337" t="s">
        <v>6638</v>
      </c>
      <c r="G337" t="s">
        <v>74</v>
      </c>
      <c r="H337" t="s">
        <v>74</v>
      </c>
      <c r="I337" t="s">
        <v>6639</v>
      </c>
      <c r="J337" t="s">
        <v>2947</v>
      </c>
      <c r="K337" t="s">
        <v>74</v>
      </c>
      <c r="L337" t="s">
        <v>74</v>
      </c>
      <c r="M337" t="s">
        <v>78</v>
      </c>
      <c r="N337" t="s">
        <v>79</v>
      </c>
      <c r="O337" t="s">
        <v>74</v>
      </c>
      <c r="P337" t="s">
        <v>74</v>
      </c>
      <c r="Q337" t="s">
        <v>74</v>
      </c>
      <c r="R337" t="s">
        <v>74</v>
      </c>
      <c r="S337" t="s">
        <v>74</v>
      </c>
      <c r="T337" t="s">
        <v>6640</v>
      </c>
      <c r="U337" t="s">
        <v>6641</v>
      </c>
      <c r="V337" t="s">
        <v>6642</v>
      </c>
      <c r="W337" t="s">
        <v>6643</v>
      </c>
      <c r="X337" t="s">
        <v>6644</v>
      </c>
      <c r="Y337" t="s">
        <v>6645</v>
      </c>
      <c r="Z337" t="s">
        <v>6646</v>
      </c>
      <c r="AA337" t="s">
        <v>6647</v>
      </c>
      <c r="AB337" t="s">
        <v>6648</v>
      </c>
      <c r="AC337" t="s">
        <v>6649</v>
      </c>
      <c r="AD337" t="s">
        <v>6650</v>
      </c>
      <c r="AE337" t="s">
        <v>6651</v>
      </c>
      <c r="AF337" t="s">
        <v>74</v>
      </c>
      <c r="AG337">
        <v>31</v>
      </c>
      <c r="AH337">
        <v>20</v>
      </c>
      <c r="AI337">
        <v>22</v>
      </c>
      <c r="AJ337">
        <v>3</v>
      </c>
      <c r="AK337">
        <v>76</v>
      </c>
      <c r="AL337" t="s">
        <v>250</v>
      </c>
      <c r="AM337" t="s">
        <v>251</v>
      </c>
      <c r="AN337" t="s">
        <v>252</v>
      </c>
      <c r="AO337" t="s">
        <v>2956</v>
      </c>
      <c r="AP337" t="s">
        <v>2957</v>
      </c>
      <c r="AQ337" t="s">
        <v>74</v>
      </c>
      <c r="AR337" t="s">
        <v>2958</v>
      </c>
      <c r="AS337" t="s">
        <v>2959</v>
      </c>
      <c r="AT337" t="s">
        <v>4934</v>
      </c>
      <c r="AU337">
        <v>2014</v>
      </c>
      <c r="AV337">
        <v>90</v>
      </c>
      <c r="AW337" t="s">
        <v>74</v>
      </c>
      <c r="AX337" t="s">
        <v>74</v>
      </c>
      <c r="AY337" t="s">
        <v>74</v>
      </c>
      <c r="AZ337" t="s">
        <v>74</v>
      </c>
      <c r="BA337" t="s">
        <v>74</v>
      </c>
      <c r="BB337">
        <v>76</v>
      </c>
      <c r="BC337">
        <v>80</v>
      </c>
      <c r="BD337" t="s">
        <v>74</v>
      </c>
      <c r="BE337" t="s">
        <v>6652</v>
      </c>
      <c r="BF337" t="str">
        <f>HYPERLINK("http://dx.doi.org/10.1016/j.dsr.2014.04.013","http://dx.doi.org/10.1016/j.dsr.2014.04.013")</f>
        <v>http://dx.doi.org/10.1016/j.dsr.2014.04.013</v>
      </c>
      <c r="BG337" t="s">
        <v>74</v>
      </c>
      <c r="BH337" t="s">
        <v>74</v>
      </c>
      <c r="BI337">
        <v>5</v>
      </c>
      <c r="BJ337" t="s">
        <v>152</v>
      </c>
      <c r="BK337" t="s">
        <v>102</v>
      </c>
      <c r="BL337" t="s">
        <v>152</v>
      </c>
      <c r="BM337" t="s">
        <v>6653</v>
      </c>
      <c r="BN337" t="s">
        <v>74</v>
      </c>
      <c r="BO337" t="s">
        <v>359</v>
      </c>
      <c r="BP337" t="s">
        <v>74</v>
      </c>
      <c r="BQ337" t="s">
        <v>74</v>
      </c>
      <c r="BR337" t="s">
        <v>105</v>
      </c>
      <c r="BS337" t="s">
        <v>6654</v>
      </c>
      <c r="BT337" t="str">
        <f>HYPERLINK("https%3A%2F%2Fwww.webofscience.com%2Fwos%2Fwoscc%2Ffull-record%2FWOS:000338978400007","View Full Record in Web of Science")</f>
        <v>View Full Record in Web of Science</v>
      </c>
    </row>
    <row r="338" spans="1:72" x14ac:dyDescent="0.15">
      <c r="A338" t="s">
        <v>72</v>
      </c>
      <c r="B338" t="s">
        <v>6655</v>
      </c>
      <c r="C338" t="s">
        <v>74</v>
      </c>
      <c r="D338" t="s">
        <v>74</v>
      </c>
      <c r="E338" t="s">
        <v>74</v>
      </c>
      <c r="F338" t="s">
        <v>6656</v>
      </c>
      <c r="G338" t="s">
        <v>74</v>
      </c>
      <c r="H338" t="s">
        <v>74</v>
      </c>
      <c r="I338" t="s">
        <v>6657</v>
      </c>
      <c r="J338" t="s">
        <v>6658</v>
      </c>
      <c r="K338" t="s">
        <v>74</v>
      </c>
      <c r="L338" t="s">
        <v>74</v>
      </c>
      <c r="M338" t="s">
        <v>78</v>
      </c>
      <c r="N338" t="s">
        <v>79</v>
      </c>
      <c r="O338" t="s">
        <v>74</v>
      </c>
      <c r="P338" t="s">
        <v>74</v>
      </c>
      <c r="Q338" t="s">
        <v>74</v>
      </c>
      <c r="R338" t="s">
        <v>74</v>
      </c>
      <c r="S338" t="s">
        <v>74</v>
      </c>
      <c r="T338" t="s">
        <v>6659</v>
      </c>
      <c r="U338" t="s">
        <v>6660</v>
      </c>
      <c r="V338" t="s">
        <v>6661</v>
      </c>
      <c r="W338" t="s">
        <v>6662</v>
      </c>
      <c r="X338" t="s">
        <v>6663</v>
      </c>
      <c r="Y338" t="s">
        <v>6664</v>
      </c>
      <c r="Z338" t="s">
        <v>6665</v>
      </c>
      <c r="AA338" t="s">
        <v>6666</v>
      </c>
      <c r="AB338" t="s">
        <v>6667</v>
      </c>
      <c r="AC338" t="s">
        <v>6668</v>
      </c>
      <c r="AD338" t="s">
        <v>6669</v>
      </c>
      <c r="AE338" t="s">
        <v>6670</v>
      </c>
      <c r="AF338" t="s">
        <v>74</v>
      </c>
      <c r="AG338">
        <v>290</v>
      </c>
      <c r="AH338">
        <v>140</v>
      </c>
      <c r="AI338">
        <v>149</v>
      </c>
      <c r="AJ338">
        <v>5</v>
      </c>
      <c r="AK338">
        <v>127</v>
      </c>
      <c r="AL338" t="s">
        <v>753</v>
      </c>
      <c r="AM338" t="s">
        <v>124</v>
      </c>
      <c r="AN338" t="s">
        <v>754</v>
      </c>
      <c r="AO338" t="s">
        <v>6671</v>
      </c>
      <c r="AP338" t="s">
        <v>6672</v>
      </c>
      <c r="AQ338" t="s">
        <v>74</v>
      </c>
      <c r="AR338" t="s">
        <v>6673</v>
      </c>
      <c r="AS338" t="s">
        <v>6674</v>
      </c>
      <c r="AT338" t="s">
        <v>4934</v>
      </c>
      <c r="AU338">
        <v>2014</v>
      </c>
      <c r="AV338">
        <v>135</v>
      </c>
      <c r="AW338" t="s">
        <v>74</v>
      </c>
      <c r="AX338" t="s">
        <v>74</v>
      </c>
      <c r="AY338" t="s">
        <v>74</v>
      </c>
      <c r="AZ338" t="s">
        <v>74</v>
      </c>
      <c r="BA338" t="s">
        <v>74</v>
      </c>
      <c r="BB338">
        <v>83</v>
      </c>
      <c r="BC338">
        <v>102</v>
      </c>
      <c r="BD338" t="s">
        <v>74</v>
      </c>
      <c r="BE338" t="s">
        <v>6675</v>
      </c>
      <c r="BF338" t="str">
        <f>HYPERLINK("http://dx.doi.org/10.1016/j.earscirev.2014.04.003","http://dx.doi.org/10.1016/j.earscirev.2014.04.003")</f>
        <v>http://dx.doi.org/10.1016/j.earscirev.2014.04.003</v>
      </c>
      <c r="BG338" t="s">
        <v>74</v>
      </c>
      <c r="BH338" t="s">
        <v>74</v>
      </c>
      <c r="BI338">
        <v>20</v>
      </c>
      <c r="BJ338" t="s">
        <v>685</v>
      </c>
      <c r="BK338" t="s">
        <v>102</v>
      </c>
      <c r="BL338" t="s">
        <v>686</v>
      </c>
      <c r="BM338" t="s">
        <v>6676</v>
      </c>
      <c r="BN338" t="s">
        <v>74</v>
      </c>
      <c r="BO338" t="s">
        <v>74</v>
      </c>
      <c r="BP338" t="s">
        <v>74</v>
      </c>
      <c r="BQ338" t="s">
        <v>74</v>
      </c>
      <c r="BR338" t="s">
        <v>105</v>
      </c>
      <c r="BS338" t="s">
        <v>6677</v>
      </c>
      <c r="BT338" t="str">
        <f>HYPERLINK("https%3A%2F%2Fwww.webofscience.com%2Fwos%2Fwoscc%2Ffull-record%2FWOS:000338817400007","View Full Record in Web of Science")</f>
        <v>View Full Record in Web of Science</v>
      </c>
    </row>
    <row r="339" spans="1:72" x14ac:dyDescent="0.15">
      <c r="A339" t="s">
        <v>72</v>
      </c>
      <c r="B339" t="s">
        <v>6678</v>
      </c>
      <c r="C339" t="s">
        <v>74</v>
      </c>
      <c r="D339" t="s">
        <v>74</v>
      </c>
      <c r="E339" t="s">
        <v>74</v>
      </c>
      <c r="F339" t="s">
        <v>6679</v>
      </c>
      <c r="G339" t="s">
        <v>74</v>
      </c>
      <c r="H339" t="s">
        <v>74</v>
      </c>
      <c r="I339" t="s">
        <v>6680</v>
      </c>
      <c r="J339" t="s">
        <v>6681</v>
      </c>
      <c r="K339" t="s">
        <v>74</v>
      </c>
      <c r="L339" t="s">
        <v>74</v>
      </c>
      <c r="M339" t="s">
        <v>78</v>
      </c>
      <c r="N339" t="s">
        <v>79</v>
      </c>
      <c r="O339" t="s">
        <v>74</v>
      </c>
      <c r="P339" t="s">
        <v>74</v>
      </c>
      <c r="Q339" t="s">
        <v>74</v>
      </c>
      <c r="R339" t="s">
        <v>74</v>
      </c>
      <c r="S339" t="s">
        <v>74</v>
      </c>
      <c r="T339" t="s">
        <v>6682</v>
      </c>
      <c r="U339" t="s">
        <v>6683</v>
      </c>
      <c r="V339" t="s">
        <v>6684</v>
      </c>
      <c r="W339" t="s">
        <v>6685</v>
      </c>
      <c r="X339" t="s">
        <v>6686</v>
      </c>
      <c r="Y339" t="s">
        <v>6687</v>
      </c>
      <c r="Z339" t="s">
        <v>6688</v>
      </c>
      <c r="AA339" t="s">
        <v>6689</v>
      </c>
      <c r="AB339" t="s">
        <v>6690</v>
      </c>
      <c r="AC339" t="s">
        <v>6691</v>
      </c>
      <c r="AD339" t="s">
        <v>6692</v>
      </c>
      <c r="AE339" t="s">
        <v>6693</v>
      </c>
      <c r="AF339" t="s">
        <v>74</v>
      </c>
      <c r="AG339">
        <v>75</v>
      </c>
      <c r="AH339">
        <v>568</v>
      </c>
      <c r="AI339">
        <v>655</v>
      </c>
      <c r="AJ339">
        <v>10</v>
      </c>
      <c r="AK339">
        <v>152</v>
      </c>
      <c r="AL339" t="s">
        <v>331</v>
      </c>
      <c r="AM339" t="s">
        <v>332</v>
      </c>
      <c r="AN339" t="s">
        <v>333</v>
      </c>
      <c r="AO339" t="s">
        <v>74</v>
      </c>
      <c r="AP339" t="s">
        <v>6694</v>
      </c>
      <c r="AQ339" t="s">
        <v>74</v>
      </c>
      <c r="AR339" t="s">
        <v>6681</v>
      </c>
      <c r="AS339" t="s">
        <v>6695</v>
      </c>
      <c r="AT339" t="s">
        <v>4934</v>
      </c>
      <c r="AU339">
        <v>2014</v>
      </c>
      <c r="AV339">
        <v>2</v>
      </c>
      <c r="AW339">
        <v>8</v>
      </c>
      <c r="AX339" t="s">
        <v>74</v>
      </c>
      <c r="AY339" t="s">
        <v>74</v>
      </c>
      <c r="AZ339" t="s">
        <v>74</v>
      </c>
      <c r="BA339" t="s">
        <v>74</v>
      </c>
      <c r="BB339">
        <v>383</v>
      </c>
      <c r="BC339">
        <v>406</v>
      </c>
      <c r="BD339" t="s">
        <v>74</v>
      </c>
      <c r="BE339" t="s">
        <v>6696</v>
      </c>
      <c r="BF339" t="str">
        <f>HYPERLINK("http://dx.doi.org/10.1002/2014EF000239","http://dx.doi.org/10.1002/2014EF000239")</f>
        <v>http://dx.doi.org/10.1002/2014EF000239</v>
      </c>
      <c r="BG339" t="s">
        <v>74</v>
      </c>
      <c r="BH339" t="s">
        <v>74</v>
      </c>
      <c r="BI339">
        <v>24</v>
      </c>
      <c r="BJ339" t="s">
        <v>5006</v>
      </c>
      <c r="BK339" t="s">
        <v>102</v>
      </c>
      <c r="BL339" t="s">
        <v>5007</v>
      </c>
      <c r="BM339" t="s">
        <v>6697</v>
      </c>
      <c r="BN339" t="s">
        <v>74</v>
      </c>
      <c r="BO339" t="s">
        <v>5136</v>
      </c>
      <c r="BP339" t="s">
        <v>3371</v>
      </c>
      <c r="BQ339" t="s">
        <v>3372</v>
      </c>
      <c r="BR339" t="s">
        <v>105</v>
      </c>
      <c r="BS339" t="s">
        <v>6698</v>
      </c>
      <c r="BT339" t="str">
        <f>HYPERLINK("https%3A%2F%2Fwww.webofscience.com%2Fwos%2Fwoscc%2Ffull-record%2FWOS:000358134200003","View Full Record in Web of Science")</f>
        <v>View Full Record in Web of Science</v>
      </c>
    </row>
    <row r="340" spans="1:72" x14ac:dyDescent="0.15">
      <c r="A340" t="s">
        <v>72</v>
      </c>
      <c r="B340" t="s">
        <v>6699</v>
      </c>
      <c r="C340" t="s">
        <v>74</v>
      </c>
      <c r="D340" t="s">
        <v>74</v>
      </c>
      <c r="E340" t="s">
        <v>74</v>
      </c>
      <c r="F340" t="s">
        <v>6700</v>
      </c>
      <c r="G340" t="s">
        <v>74</v>
      </c>
      <c r="H340" t="s">
        <v>74</v>
      </c>
      <c r="I340" t="s">
        <v>6701</v>
      </c>
      <c r="J340" t="s">
        <v>6702</v>
      </c>
      <c r="K340" t="s">
        <v>74</v>
      </c>
      <c r="L340" t="s">
        <v>74</v>
      </c>
      <c r="M340" t="s">
        <v>78</v>
      </c>
      <c r="N340" t="s">
        <v>79</v>
      </c>
      <c r="O340" t="s">
        <v>74</v>
      </c>
      <c r="P340" t="s">
        <v>74</v>
      </c>
      <c r="Q340" t="s">
        <v>74</v>
      </c>
      <c r="R340" t="s">
        <v>74</v>
      </c>
      <c r="S340" t="s">
        <v>74</v>
      </c>
      <c r="T340" t="s">
        <v>6703</v>
      </c>
      <c r="U340" t="s">
        <v>6704</v>
      </c>
      <c r="V340" t="s">
        <v>6705</v>
      </c>
      <c r="W340" t="s">
        <v>6706</v>
      </c>
      <c r="X340" t="s">
        <v>6707</v>
      </c>
      <c r="Y340" t="s">
        <v>6708</v>
      </c>
      <c r="Z340" t="s">
        <v>6709</v>
      </c>
      <c r="AA340" t="s">
        <v>6710</v>
      </c>
      <c r="AB340" t="s">
        <v>6711</v>
      </c>
      <c r="AC340" t="s">
        <v>6712</v>
      </c>
      <c r="AD340" t="s">
        <v>6713</v>
      </c>
      <c r="AE340" t="s">
        <v>6714</v>
      </c>
      <c r="AF340" t="s">
        <v>74</v>
      </c>
      <c r="AG340">
        <v>21</v>
      </c>
      <c r="AH340">
        <v>40</v>
      </c>
      <c r="AI340">
        <v>45</v>
      </c>
      <c r="AJ340">
        <v>1</v>
      </c>
      <c r="AK340">
        <v>58</v>
      </c>
      <c r="AL340" t="s">
        <v>171</v>
      </c>
      <c r="AM340" t="s">
        <v>93</v>
      </c>
      <c r="AN340" t="s">
        <v>94</v>
      </c>
      <c r="AO340" t="s">
        <v>6715</v>
      </c>
      <c r="AP340" t="s">
        <v>6716</v>
      </c>
      <c r="AQ340" t="s">
        <v>74</v>
      </c>
      <c r="AR340" t="s">
        <v>6702</v>
      </c>
      <c r="AS340" t="s">
        <v>5627</v>
      </c>
      <c r="AT340" t="s">
        <v>4934</v>
      </c>
      <c r="AU340">
        <v>2014</v>
      </c>
      <c r="AV340">
        <v>95</v>
      </c>
      <c r="AW340">
        <v>8</v>
      </c>
      <c r="AX340" t="s">
        <v>74</v>
      </c>
      <c r="AY340" t="s">
        <v>74</v>
      </c>
      <c r="AZ340" t="s">
        <v>74</v>
      </c>
      <c r="BA340" t="s">
        <v>74</v>
      </c>
      <c r="BB340">
        <v>2077</v>
      </c>
      <c r="BC340">
        <v>2083</v>
      </c>
      <c r="BD340" t="s">
        <v>74</v>
      </c>
      <c r="BE340" t="s">
        <v>6717</v>
      </c>
      <c r="BF340" t="str">
        <f>HYPERLINK("http://dx.doi.org/10.1890/13-1797.1","http://dx.doi.org/10.1890/13-1797.1")</f>
        <v>http://dx.doi.org/10.1890/13-1797.1</v>
      </c>
      <c r="BG340" t="s">
        <v>74</v>
      </c>
      <c r="BH340" t="s">
        <v>74</v>
      </c>
      <c r="BI340">
        <v>7</v>
      </c>
      <c r="BJ340" t="s">
        <v>5627</v>
      </c>
      <c r="BK340" t="s">
        <v>102</v>
      </c>
      <c r="BL340" t="s">
        <v>2553</v>
      </c>
      <c r="BM340" t="s">
        <v>6718</v>
      </c>
      <c r="BN340">
        <v>25230460</v>
      </c>
      <c r="BO340" t="s">
        <v>4213</v>
      </c>
      <c r="BP340" t="s">
        <v>74</v>
      </c>
      <c r="BQ340" t="s">
        <v>74</v>
      </c>
      <c r="BR340" t="s">
        <v>105</v>
      </c>
      <c r="BS340" t="s">
        <v>6719</v>
      </c>
      <c r="BT340" t="str">
        <f>HYPERLINK("https%3A%2F%2Fwww.webofscience.com%2Fwos%2Fwoscc%2Ffull-record%2FWOS:000340215900007","View Full Record in Web of Science")</f>
        <v>View Full Record in Web of Science</v>
      </c>
    </row>
    <row r="341" spans="1:72" x14ac:dyDescent="0.15">
      <c r="A341" t="s">
        <v>72</v>
      </c>
      <c r="B341" t="s">
        <v>6720</v>
      </c>
      <c r="C341" t="s">
        <v>74</v>
      </c>
      <c r="D341" t="s">
        <v>74</v>
      </c>
      <c r="E341" t="s">
        <v>74</v>
      </c>
      <c r="F341" t="s">
        <v>6721</v>
      </c>
      <c r="G341" t="s">
        <v>74</v>
      </c>
      <c r="H341" t="s">
        <v>74</v>
      </c>
      <c r="I341" t="s">
        <v>6722</v>
      </c>
      <c r="J341" t="s">
        <v>6723</v>
      </c>
      <c r="K341" t="s">
        <v>74</v>
      </c>
      <c r="L341" t="s">
        <v>74</v>
      </c>
      <c r="M341" t="s">
        <v>78</v>
      </c>
      <c r="N341" t="s">
        <v>79</v>
      </c>
      <c r="O341" t="s">
        <v>74</v>
      </c>
      <c r="P341" t="s">
        <v>74</v>
      </c>
      <c r="Q341" t="s">
        <v>74</v>
      </c>
      <c r="R341" t="s">
        <v>74</v>
      </c>
      <c r="S341" t="s">
        <v>74</v>
      </c>
      <c r="T341" t="s">
        <v>6724</v>
      </c>
      <c r="U341" t="s">
        <v>6725</v>
      </c>
      <c r="V341" t="s">
        <v>6726</v>
      </c>
      <c r="W341" t="s">
        <v>6727</v>
      </c>
      <c r="X341" t="s">
        <v>2873</v>
      </c>
      <c r="Y341" t="s">
        <v>6728</v>
      </c>
      <c r="Z341" t="s">
        <v>6729</v>
      </c>
      <c r="AA341" t="s">
        <v>6730</v>
      </c>
      <c r="AB341" t="s">
        <v>6731</v>
      </c>
      <c r="AC341" t="s">
        <v>6732</v>
      </c>
      <c r="AD341" t="s">
        <v>1726</v>
      </c>
      <c r="AE341" t="s">
        <v>6733</v>
      </c>
      <c r="AF341" t="s">
        <v>74</v>
      </c>
      <c r="AG341">
        <v>57</v>
      </c>
      <c r="AH341">
        <v>15</v>
      </c>
      <c r="AI341">
        <v>18</v>
      </c>
      <c r="AJ341">
        <v>4</v>
      </c>
      <c r="AK341">
        <v>42</v>
      </c>
      <c r="AL341" t="s">
        <v>171</v>
      </c>
      <c r="AM341" t="s">
        <v>93</v>
      </c>
      <c r="AN341" t="s">
        <v>94</v>
      </c>
      <c r="AO341" t="s">
        <v>6734</v>
      </c>
      <c r="AP341" t="s">
        <v>74</v>
      </c>
      <c r="AQ341" t="s">
        <v>74</v>
      </c>
      <c r="AR341" t="s">
        <v>6735</v>
      </c>
      <c r="AS341" t="s">
        <v>6736</v>
      </c>
      <c r="AT341" t="s">
        <v>4934</v>
      </c>
      <c r="AU341">
        <v>2014</v>
      </c>
      <c r="AV341">
        <v>4</v>
      </c>
      <c r="AW341">
        <v>16</v>
      </c>
      <c r="AX341" t="s">
        <v>74</v>
      </c>
      <c r="AY341" t="s">
        <v>74</v>
      </c>
      <c r="AZ341" t="s">
        <v>74</v>
      </c>
      <c r="BA341" t="s">
        <v>74</v>
      </c>
      <c r="BB341">
        <v>3147</v>
      </c>
      <c r="BC341">
        <v>3161</v>
      </c>
      <c r="BD341" t="s">
        <v>74</v>
      </c>
      <c r="BE341" t="s">
        <v>6737</v>
      </c>
      <c r="BF341" t="str">
        <f>HYPERLINK("http://dx.doi.org/10.1002/ece3.1138","http://dx.doi.org/10.1002/ece3.1138")</f>
        <v>http://dx.doi.org/10.1002/ece3.1138</v>
      </c>
      <c r="BG341" t="s">
        <v>74</v>
      </c>
      <c r="BH341" t="s">
        <v>74</v>
      </c>
      <c r="BI341">
        <v>15</v>
      </c>
      <c r="BJ341" t="s">
        <v>6738</v>
      </c>
      <c r="BK341" t="s">
        <v>102</v>
      </c>
      <c r="BL341" t="s">
        <v>6739</v>
      </c>
      <c r="BM341" t="s">
        <v>6740</v>
      </c>
      <c r="BN341">
        <v>25473469</v>
      </c>
      <c r="BO341" t="s">
        <v>206</v>
      </c>
      <c r="BP341" t="s">
        <v>74</v>
      </c>
      <c r="BQ341" t="s">
        <v>74</v>
      </c>
      <c r="BR341" t="s">
        <v>105</v>
      </c>
      <c r="BS341" t="s">
        <v>6741</v>
      </c>
      <c r="BT341" t="str">
        <f>HYPERLINK("https%3A%2F%2Fwww.webofscience.com%2Fwos%2Fwoscc%2Ffull-record%2FWOS:000341188300001","View Full Record in Web of Science")</f>
        <v>View Full Record in Web of Science</v>
      </c>
    </row>
    <row r="342" spans="1:72" x14ac:dyDescent="0.15">
      <c r="A342" t="s">
        <v>72</v>
      </c>
      <c r="B342" t="s">
        <v>6742</v>
      </c>
      <c r="C342" t="s">
        <v>74</v>
      </c>
      <c r="D342" t="s">
        <v>74</v>
      </c>
      <c r="E342" t="s">
        <v>74</v>
      </c>
      <c r="F342" t="s">
        <v>6743</v>
      </c>
      <c r="G342" t="s">
        <v>74</v>
      </c>
      <c r="H342" t="s">
        <v>74</v>
      </c>
      <c r="I342" t="s">
        <v>6744</v>
      </c>
      <c r="J342" t="s">
        <v>3023</v>
      </c>
      <c r="K342" t="s">
        <v>74</v>
      </c>
      <c r="L342" t="s">
        <v>74</v>
      </c>
      <c r="M342" t="s">
        <v>78</v>
      </c>
      <c r="N342" t="s">
        <v>79</v>
      </c>
      <c r="O342" t="s">
        <v>74</v>
      </c>
      <c r="P342" t="s">
        <v>74</v>
      </c>
      <c r="Q342" t="s">
        <v>74</v>
      </c>
      <c r="R342" t="s">
        <v>74</v>
      </c>
      <c r="S342" t="s">
        <v>74</v>
      </c>
      <c r="T342" t="s">
        <v>6745</v>
      </c>
      <c r="U342" t="s">
        <v>6746</v>
      </c>
      <c r="V342" t="s">
        <v>6747</v>
      </c>
      <c r="W342" t="s">
        <v>6748</v>
      </c>
      <c r="X342" t="s">
        <v>6749</v>
      </c>
      <c r="Y342" t="s">
        <v>6750</v>
      </c>
      <c r="Z342" t="s">
        <v>6751</v>
      </c>
      <c r="AA342" t="s">
        <v>74</v>
      </c>
      <c r="AB342" t="s">
        <v>74</v>
      </c>
      <c r="AC342" t="s">
        <v>6752</v>
      </c>
      <c r="AD342" t="s">
        <v>6752</v>
      </c>
      <c r="AE342" t="s">
        <v>6753</v>
      </c>
      <c r="AF342" t="s">
        <v>74</v>
      </c>
      <c r="AG342">
        <v>50</v>
      </c>
      <c r="AH342">
        <v>4</v>
      </c>
      <c r="AI342">
        <v>4</v>
      </c>
      <c r="AJ342">
        <v>0</v>
      </c>
      <c r="AK342">
        <v>48</v>
      </c>
      <c r="AL342" t="s">
        <v>224</v>
      </c>
      <c r="AM342" t="s">
        <v>576</v>
      </c>
      <c r="AN342" t="s">
        <v>778</v>
      </c>
      <c r="AO342" t="s">
        <v>3034</v>
      </c>
      <c r="AP342" t="s">
        <v>3035</v>
      </c>
      <c r="AQ342" t="s">
        <v>74</v>
      </c>
      <c r="AR342" t="s">
        <v>3036</v>
      </c>
      <c r="AS342" t="s">
        <v>3037</v>
      </c>
      <c r="AT342" t="s">
        <v>4934</v>
      </c>
      <c r="AU342">
        <v>2014</v>
      </c>
      <c r="AV342">
        <v>72</v>
      </c>
      <c r="AW342">
        <v>4</v>
      </c>
      <c r="AX342" t="s">
        <v>74</v>
      </c>
      <c r="AY342" t="s">
        <v>74</v>
      </c>
      <c r="AZ342" t="s">
        <v>74</v>
      </c>
      <c r="BA342" t="s">
        <v>74</v>
      </c>
      <c r="BB342">
        <v>1025</v>
      </c>
      <c r="BC342">
        <v>1037</v>
      </c>
      <c r="BD342" t="s">
        <v>74</v>
      </c>
      <c r="BE342" t="s">
        <v>6754</v>
      </c>
      <c r="BF342" t="str">
        <f>HYPERLINK("http://dx.doi.org/10.1007/s12665-013-3020-9","http://dx.doi.org/10.1007/s12665-013-3020-9")</f>
        <v>http://dx.doi.org/10.1007/s12665-013-3020-9</v>
      </c>
      <c r="BG342" t="s">
        <v>74</v>
      </c>
      <c r="BH342" t="s">
        <v>74</v>
      </c>
      <c r="BI342">
        <v>13</v>
      </c>
      <c r="BJ342" t="s">
        <v>3039</v>
      </c>
      <c r="BK342" t="s">
        <v>102</v>
      </c>
      <c r="BL342" t="s">
        <v>3040</v>
      </c>
      <c r="BM342" t="s">
        <v>6755</v>
      </c>
      <c r="BN342" t="s">
        <v>74</v>
      </c>
      <c r="BO342" t="s">
        <v>74</v>
      </c>
      <c r="BP342" t="s">
        <v>74</v>
      </c>
      <c r="BQ342" t="s">
        <v>74</v>
      </c>
      <c r="BR342" t="s">
        <v>105</v>
      </c>
      <c r="BS342" t="s">
        <v>6756</v>
      </c>
      <c r="BT342" t="str">
        <f>HYPERLINK("https%3A%2F%2Fwww.webofscience.com%2Fwos%2Fwoscc%2Ffull-record%2FWOS:000341084400006","View Full Record in Web of Science")</f>
        <v>View Full Record in Web of Science</v>
      </c>
    </row>
    <row r="343" spans="1:72" x14ac:dyDescent="0.15">
      <c r="A343" t="s">
        <v>72</v>
      </c>
      <c r="B343" t="s">
        <v>6757</v>
      </c>
      <c r="C343" t="s">
        <v>74</v>
      </c>
      <c r="D343" t="s">
        <v>74</v>
      </c>
      <c r="E343" t="s">
        <v>74</v>
      </c>
      <c r="F343" t="s">
        <v>6758</v>
      </c>
      <c r="G343" t="s">
        <v>74</v>
      </c>
      <c r="H343" t="s">
        <v>74</v>
      </c>
      <c r="I343" t="s">
        <v>6759</v>
      </c>
      <c r="J343" t="s">
        <v>6760</v>
      </c>
      <c r="K343" t="s">
        <v>74</v>
      </c>
      <c r="L343" t="s">
        <v>74</v>
      </c>
      <c r="M343" t="s">
        <v>78</v>
      </c>
      <c r="N343" t="s">
        <v>79</v>
      </c>
      <c r="O343" t="s">
        <v>74</v>
      </c>
      <c r="P343" t="s">
        <v>74</v>
      </c>
      <c r="Q343" t="s">
        <v>74</v>
      </c>
      <c r="R343" t="s">
        <v>74</v>
      </c>
      <c r="S343" t="s">
        <v>74</v>
      </c>
      <c r="T343" t="s">
        <v>6761</v>
      </c>
      <c r="U343" t="s">
        <v>6762</v>
      </c>
      <c r="V343" t="s">
        <v>6763</v>
      </c>
      <c r="W343" t="s">
        <v>6764</v>
      </c>
      <c r="X343" t="s">
        <v>6765</v>
      </c>
      <c r="Y343" t="s">
        <v>6766</v>
      </c>
      <c r="Z343" t="s">
        <v>6767</v>
      </c>
      <c r="AA343" t="s">
        <v>6768</v>
      </c>
      <c r="AB343" t="s">
        <v>6769</v>
      </c>
      <c r="AC343" t="s">
        <v>6770</v>
      </c>
      <c r="AD343" t="s">
        <v>6770</v>
      </c>
      <c r="AE343" t="s">
        <v>6771</v>
      </c>
      <c r="AF343" t="s">
        <v>74</v>
      </c>
      <c r="AG343">
        <v>52</v>
      </c>
      <c r="AH343">
        <v>25</v>
      </c>
      <c r="AI343">
        <v>26</v>
      </c>
      <c r="AJ343">
        <v>0</v>
      </c>
      <c r="AK343">
        <v>21</v>
      </c>
      <c r="AL343" t="s">
        <v>6772</v>
      </c>
      <c r="AM343" t="s">
        <v>6773</v>
      </c>
      <c r="AN343" t="s">
        <v>6774</v>
      </c>
      <c r="AO343" t="s">
        <v>6775</v>
      </c>
      <c r="AP343" t="s">
        <v>6776</v>
      </c>
      <c r="AQ343" t="s">
        <v>74</v>
      </c>
      <c r="AR343" t="s">
        <v>6777</v>
      </c>
      <c r="AS343" t="s">
        <v>6778</v>
      </c>
      <c r="AT343" t="s">
        <v>4934</v>
      </c>
      <c r="AU343">
        <v>2014</v>
      </c>
      <c r="AV343">
        <v>50</v>
      </c>
      <c r="AW343">
        <v>4</v>
      </c>
      <c r="AX343" t="s">
        <v>74</v>
      </c>
      <c r="AY343" t="s">
        <v>74</v>
      </c>
      <c r="AZ343" t="s">
        <v>74</v>
      </c>
      <c r="BA343" t="s">
        <v>74</v>
      </c>
      <c r="BB343">
        <v>402</v>
      </c>
      <c r="BC343">
        <v>411</v>
      </c>
      <c r="BD343" t="s">
        <v>74</v>
      </c>
      <c r="BE343" t="s">
        <v>6779</v>
      </c>
      <c r="BF343" t="str">
        <f>HYPERLINK("http://dx.doi.org/10.1016/j.ejop.2014.05.001","http://dx.doi.org/10.1016/j.ejop.2014.05.001")</f>
        <v>http://dx.doi.org/10.1016/j.ejop.2014.05.001</v>
      </c>
      <c r="BG343" t="s">
        <v>74</v>
      </c>
      <c r="BH343" t="s">
        <v>74</v>
      </c>
      <c r="BI343">
        <v>10</v>
      </c>
      <c r="BJ343" t="s">
        <v>1012</v>
      </c>
      <c r="BK343" t="s">
        <v>102</v>
      </c>
      <c r="BL343" t="s">
        <v>1012</v>
      </c>
      <c r="BM343" t="s">
        <v>6780</v>
      </c>
      <c r="BN343">
        <v>25051516</v>
      </c>
      <c r="BO343" t="s">
        <v>74</v>
      </c>
      <c r="BP343" t="s">
        <v>74</v>
      </c>
      <c r="BQ343" t="s">
        <v>74</v>
      </c>
      <c r="BR343" t="s">
        <v>105</v>
      </c>
      <c r="BS343" t="s">
        <v>6781</v>
      </c>
      <c r="BT343" t="str">
        <f>HYPERLINK("https%3A%2F%2Fwww.webofscience.com%2Fwos%2Fwoscc%2Ffull-record%2FWOS:000341475000008","View Full Record in Web of Science")</f>
        <v>View Full Record in Web of Science</v>
      </c>
    </row>
    <row r="344" spans="1:72" x14ac:dyDescent="0.15">
      <c r="A344" t="s">
        <v>72</v>
      </c>
      <c r="B344" t="s">
        <v>6782</v>
      </c>
      <c r="C344" t="s">
        <v>74</v>
      </c>
      <c r="D344" t="s">
        <v>74</v>
      </c>
      <c r="E344" t="s">
        <v>74</v>
      </c>
      <c r="F344" t="s">
        <v>6783</v>
      </c>
      <c r="G344" t="s">
        <v>74</v>
      </c>
      <c r="H344" t="s">
        <v>74</v>
      </c>
      <c r="I344" t="s">
        <v>6784</v>
      </c>
      <c r="J344" t="s">
        <v>5726</v>
      </c>
      <c r="K344" t="s">
        <v>74</v>
      </c>
      <c r="L344" t="s">
        <v>74</v>
      </c>
      <c r="M344" t="s">
        <v>78</v>
      </c>
      <c r="N344" t="s">
        <v>79</v>
      </c>
      <c r="O344" t="s">
        <v>74</v>
      </c>
      <c r="P344" t="s">
        <v>74</v>
      </c>
      <c r="Q344" t="s">
        <v>74</v>
      </c>
      <c r="R344" t="s">
        <v>74</v>
      </c>
      <c r="S344" t="s">
        <v>74</v>
      </c>
      <c r="T344" t="s">
        <v>6785</v>
      </c>
      <c r="U344" t="s">
        <v>6786</v>
      </c>
      <c r="V344" t="s">
        <v>6787</v>
      </c>
      <c r="W344" t="s">
        <v>6788</v>
      </c>
      <c r="X344" t="s">
        <v>6789</v>
      </c>
      <c r="Y344" t="s">
        <v>6790</v>
      </c>
      <c r="Z344" t="s">
        <v>6791</v>
      </c>
      <c r="AA344" t="s">
        <v>6792</v>
      </c>
      <c r="AB344" t="s">
        <v>6793</v>
      </c>
      <c r="AC344" t="s">
        <v>6794</v>
      </c>
      <c r="AD344" t="s">
        <v>6795</v>
      </c>
      <c r="AE344" t="s">
        <v>6796</v>
      </c>
      <c r="AF344" t="s">
        <v>74</v>
      </c>
      <c r="AG344">
        <v>57</v>
      </c>
      <c r="AH344">
        <v>43</v>
      </c>
      <c r="AI344">
        <v>43</v>
      </c>
      <c r="AJ344">
        <v>0</v>
      </c>
      <c r="AK344">
        <v>59</v>
      </c>
      <c r="AL344" t="s">
        <v>418</v>
      </c>
      <c r="AM344" t="s">
        <v>251</v>
      </c>
      <c r="AN344" t="s">
        <v>419</v>
      </c>
      <c r="AO344" t="s">
        <v>5738</v>
      </c>
      <c r="AP344" t="s">
        <v>5739</v>
      </c>
      <c r="AQ344" t="s">
        <v>74</v>
      </c>
      <c r="AR344" t="s">
        <v>5740</v>
      </c>
      <c r="AS344" t="s">
        <v>5741</v>
      </c>
      <c r="AT344" t="s">
        <v>4934</v>
      </c>
      <c r="AU344">
        <v>2014</v>
      </c>
      <c r="AV344">
        <v>89</v>
      </c>
      <c r="AW344">
        <v>2</v>
      </c>
      <c r="AX344" t="s">
        <v>74</v>
      </c>
      <c r="AY344" t="s">
        <v>74</v>
      </c>
      <c r="AZ344" t="s">
        <v>258</v>
      </c>
      <c r="BA344" t="s">
        <v>74</v>
      </c>
      <c r="BB344">
        <v>270</v>
      </c>
      <c r="BC344">
        <v>280</v>
      </c>
      <c r="BD344" t="s">
        <v>74</v>
      </c>
      <c r="BE344" t="s">
        <v>6797</v>
      </c>
      <c r="BF344" t="str">
        <f>HYPERLINK("http://dx.doi.org/10.1111/1574-6941.12288","http://dx.doi.org/10.1111/1574-6941.12288")</f>
        <v>http://dx.doi.org/10.1111/1574-6941.12288</v>
      </c>
      <c r="BG344" t="s">
        <v>74</v>
      </c>
      <c r="BH344" t="s">
        <v>74</v>
      </c>
      <c r="BI344">
        <v>11</v>
      </c>
      <c r="BJ344" t="s">
        <v>1012</v>
      </c>
      <c r="BK344" t="s">
        <v>102</v>
      </c>
      <c r="BL344" t="s">
        <v>1012</v>
      </c>
      <c r="BM344" t="s">
        <v>5743</v>
      </c>
      <c r="BN344">
        <v>24476153</v>
      </c>
      <c r="BO344" t="s">
        <v>74</v>
      </c>
      <c r="BP344" t="s">
        <v>74</v>
      </c>
      <c r="BQ344" t="s">
        <v>74</v>
      </c>
      <c r="BR344" t="s">
        <v>105</v>
      </c>
      <c r="BS344" t="s">
        <v>6798</v>
      </c>
      <c r="BT344" t="str">
        <f>HYPERLINK("https%3A%2F%2Fwww.webofscience.com%2Fwos%2Fwoscc%2Ffull-record%2FWOS:000340535200006","View Full Record in Web of Science")</f>
        <v>View Full Record in Web of Science</v>
      </c>
    </row>
    <row r="345" spans="1:72" x14ac:dyDescent="0.15">
      <c r="A345" t="s">
        <v>72</v>
      </c>
      <c r="B345" t="s">
        <v>6799</v>
      </c>
      <c r="C345" t="s">
        <v>74</v>
      </c>
      <c r="D345" t="s">
        <v>74</v>
      </c>
      <c r="E345" t="s">
        <v>74</v>
      </c>
      <c r="F345" t="s">
        <v>6800</v>
      </c>
      <c r="G345" t="s">
        <v>74</v>
      </c>
      <c r="H345" t="s">
        <v>74</v>
      </c>
      <c r="I345" t="s">
        <v>6801</v>
      </c>
      <c r="J345" t="s">
        <v>5726</v>
      </c>
      <c r="K345" t="s">
        <v>74</v>
      </c>
      <c r="L345" t="s">
        <v>74</v>
      </c>
      <c r="M345" t="s">
        <v>78</v>
      </c>
      <c r="N345" t="s">
        <v>79</v>
      </c>
      <c r="O345" t="s">
        <v>74</v>
      </c>
      <c r="P345" t="s">
        <v>74</v>
      </c>
      <c r="Q345" t="s">
        <v>74</v>
      </c>
      <c r="R345" t="s">
        <v>74</v>
      </c>
      <c r="S345" t="s">
        <v>74</v>
      </c>
      <c r="T345" t="s">
        <v>6802</v>
      </c>
      <c r="U345" t="s">
        <v>6803</v>
      </c>
      <c r="V345" t="s">
        <v>6804</v>
      </c>
      <c r="W345" t="s">
        <v>6805</v>
      </c>
      <c r="X345" t="s">
        <v>6806</v>
      </c>
      <c r="Y345" t="s">
        <v>6807</v>
      </c>
      <c r="Z345" t="s">
        <v>6808</v>
      </c>
      <c r="AA345" t="s">
        <v>6809</v>
      </c>
      <c r="AB345" t="s">
        <v>6810</v>
      </c>
      <c r="AC345" t="s">
        <v>6811</v>
      </c>
      <c r="AD345" t="s">
        <v>6812</v>
      </c>
      <c r="AE345" t="s">
        <v>6813</v>
      </c>
      <c r="AF345" t="s">
        <v>74</v>
      </c>
      <c r="AG345">
        <v>32</v>
      </c>
      <c r="AH345">
        <v>21</v>
      </c>
      <c r="AI345">
        <v>21</v>
      </c>
      <c r="AJ345">
        <v>0</v>
      </c>
      <c r="AK345">
        <v>39</v>
      </c>
      <c r="AL345" t="s">
        <v>418</v>
      </c>
      <c r="AM345" t="s">
        <v>251</v>
      </c>
      <c r="AN345" t="s">
        <v>419</v>
      </c>
      <c r="AO345" t="s">
        <v>5738</v>
      </c>
      <c r="AP345" t="s">
        <v>5739</v>
      </c>
      <c r="AQ345" t="s">
        <v>74</v>
      </c>
      <c r="AR345" t="s">
        <v>5740</v>
      </c>
      <c r="AS345" t="s">
        <v>5741</v>
      </c>
      <c r="AT345" t="s">
        <v>4934</v>
      </c>
      <c r="AU345">
        <v>2014</v>
      </c>
      <c r="AV345">
        <v>89</v>
      </c>
      <c r="AW345">
        <v>2</v>
      </c>
      <c r="AX345" t="s">
        <v>74</v>
      </c>
      <c r="AY345" t="s">
        <v>74</v>
      </c>
      <c r="AZ345" t="s">
        <v>258</v>
      </c>
      <c r="BA345" t="s">
        <v>74</v>
      </c>
      <c r="BB345">
        <v>293</v>
      </c>
      <c r="BC345">
        <v>302</v>
      </c>
      <c r="BD345" t="s">
        <v>74</v>
      </c>
      <c r="BE345" t="s">
        <v>6814</v>
      </c>
      <c r="BF345" t="str">
        <f>HYPERLINK("http://dx.doi.org/10.1111/1574-6941.12296","http://dx.doi.org/10.1111/1574-6941.12296")</f>
        <v>http://dx.doi.org/10.1111/1574-6941.12296</v>
      </c>
      <c r="BG345" t="s">
        <v>74</v>
      </c>
      <c r="BH345" t="s">
        <v>74</v>
      </c>
      <c r="BI345">
        <v>10</v>
      </c>
      <c r="BJ345" t="s">
        <v>1012</v>
      </c>
      <c r="BK345" t="s">
        <v>102</v>
      </c>
      <c r="BL345" t="s">
        <v>1012</v>
      </c>
      <c r="BM345" t="s">
        <v>5743</v>
      </c>
      <c r="BN345">
        <v>24499459</v>
      </c>
      <c r="BO345" t="s">
        <v>74</v>
      </c>
      <c r="BP345" t="s">
        <v>74</v>
      </c>
      <c r="BQ345" t="s">
        <v>74</v>
      </c>
      <c r="BR345" t="s">
        <v>105</v>
      </c>
      <c r="BS345" t="s">
        <v>6815</v>
      </c>
      <c r="BT345" t="str">
        <f>HYPERLINK("https%3A%2F%2Fwww.webofscience.com%2Fwos%2Fwoscc%2Ffull-record%2FWOS:000340535200008","View Full Record in Web of Science")</f>
        <v>View Full Record in Web of Science</v>
      </c>
    </row>
    <row r="346" spans="1:72" x14ac:dyDescent="0.15">
      <c r="A346" t="s">
        <v>72</v>
      </c>
      <c r="B346" t="s">
        <v>6816</v>
      </c>
      <c r="C346" t="s">
        <v>74</v>
      </c>
      <c r="D346" t="s">
        <v>74</v>
      </c>
      <c r="E346" t="s">
        <v>74</v>
      </c>
      <c r="F346" t="s">
        <v>6817</v>
      </c>
      <c r="G346" t="s">
        <v>74</v>
      </c>
      <c r="H346" t="s">
        <v>74</v>
      </c>
      <c r="I346" t="s">
        <v>6818</v>
      </c>
      <c r="J346" t="s">
        <v>5726</v>
      </c>
      <c r="K346" t="s">
        <v>74</v>
      </c>
      <c r="L346" t="s">
        <v>74</v>
      </c>
      <c r="M346" t="s">
        <v>78</v>
      </c>
      <c r="N346" t="s">
        <v>79</v>
      </c>
      <c r="O346" t="s">
        <v>74</v>
      </c>
      <c r="P346" t="s">
        <v>74</v>
      </c>
      <c r="Q346" t="s">
        <v>74</v>
      </c>
      <c r="R346" t="s">
        <v>74</v>
      </c>
      <c r="S346" t="s">
        <v>74</v>
      </c>
      <c r="T346" t="s">
        <v>6819</v>
      </c>
      <c r="U346" t="s">
        <v>6820</v>
      </c>
      <c r="V346" t="s">
        <v>6821</v>
      </c>
      <c r="W346" t="s">
        <v>6822</v>
      </c>
      <c r="X346" t="s">
        <v>6823</v>
      </c>
      <c r="Y346" t="s">
        <v>6824</v>
      </c>
      <c r="Z346" t="s">
        <v>6825</v>
      </c>
      <c r="AA346" t="s">
        <v>6826</v>
      </c>
      <c r="AB346" t="s">
        <v>6827</v>
      </c>
      <c r="AC346" t="s">
        <v>6828</v>
      </c>
      <c r="AD346" t="s">
        <v>6829</v>
      </c>
      <c r="AE346" t="s">
        <v>6830</v>
      </c>
      <c r="AF346" t="s">
        <v>74</v>
      </c>
      <c r="AG346">
        <v>63</v>
      </c>
      <c r="AH346">
        <v>130</v>
      </c>
      <c r="AI346">
        <v>140</v>
      </c>
      <c r="AJ346">
        <v>3</v>
      </c>
      <c r="AK346">
        <v>86</v>
      </c>
      <c r="AL346" t="s">
        <v>418</v>
      </c>
      <c r="AM346" t="s">
        <v>251</v>
      </c>
      <c r="AN346" t="s">
        <v>419</v>
      </c>
      <c r="AO346" t="s">
        <v>5738</v>
      </c>
      <c r="AP346" t="s">
        <v>5739</v>
      </c>
      <c r="AQ346" t="s">
        <v>74</v>
      </c>
      <c r="AR346" t="s">
        <v>5740</v>
      </c>
      <c r="AS346" t="s">
        <v>5741</v>
      </c>
      <c r="AT346" t="s">
        <v>4934</v>
      </c>
      <c r="AU346">
        <v>2014</v>
      </c>
      <c r="AV346">
        <v>89</v>
      </c>
      <c r="AW346">
        <v>2</v>
      </c>
      <c r="AX346" t="s">
        <v>74</v>
      </c>
      <c r="AY346" t="s">
        <v>74</v>
      </c>
      <c r="AZ346" t="s">
        <v>258</v>
      </c>
      <c r="BA346" t="s">
        <v>74</v>
      </c>
      <c r="BB346">
        <v>316</v>
      </c>
      <c r="BC346">
        <v>330</v>
      </c>
      <c r="BD346" t="s">
        <v>74</v>
      </c>
      <c r="BE346" t="s">
        <v>6831</v>
      </c>
      <c r="BF346" t="str">
        <f>HYPERLINK("http://dx.doi.org/10.1111/1574-6941.12308","http://dx.doi.org/10.1111/1574-6941.12308")</f>
        <v>http://dx.doi.org/10.1111/1574-6941.12308</v>
      </c>
      <c r="BG346" t="s">
        <v>74</v>
      </c>
      <c r="BH346" t="s">
        <v>74</v>
      </c>
      <c r="BI346">
        <v>15</v>
      </c>
      <c r="BJ346" t="s">
        <v>1012</v>
      </c>
      <c r="BK346" t="s">
        <v>102</v>
      </c>
      <c r="BL346" t="s">
        <v>1012</v>
      </c>
      <c r="BM346" t="s">
        <v>5743</v>
      </c>
      <c r="BN346">
        <v>24580036</v>
      </c>
      <c r="BO346" t="s">
        <v>74</v>
      </c>
      <c r="BP346" t="s">
        <v>74</v>
      </c>
      <c r="BQ346" t="s">
        <v>74</v>
      </c>
      <c r="BR346" t="s">
        <v>105</v>
      </c>
      <c r="BS346" t="s">
        <v>6832</v>
      </c>
      <c r="BT346" t="str">
        <f>HYPERLINK("https%3A%2F%2Fwww.webofscience.com%2Fwos%2Fwoscc%2Ffull-record%2FWOS:000340535200010","View Full Record in Web of Science")</f>
        <v>View Full Record in Web of Science</v>
      </c>
    </row>
    <row r="347" spans="1:72" x14ac:dyDescent="0.15">
      <c r="A347" t="s">
        <v>72</v>
      </c>
      <c r="B347" t="s">
        <v>6833</v>
      </c>
      <c r="C347" t="s">
        <v>74</v>
      </c>
      <c r="D347" t="s">
        <v>74</v>
      </c>
      <c r="E347" t="s">
        <v>74</v>
      </c>
      <c r="F347" t="s">
        <v>6834</v>
      </c>
      <c r="G347" t="s">
        <v>74</v>
      </c>
      <c r="H347" t="s">
        <v>74</v>
      </c>
      <c r="I347" t="s">
        <v>6835</v>
      </c>
      <c r="J347" t="s">
        <v>5726</v>
      </c>
      <c r="K347" t="s">
        <v>74</v>
      </c>
      <c r="L347" t="s">
        <v>74</v>
      </c>
      <c r="M347" t="s">
        <v>78</v>
      </c>
      <c r="N347" t="s">
        <v>79</v>
      </c>
      <c r="O347" t="s">
        <v>74</v>
      </c>
      <c r="P347" t="s">
        <v>74</v>
      </c>
      <c r="Q347" t="s">
        <v>74</v>
      </c>
      <c r="R347" t="s">
        <v>74</v>
      </c>
      <c r="S347" t="s">
        <v>74</v>
      </c>
      <c r="T347" t="s">
        <v>6836</v>
      </c>
      <c r="U347" t="s">
        <v>6837</v>
      </c>
      <c r="V347" t="s">
        <v>6838</v>
      </c>
      <c r="W347" t="s">
        <v>6839</v>
      </c>
      <c r="X347" t="s">
        <v>6840</v>
      </c>
      <c r="Y347" t="s">
        <v>6841</v>
      </c>
      <c r="Z347" t="s">
        <v>6842</v>
      </c>
      <c r="AA347" t="s">
        <v>6843</v>
      </c>
      <c r="AB347" t="s">
        <v>6844</v>
      </c>
      <c r="AC347" t="s">
        <v>6845</v>
      </c>
      <c r="AD347" t="s">
        <v>6846</v>
      </c>
      <c r="AE347" t="s">
        <v>6847</v>
      </c>
      <c r="AF347" t="s">
        <v>74</v>
      </c>
      <c r="AG347">
        <v>91</v>
      </c>
      <c r="AH347">
        <v>27</v>
      </c>
      <c r="AI347">
        <v>30</v>
      </c>
      <c r="AJ347">
        <v>2</v>
      </c>
      <c r="AK347">
        <v>52</v>
      </c>
      <c r="AL347" t="s">
        <v>418</v>
      </c>
      <c r="AM347" t="s">
        <v>251</v>
      </c>
      <c r="AN347" t="s">
        <v>419</v>
      </c>
      <c r="AO347" t="s">
        <v>5738</v>
      </c>
      <c r="AP347" t="s">
        <v>5739</v>
      </c>
      <c r="AQ347" t="s">
        <v>74</v>
      </c>
      <c r="AR347" t="s">
        <v>5740</v>
      </c>
      <c r="AS347" t="s">
        <v>5741</v>
      </c>
      <c r="AT347" t="s">
        <v>4934</v>
      </c>
      <c r="AU347">
        <v>2014</v>
      </c>
      <c r="AV347">
        <v>89</v>
      </c>
      <c r="AW347">
        <v>2</v>
      </c>
      <c r="AX347" t="s">
        <v>74</v>
      </c>
      <c r="AY347" t="s">
        <v>74</v>
      </c>
      <c r="AZ347" t="s">
        <v>258</v>
      </c>
      <c r="BA347" t="s">
        <v>74</v>
      </c>
      <c r="BB347">
        <v>347</v>
      </c>
      <c r="BC347">
        <v>359</v>
      </c>
      <c r="BD347" t="s">
        <v>74</v>
      </c>
      <c r="BE347" t="s">
        <v>6848</v>
      </c>
      <c r="BF347" t="str">
        <f>HYPERLINK("http://dx.doi.org/10.1111/1574-6941.12322","http://dx.doi.org/10.1111/1574-6941.12322")</f>
        <v>http://dx.doi.org/10.1111/1574-6941.12322</v>
      </c>
      <c r="BG347" t="s">
        <v>74</v>
      </c>
      <c r="BH347" t="s">
        <v>74</v>
      </c>
      <c r="BI347">
        <v>13</v>
      </c>
      <c r="BJ347" t="s">
        <v>1012</v>
      </c>
      <c r="BK347" t="s">
        <v>102</v>
      </c>
      <c r="BL347" t="s">
        <v>1012</v>
      </c>
      <c r="BM347" t="s">
        <v>5743</v>
      </c>
      <c r="BN347">
        <v>24646164</v>
      </c>
      <c r="BO347" t="s">
        <v>467</v>
      </c>
      <c r="BP347" t="s">
        <v>74</v>
      </c>
      <c r="BQ347" t="s">
        <v>74</v>
      </c>
      <c r="BR347" t="s">
        <v>105</v>
      </c>
      <c r="BS347" t="s">
        <v>6849</v>
      </c>
      <c r="BT347" t="str">
        <f>HYPERLINK("https%3A%2F%2Fwww.webofscience.com%2Fwos%2Fwoscc%2Ffull-record%2FWOS:000340535200012","View Full Record in Web of Science")</f>
        <v>View Full Record in Web of Science</v>
      </c>
    </row>
    <row r="348" spans="1:72" x14ac:dyDescent="0.15">
      <c r="A348" t="s">
        <v>72</v>
      </c>
      <c r="B348" t="s">
        <v>6850</v>
      </c>
      <c r="C348" t="s">
        <v>74</v>
      </c>
      <c r="D348" t="s">
        <v>74</v>
      </c>
      <c r="E348" t="s">
        <v>74</v>
      </c>
      <c r="F348" t="s">
        <v>6851</v>
      </c>
      <c r="G348" t="s">
        <v>74</v>
      </c>
      <c r="H348" t="s">
        <v>74</v>
      </c>
      <c r="I348" t="s">
        <v>6852</v>
      </c>
      <c r="J348" t="s">
        <v>5726</v>
      </c>
      <c r="K348" t="s">
        <v>74</v>
      </c>
      <c r="L348" t="s">
        <v>74</v>
      </c>
      <c r="M348" t="s">
        <v>78</v>
      </c>
      <c r="N348" t="s">
        <v>79</v>
      </c>
      <c r="O348" t="s">
        <v>74</v>
      </c>
      <c r="P348" t="s">
        <v>74</v>
      </c>
      <c r="Q348" t="s">
        <v>74</v>
      </c>
      <c r="R348" t="s">
        <v>74</v>
      </c>
      <c r="S348" t="s">
        <v>74</v>
      </c>
      <c r="T348" t="s">
        <v>6853</v>
      </c>
      <c r="U348" t="s">
        <v>6854</v>
      </c>
      <c r="V348" t="s">
        <v>6855</v>
      </c>
      <c r="W348" t="s">
        <v>6856</v>
      </c>
      <c r="X348" t="s">
        <v>6857</v>
      </c>
      <c r="Y348" t="s">
        <v>6858</v>
      </c>
      <c r="Z348" t="s">
        <v>6859</v>
      </c>
      <c r="AA348" t="s">
        <v>6860</v>
      </c>
      <c r="AB348" t="s">
        <v>6861</v>
      </c>
      <c r="AC348" t="s">
        <v>6862</v>
      </c>
      <c r="AD348" t="s">
        <v>1726</v>
      </c>
      <c r="AE348" t="s">
        <v>6863</v>
      </c>
      <c r="AF348" t="s">
        <v>74</v>
      </c>
      <c r="AG348">
        <v>114</v>
      </c>
      <c r="AH348">
        <v>65</v>
      </c>
      <c r="AI348">
        <v>76</v>
      </c>
      <c r="AJ348">
        <v>5</v>
      </c>
      <c r="AK348">
        <v>82</v>
      </c>
      <c r="AL348" t="s">
        <v>418</v>
      </c>
      <c r="AM348" t="s">
        <v>251</v>
      </c>
      <c r="AN348" t="s">
        <v>419</v>
      </c>
      <c r="AO348" t="s">
        <v>5738</v>
      </c>
      <c r="AP348" t="s">
        <v>5739</v>
      </c>
      <c r="AQ348" t="s">
        <v>74</v>
      </c>
      <c r="AR348" t="s">
        <v>5740</v>
      </c>
      <c r="AS348" t="s">
        <v>5741</v>
      </c>
      <c r="AT348" t="s">
        <v>4934</v>
      </c>
      <c r="AU348">
        <v>2014</v>
      </c>
      <c r="AV348">
        <v>89</v>
      </c>
      <c r="AW348">
        <v>2</v>
      </c>
      <c r="AX348" t="s">
        <v>74</v>
      </c>
      <c r="AY348" t="s">
        <v>74</v>
      </c>
      <c r="AZ348" t="s">
        <v>258</v>
      </c>
      <c r="BA348" t="s">
        <v>74</v>
      </c>
      <c r="BB348">
        <v>426</v>
      </c>
      <c r="BC348">
        <v>441</v>
      </c>
      <c r="BD348" t="s">
        <v>74</v>
      </c>
      <c r="BE348" t="s">
        <v>6864</v>
      </c>
      <c r="BF348" t="str">
        <f>HYPERLINK("http://dx.doi.org/10.1111/1574-6941.12352","http://dx.doi.org/10.1111/1574-6941.12352")</f>
        <v>http://dx.doi.org/10.1111/1574-6941.12352</v>
      </c>
      <c r="BG348" t="s">
        <v>74</v>
      </c>
      <c r="BH348" t="s">
        <v>74</v>
      </c>
      <c r="BI348">
        <v>16</v>
      </c>
      <c r="BJ348" t="s">
        <v>1012</v>
      </c>
      <c r="BK348" t="s">
        <v>102</v>
      </c>
      <c r="BL348" t="s">
        <v>1012</v>
      </c>
      <c r="BM348" t="s">
        <v>5743</v>
      </c>
      <c r="BN348">
        <v>24819653</v>
      </c>
      <c r="BO348" t="s">
        <v>179</v>
      </c>
      <c r="BP348" t="s">
        <v>74</v>
      </c>
      <c r="BQ348" t="s">
        <v>74</v>
      </c>
      <c r="BR348" t="s">
        <v>105</v>
      </c>
      <c r="BS348" t="s">
        <v>6865</v>
      </c>
      <c r="BT348" t="str">
        <f>HYPERLINK("https%3A%2F%2Fwww.webofscience.com%2Fwos%2Fwoscc%2Ffull-record%2FWOS:000340535200018","View Full Record in Web of Science")</f>
        <v>View Full Record in Web of Science</v>
      </c>
    </row>
    <row r="349" spans="1:72" x14ac:dyDescent="0.15">
      <c r="A349" t="s">
        <v>72</v>
      </c>
      <c r="B349" t="s">
        <v>6866</v>
      </c>
      <c r="C349" t="s">
        <v>74</v>
      </c>
      <c r="D349" t="s">
        <v>74</v>
      </c>
      <c r="E349" t="s">
        <v>74</v>
      </c>
      <c r="F349" t="s">
        <v>6867</v>
      </c>
      <c r="G349" t="s">
        <v>74</v>
      </c>
      <c r="H349" t="s">
        <v>74</v>
      </c>
      <c r="I349" t="s">
        <v>6868</v>
      </c>
      <c r="J349" t="s">
        <v>5726</v>
      </c>
      <c r="K349" t="s">
        <v>74</v>
      </c>
      <c r="L349" t="s">
        <v>74</v>
      </c>
      <c r="M349" t="s">
        <v>78</v>
      </c>
      <c r="N349" t="s">
        <v>79</v>
      </c>
      <c r="O349" t="s">
        <v>74</v>
      </c>
      <c r="P349" t="s">
        <v>74</v>
      </c>
      <c r="Q349" t="s">
        <v>74</v>
      </c>
      <c r="R349" t="s">
        <v>74</v>
      </c>
      <c r="S349" t="s">
        <v>74</v>
      </c>
      <c r="T349" t="s">
        <v>6869</v>
      </c>
      <c r="U349" t="s">
        <v>6870</v>
      </c>
      <c r="V349" t="s">
        <v>6871</v>
      </c>
      <c r="W349" t="s">
        <v>6872</v>
      </c>
      <c r="X349" t="s">
        <v>6873</v>
      </c>
      <c r="Y349" t="s">
        <v>6874</v>
      </c>
      <c r="Z349" t="s">
        <v>6842</v>
      </c>
      <c r="AA349" t="s">
        <v>6875</v>
      </c>
      <c r="AB349" t="s">
        <v>6876</v>
      </c>
      <c r="AC349" t="s">
        <v>6877</v>
      </c>
      <c r="AD349" t="s">
        <v>6878</v>
      </c>
      <c r="AE349" t="s">
        <v>6879</v>
      </c>
      <c r="AF349" t="s">
        <v>74</v>
      </c>
      <c r="AG349">
        <v>73</v>
      </c>
      <c r="AH349">
        <v>20</v>
      </c>
      <c r="AI349">
        <v>22</v>
      </c>
      <c r="AJ349">
        <v>0</v>
      </c>
      <c r="AK349">
        <v>25</v>
      </c>
      <c r="AL349" t="s">
        <v>418</v>
      </c>
      <c r="AM349" t="s">
        <v>251</v>
      </c>
      <c r="AN349" t="s">
        <v>419</v>
      </c>
      <c r="AO349" t="s">
        <v>5738</v>
      </c>
      <c r="AP349" t="s">
        <v>5739</v>
      </c>
      <c r="AQ349" t="s">
        <v>74</v>
      </c>
      <c r="AR349" t="s">
        <v>5740</v>
      </c>
      <c r="AS349" t="s">
        <v>5741</v>
      </c>
      <c r="AT349" t="s">
        <v>4934</v>
      </c>
      <c r="AU349">
        <v>2014</v>
      </c>
      <c r="AV349">
        <v>89</v>
      </c>
      <c r="AW349">
        <v>2</v>
      </c>
      <c r="AX349" t="s">
        <v>74</v>
      </c>
      <c r="AY349" t="s">
        <v>74</v>
      </c>
      <c r="AZ349" t="s">
        <v>258</v>
      </c>
      <c r="BA349" t="s">
        <v>74</v>
      </c>
      <c r="BB349">
        <v>451</v>
      </c>
      <c r="BC349">
        <v>464</v>
      </c>
      <c r="BD349" t="s">
        <v>74</v>
      </c>
      <c r="BE349" t="s">
        <v>6880</v>
      </c>
      <c r="BF349" t="str">
        <f>HYPERLINK("http://dx.doi.org/10.1111/1574-6941.12358","http://dx.doi.org/10.1111/1574-6941.12358")</f>
        <v>http://dx.doi.org/10.1111/1574-6941.12358</v>
      </c>
      <c r="BG349" t="s">
        <v>74</v>
      </c>
      <c r="BH349" t="s">
        <v>74</v>
      </c>
      <c r="BI349">
        <v>14</v>
      </c>
      <c r="BJ349" t="s">
        <v>1012</v>
      </c>
      <c r="BK349" t="s">
        <v>102</v>
      </c>
      <c r="BL349" t="s">
        <v>1012</v>
      </c>
      <c r="BM349" t="s">
        <v>5743</v>
      </c>
      <c r="BN349">
        <v>24862286</v>
      </c>
      <c r="BO349" t="s">
        <v>341</v>
      </c>
      <c r="BP349" t="s">
        <v>74</v>
      </c>
      <c r="BQ349" t="s">
        <v>74</v>
      </c>
      <c r="BR349" t="s">
        <v>105</v>
      </c>
      <c r="BS349" t="s">
        <v>6881</v>
      </c>
      <c r="BT349" t="str">
        <f>HYPERLINK("https%3A%2F%2Fwww.webofscience.com%2Fwos%2Fwoscc%2Ffull-record%2FWOS:000340535200020","View Full Record in Web of Science")</f>
        <v>View Full Record in Web of Science</v>
      </c>
    </row>
    <row r="350" spans="1:72" x14ac:dyDescent="0.15">
      <c r="A350" t="s">
        <v>72</v>
      </c>
      <c r="B350" t="s">
        <v>6882</v>
      </c>
      <c r="C350" t="s">
        <v>74</v>
      </c>
      <c r="D350" t="s">
        <v>74</v>
      </c>
      <c r="E350" t="s">
        <v>74</v>
      </c>
      <c r="F350" t="s">
        <v>6883</v>
      </c>
      <c r="G350" t="s">
        <v>74</v>
      </c>
      <c r="H350" t="s">
        <v>74</v>
      </c>
      <c r="I350" t="s">
        <v>6884</v>
      </c>
      <c r="J350" t="s">
        <v>5726</v>
      </c>
      <c r="K350" t="s">
        <v>74</v>
      </c>
      <c r="L350" t="s">
        <v>74</v>
      </c>
      <c r="M350" t="s">
        <v>78</v>
      </c>
      <c r="N350" t="s">
        <v>79</v>
      </c>
      <c r="O350" t="s">
        <v>74</v>
      </c>
      <c r="P350" t="s">
        <v>74</v>
      </c>
      <c r="Q350" t="s">
        <v>74</v>
      </c>
      <c r="R350" t="s">
        <v>74</v>
      </c>
      <c r="S350" t="s">
        <v>74</v>
      </c>
      <c r="T350" t="s">
        <v>6885</v>
      </c>
      <c r="U350" t="s">
        <v>6886</v>
      </c>
      <c r="V350" t="s">
        <v>6887</v>
      </c>
      <c r="W350" t="s">
        <v>6888</v>
      </c>
      <c r="X350" t="s">
        <v>6889</v>
      </c>
      <c r="Y350" t="s">
        <v>6890</v>
      </c>
      <c r="Z350" t="s">
        <v>6891</v>
      </c>
      <c r="AA350" t="s">
        <v>6892</v>
      </c>
      <c r="AB350" t="s">
        <v>6893</v>
      </c>
      <c r="AC350" t="s">
        <v>6894</v>
      </c>
      <c r="AD350" t="s">
        <v>6895</v>
      </c>
      <c r="AE350" t="s">
        <v>74</v>
      </c>
      <c r="AF350" t="s">
        <v>74</v>
      </c>
      <c r="AG350">
        <v>38</v>
      </c>
      <c r="AH350">
        <v>33</v>
      </c>
      <c r="AI350">
        <v>36</v>
      </c>
      <c r="AJ350">
        <v>4</v>
      </c>
      <c r="AK350">
        <v>93</v>
      </c>
      <c r="AL350" t="s">
        <v>418</v>
      </c>
      <c r="AM350" t="s">
        <v>251</v>
      </c>
      <c r="AN350" t="s">
        <v>419</v>
      </c>
      <c r="AO350" t="s">
        <v>5738</v>
      </c>
      <c r="AP350" t="s">
        <v>5739</v>
      </c>
      <c r="AQ350" t="s">
        <v>74</v>
      </c>
      <c r="AR350" t="s">
        <v>5740</v>
      </c>
      <c r="AS350" t="s">
        <v>5741</v>
      </c>
      <c r="AT350" t="s">
        <v>4934</v>
      </c>
      <c r="AU350">
        <v>2014</v>
      </c>
      <c r="AV350">
        <v>89</v>
      </c>
      <c r="AW350">
        <v>2</v>
      </c>
      <c r="AX350" t="s">
        <v>74</v>
      </c>
      <c r="AY350" t="s">
        <v>74</v>
      </c>
      <c r="AZ350" t="s">
        <v>258</v>
      </c>
      <c r="BA350" t="s">
        <v>74</v>
      </c>
      <c r="BB350">
        <v>490</v>
      </c>
      <c r="BC350">
        <v>494</v>
      </c>
      <c r="BD350" t="s">
        <v>74</v>
      </c>
      <c r="BE350" t="s">
        <v>6896</v>
      </c>
      <c r="BF350" t="str">
        <f>HYPERLINK("http://dx.doi.org/10.1111/1574-6941.12306","http://dx.doi.org/10.1111/1574-6941.12306")</f>
        <v>http://dx.doi.org/10.1111/1574-6941.12306</v>
      </c>
      <c r="BG350" t="s">
        <v>74</v>
      </c>
      <c r="BH350" t="s">
        <v>74</v>
      </c>
      <c r="BI350">
        <v>5</v>
      </c>
      <c r="BJ350" t="s">
        <v>1012</v>
      </c>
      <c r="BK350" t="s">
        <v>102</v>
      </c>
      <c r="BL350" t="s">
        <v>1012</v>
      </c>
      <c r="BM350" t="s">
        <v>5743</v>
      </c>
      <c r="BN350">
        <v>24579975</v>
      </c>
      <c r="BO350" t="s">
        <v>74</v>
      </c>
      <c r="BP350" t="s">
        <v>74</v>
      </c>
      <c r="BQ350" t="s">
        <v>74</v>
      </c>
      <c r="BR350" t="s">
        <v>105</v>
      </c>
      <c r="BS350" t="s">
        <v>6897</v>
      </c>
      <c r="BT350" t="str">
        <f>HYPERLINK("https%3A%2F%2Fwww.webofscience.com%2Fwos%2Fwoscc%2Ffull-record%2FWOS:000340535200023","View Full Record in Web of Science")</f>
        <v>View Full Record in Web of Science</v>
      </c>
    </row>
    <row r="351" spans="1:72" x14ac:dyDescent="0.15">
      <c r="A351" t="s">
        <v>72</v>
      </c>
      <c r="B351" t="s">
        <v>6898</v>
      </c>
      <c r="C351" t="s">
        <v>74</v>
      </c>
      <c r="D351" t="s">
        <v>74</v>
      </c>
      <c r="E351" t="s">
        <v>74</v>
      </c>
      <c r="F351" t="s">
        <v>6899</v>
      </c>
      <c r="G351" t="s">
        <v>74</v>
      </c>
      <c r="H351" t="s">
        <v>74</v>
      </c>
      <c r="I351" t="s">
        <v>6900</v>
      </c>
      <c r="J351" t="s">
        <v>5610</v>
      </c>
      <c r="K351" t="s">
        <v>74</v>
      </c>
      <c r="L351" t="s">
        <v>74</v>
      </c>
      <c r="M351" t="s">
        <v>78</v>
      </c>
      <c r="N351" t="s">
        <v>79</v>
      </c>
      <c r="O351" t="s">
        <v>74</v>
      </c>
      <c r="P351" t="s">
        <v>74</v>
      </c>
      <c r="Q351" t="s">
        <v>74</v>
      </c>
      <c r="R351" t="s">
        <v>74</v>
      </c>
      <c r="S351" t="s">
        <v>74</v>
      </c>
      <c r="T351" t="s">
        <v>6901</v>
      </c>
      <c r="U351" t="s">
        <v>6902</v>
      </c>
      <c r="V351" t="s">
        <v>6903</v>
      </c>
      <c r="W351" t="s">
        <v>6904</v>
      </c>
      <c r="X351" t="s">
        <v>6905</v>
      </c>
      <c r="Y351" t="s">
        <v>6906</v>
      </c>
      <c r="Z351" t="s">
        <v>6907</v>
      </c>
      <c r="AA351" t="s">
        <v>6908</v>
      </c>
      <c r="AB351" t="s">
        <v>6909</v>
      </c>
      <c r="AC351" t="s">
        <v>6910</v>
      </c>
      <c r="AD351" t="s">
        <v>6911</v>
      </c>
      <c r="AE351" t="s">
        <v>6912</v>
      </c>
      <c r="AF351" t="s">
        <v>74</v>
      </c>
      <c r="AG351">
        <v>69</v>
      </c>
      <c r="AH351">
        <v>30</v>
      </c>
      <c r="AI351">
        <v>33</v>
      </c>
      <c r="AJ351">
        <v>0</v>
      </c>
      <c r="AK351">
        <v>56</v>
      </c>
      <c r="AL351" t="s">
        <v>171</v>
      </c>
      <c r="AM351" t="s">
        <v>93</v>
      </c>
      <c r="AN351" t="s">
        <v>94</v>
      </c>
      <c r="AO351" t="s">
        <v>5622</v>
      </c>
      <c r="AP351" t="s">
        <v>5623</v>
      </c>
      <c r="AQ351" t="s">
        <v>74</v>
      </c>
      <c r="AR351" t="s">
        <v>5624</v>
      </c>
      <c r="AS351" t="s">
        <v>5625</v>
      </c>
      <c r="AT351" t="s">
        <v>4934</v>
      </c>
      <c r="AU351">
        <v>2014</v>
      </c>
      <c r="AV351">
        <v>28</v>
      </c>
      <c r="AW351">
        <v>4</v>
      </c>
      <c r="AX351" t="s">
        <v>74</v>
      </c>
      <c r="AY351" t="s">
        <v>74</v>
      </c>
      <c r="AZ351" t="s">
        <v>74</v>
      </c>
      <c r="BA351" t="s">
        <v>74</v>
      </c>
      <c r="BB351">
        <v>895</v>
      </c>
      <c r="BC351">
        <v>903</v>
      </c>
      <c r="BD351" t="s">
        <v>74</v>
      </c>
      <c r="BE351" t="s">
        <v>6913</v>
      </c>
      <c r="BF351" t="str">
        <f>HYPERLINK("http://dx.doi.org/10.1111/1365-2435.12219","http://dx.doi.org/10.1111/1365-2435.12219")</f>
        <v>http://dx.doi.org/10.1111/1365-2435.12219</v>
      </c>
      <c r="BG351" t="s">
        <v>74</v>
      </c>
      <c r="BH351" t="s">
        <v>74</v>
      </c>
      <c r="BI351">
        <v>9</v>
      </c>
      <c r="BJ351" t="s">
        <v>5627</v>
      </c>
      <c r="BK351" t="s">
        <v>102</v>
      </c>
      <c r="BL351" t="s">
        <v>2553</v>
      </c>
      <c r="BM351" t="s">
        <v>5628</v>
      </c>
      <c r="BN351" t="s">
        <v>74</v>
      </c>
      <c r="BO351" t="s">
        <v>179</v>
      </c>
      <c r="BP351" t="s">
        <v>74</v>
      </c>
      <c r="BQ351" t="s">
        <v>74</v>
      </c>
      <c r="BR351" t="s">
        <v>105</v>
      </c>
      <c r="BS351" t="s">
        <v>6914</v>
      </c>
      <c r="BT351" t="str">
        <f>HYPERLINK("https%3A%2F%2Fwww.webofscience.com%2Fwos%2Fwoscc%2Ffull-record%2FWOS:000340673900012","View Full Record in Web of Science")</f>
        <v>View Full Record in Web of Science</v>
      </c>
    </row>
    <row r="352" spans="1:72" x14ac:dyDescent="0.15">
      <c r="A352" t="s">
        <v>72</v>
      </c>
      <c r="B352" t="s">
        <v>6915</v>
      </c>
      <c r="C352" t="s">
        <v>74</v>
      </c>
      <c r="D352" t="s">
        <v>74</v>
      </c>
      <c r="E352" t="s">
        <v>74</v>
      </c>
      <c r="F352" t="s">
        <v>6916</v>
      </c>
      <c r="G352" t="s">
        <v>74</v>
      </c>
      <c r="H352" t="s">
        <v>74</v>
      </c>
      <c r="I352" t="s">
        <v>6917</v>
      </c>
      <c r="J352" t="s">
        <v>6918</v>
      </c>
      <c r="K352" t="s">
        <v>74</v>
      </c>
      <c r="L352" t="s">
        <v>74</v>
      </c>
      <c r="M352" t="s">
        <v>78</v>
      </c>
      <c r="N352" t="s">
        <v>79</v>
      </c>
      <c r="O352" t="s">
        <v>74</v>
      </c>
      <c r="P352" t="s">
        <v>74</v>
      </c>
      <c r="Q352" t="s">
        <v>74</v>
      </c>
      <c r="R352" t="s">
        <v>74</v>
      </c>
      <c r="S352" t="s">
        <v>74</v>
      </c>
      <c r="T352" t="s">
        <v>74</v>
      </c>
      <c r="U352" t="s">
        <v>6919</v>
      </c>
      <c r="V352" t="s">
        <v>6920</v>
      </c>
      <c r="W352" t="s">
        <v>6921</v>
      </c>
      <c r="X352" t="s">
        <v>6922</v>
      </c>
      <c r="Y352" t="s">
        <v>6923</v>
      </c>
      <c r="Z352" t="s">
        <v>6924</v>
      </c>
      <c r="AA352" t="s">
        <v>74</v>
      </c>
      <c r="AB352" t="s">
        <v>6925</v>
      </c>
      <c r="AC352" t="s">
        <v>6926</v>
      </c>
      <c r="AD352" t="s">
        <v>6927</v>
      </c>
      <c r="AE352" t="s">
        <v>6928</v>
      </c>
      <c r="AF352" t="s">
        <v>74</v>
      </c>
      <c r="AG352">
        <v>36</v>
      </c>
      <c r="AH352">
        <v>12</v>
      </c>
      <c r="AI352">
        <v>13</v>
      </c>
      <c r="AJ352">
        <v>0</v>
      </c>
      <c r="AK352">
        <v>50</v>
      </c>
      <c r="AL352" t="s">
        <v>1937</v>
      </c>
      <c r="AM352" t="s">
        <v>1938</v>
      </c>
      <c r="AN352" t="s">
        <v>1939</v>
      </c>
      <c r="AO352" t="s">
        <v>6929</v>
      </c>
      <c r="AP352" t="s">
        <v>6930</v>
      </c>
      <c r="AQ352" t="s">
        <v>74</v>
      </c>
      <c r="AR352" t="s">
        <v>6918</v>
      </c>
      <c r="AS352" t="s">
        <v>686</v>
      </c>
      <c r="AT352" t="s">
        <v>4934</v>
      </c>
      <c r="AU352">
        <v>2014</v>
      </c>
      <c r="AV352">
        <v>42</v>
      </c>
      <c r="AW352">
        <v>8</v>
      </c>
      <c r="AX352" t="s">
        <v>74</v>
      </c>
      <c r="AY352" t="s">
        <v>74</v>
      </c>
      <c r="AZ352" t="s">
        <v>74</v>
      </c>
      <c r="BA352" t="s">
        <v>74</v>
      </c>
      <c r="BB352">
        <v>667</v>
      </c>
      <c r="BC352">
        <v>670</v>
      </c>
      <c r="BD352" t="s">
        <v>74</v>
      </c>
      <c r="BE352" t="s">
        <v>6931</v>
      </c>
      <c r="BF352" t="str">
        <f>HYPERLINK("http://dx.doi.org/10.1130/G35664.1","http://dx.doi.org/10.1130/G35664.1")</f>
        <v>http://dx.doi.org/10.1130/G35664.1</v>
      </c>
      <c r="BG352" t="s">
        <v>74</v>
      </c>
      <c r="BH352" t="s">
        <v>74</v>
      </c>
      <c r="BI352">
        <v>4</v>
      </c>
      <c r="BJ352" t="s">
        <v>686</v>
      </c>
      <c r="BK352" t="s">
        <v>102</v>
      </c>
      <c r="BL352" t="s">
        <v>686</v>
      </c>
      <c r="BM352" t="s">
        <v>6932</v>
      </c>
      <c r="BN352" t="s">
        <v>74</v>
      </c>
      <c r="BO352" t="s">
        <v>74</v>
      </c>
      <c r="BP352" t="s">
        <v>74</v>
      </c>
      <c r="BQ352" t="s">
        <v>74</v>
      </c>
      <c r="BR352" t="s">
        <v>105</v>
      </c>
      <c r="BS352" t="s">
        <v>6933</v>
      </c>
      <c r="BT352" t="str">
        <f>HYPERLINK("https%3A%2F%2Fwww.webofscience.com%2Fwos%2Fwoscc%2Ffull-record%2FWOS:000339961600007","View Full Record in Web of Science")</f>
        <v>View Full Record in Web of Science</v>
      </c>
    </row>
    <row r="353" spans="1:72" x14ac:dyDescent="0.15">
      <c r="A353" t="s">
        <v>72</v>
      </c>
      <c r="B353" t="s">
        <v>6934</v>
      </c>
      <c r="C353" t="s">
        <v>74</v>
      </c>
      <c r="D353" t="s">
        <v>74</v>
      </c>
      <c r="E353" t="s">
        <v>74</v>
      </c>
      <c r="F353" t="s">
        <v>6935</v>
      </c>
      <c r="G353" t="s">
        <v>74</v>
      </c>
      <c r="H353" t="s">
        <v>74</v>
      </c>
      <c r="I353" t="s">
        <v>6936</v>
      </c>
      <c r="J353" t="s">
        <v>6918</v>
      </c>
      <c r="K353" t="s">
        <v>74</v>
      </c>
      <c r="L353" t="s">
        <v>74</v>
      </c>
      <c r="M353" t="s">
        <v>78</v>
      </c>
      <c r="N353" t="s">
        <v>79</v>
      </c>
      <c r="O353" t="s">
        <v>74</v>
      </c>
      <c r="P353" t="s">
        <v>74</v>
      </c>
      <c r="Q353" t="s">
        <v>74</v>
      </c>
      <c r="R353" t="s">
        <v>74</v>
      </c>
      <c r="S353" t="s">
        <v>74</v>
      </c>
      <c r="T353" t="s">
        <v>74</v>
      </c>
      <c r="U353" t="s">
        <v>6937</v>
      </c>
      <c r="V353" t="s">
        <v>6938</v>
      </c>
      <c r="W353" t="s">
        <v>6939</v>
      </c>
      <c r="X353" t="s">
        <v>6940</v>
      </c>
      <c r="Y353" t="s">
        <v>6941</v>
      </c>
      <c r="Z353" t="s">
        <v>6942</v>
      </c>
      <c r="AA353" t="s">
        <v>6943</v>
      </c>
      <c r="AB353" t="s">
        <v>6944</v>
      </c>
      <c r="AC353" t="s">
        <v>6945</v>
      </c>
      <c r="AD353" t="s">
        <v>6945</v>
      </c>
      <c r="AE353" t="s">
        <v>6946</v>
      </c>
      <c r="AF353" t="s">
        <v>74</v>
      </c>
      <c r="AG353">
        <v>21</v>
      </c>
      <c r="AH353">
        <v>12</v>
      </c>
      <c r="AI353">
        <v>12</v>
      </c>
      <c r="AJ353">
        <v>0</v>
      </c>
      <c r="AK353">
        <v>18</v>
      </c>
      <c r="AL353" t="s">
        <v>1937</v>
      </c>
      <c r="AM353" t="s">
        <v>1938</v>
      </c>
      <c r="AN353" t="s">
        <v>1939</v>
      </c>
      <c r="AO353" t="s">
        <v>6929</v>
      </c>
      <c r="AP353" t="s">
        <v>6930</v>
      </c>
      <c r="AQ353" t="s">
        <v>74</v>
      </c>
      <c r="AR353" t="s">
        <v>6918</v>
      </c>
      <c r="AS353" t="s">
        <v>686</v>
      </c>
      <c r="AT353" t="s">
        <v>4934</v>
      </c>
      <c r="AU353">
        <v>2014</v>
      </c>
      <c r="AV353">
        <v>42</v>
      </c>
      <c r="AW353">
        <v>8</v>
      </c>
      <c r="AX353" t="s">
        <v>74</v>
      </c>
      <c r="AY353" t="s">
        <v>74</v>
      </c>
      <c r="AZ353" t="s">
        <v>74</v>
      </c>
      <c r="BA353" t="s">
        <v>74</v>
      </c>
      <c r="BB353">
        <v>683</v>
      </c>
      <c r="BC353">
        <v>686</v>
      </c>
      <c r="BD353" t="s">
        <v>74</v>
      </c>
      <c r="BE353" t="s">
        <v>6947</v>
      </c>
      <c r="BF353" t="str">
        <f>HYPERLINK("http://dx.doi.org/10.1130/G35704.1","http://dx.doi.org/10.1130/G35704.1")</f>
        <v>http://dx.doi.org/10.1130/G35704.1</v>
      </c>
      <c r="BG353" t="s">
        <v>74</v>
      </c>
      <c r="BH353" t="s">
        <v>74</v>
      </c>
      <c r="BI353">
        <v>4</v>
      </c>
      <c r="BJ353" t="s">
        <v>686</v>
      </c>
      <c r="BK353" t="s">
        <v>102</v>
      </c>
      <c r="BL353" t="s">
        <v>686</v>
      </c>
      <c r="BM353" t="s">
        <v>6932</v>
      </c>
      <c r="BN353" t="s">
        <v>74</v>
      </c>
      <c r="BO353" t="s">
        <v>74</v>
      </c>
      <c r="BP353" t="s">
        <v>74</v>
      </c>
      <c r="BQ353" t="s">
        <v>74</v>
      </c>
      <c r="BR353" t="s">
        <v>105</v>
      </c>
      <c r="BS353" t="s">
        <v>6948</v>
      </c>
      <c r="BT353" t="str">
        <f>HYPERLINK("https%3A%2F%2Fwww.webofscience.com%2Fwos%2Fwoscc%2Ffull-record%2FWOS:000339961600011","View Full Record in Web of Science")</f>
        <v>View Full Record in Web of Science</v>
      </c>
    </row>
    <row r="354" spans="1:72" x14ac:dyDescent="0.15">
      <c r="A354" t="s">
        <v>72</v>
      </c>
      <c r="B354" t="s">
        <v>6949</v>
      </c>
      <c r="C354" t="s">
        <v>74</v>
      </c>
      <c r="D354" t="s">
        <v>74</v>
      </c>
      <c r="E354" t="s">
        <v>74</v>
      </c>
      <c r="F354" t="s">
        <v>6950</v>
      </c>
      <c r="G354" t="s">
        <v>74</v>
      </c>
      <c r="H354" t="s">
        <v>74</v>
      </c>
      <c r="I354" t="s">
        <v>6951</v>
      </c>
      <c r="J354" t="s">
        <v>6952</v>
      </c>
      <c r="K354" t="s">
        <v>74</v>
      </c>
      <c r="L354" t="s">
        <v>74</v>
      </c>
      <c r="M354" t="s">
        <v>78</v>
      </c>
      <c r="N354" t="s">
        <v>79</v>
      </c>
      <c r="O354" t="s">
        <v>74</v>
      </c>
      <c r="P354" t="s">
        <v>74</v>
      </c>
      <c r="Q354" t="s">
        <v>74</v>
      </c>
      <c r="R354" t="s">
        <v>74</v>
      </c>
      <c r="S354" t="s">
        <v>74</v>
      </c>
      <c r="T354" t="s">
        <v>74</v>
      </c>
      <c r="U354" t="s">
        <v>6953</v>
      </c>
      <c r="V354" t="s">
        <v>6954</v>
      </c>
      <c r="W354" t="s">
        <v>6955</v>
      </c>
      <c r="X354" t="s">
        <v>6956</v>
      </c>
      <c r="Y354" t="s">
        <v>6957</v>
      </c>
      <c r="Z354" t="s">
        <v>6958</v>
      </c>
      <c r="AA354" t="s">
        <v>6959</v>
      </c>
      <c r="AB354" t="s">
        <v>6960</v>
      </c>
      <c r="AC354" t="s">
        <v>6961</v>
      </c>
      <c r="AD354" t="s">
        <v>678</v>
      </c>
      <c r="AE354" t="s">
        <v>74</v>
      </c>
      <c r="AF354" t="s">
        <v>74</v>
      </c>
      <c r="AG354">
        <v>15</v>
      </c>
      <c r="AH354">
        <v>71</v>
      </c>
      <c r="AI354">
        <v>79</v>
      </c>
      <c r="AJ354">
        <v>1</v>
      </c>
      <c r="AK354">
        <v>20</v>
      </c>
      <c r="AL354" t="s">
        <v>6962</v>
      </c>
      <c r="AM354" t="s">
        <v>6963</v>
      </c>
      <c r="AN354" t="s">
        <v>6964</v>
      </c>
      <c r="AO354" t="s">
        <v>6965</v>
      </c>
      <c r="AP354" t="s">
        <v>6966</v>
      </c>
      <c r="AQ354" t="s">
        <v>74</v>
      </c>
      <c r="AR354" t="s">
        <v>6967</v>
      </c>
      <c r="AS354" t="s">
        <v>6968</v>
      </c>
      <c r="AT354" t="s">
        <v>4934</v>
      </c>
      <c r="AU354">
        <v>2014</v>
      </c>
      <c r="AV354">
        <v>8</v>
      </c>
      <c r="AW354">
        <v>7</v>
      </c>
      <c r="AX354" t="s">
        <v>74</v>
      </c>
      <c r="AY354" t="s">
        <v>74</v>
      </c>
      <c r="AZ354" t="s">
        <v>74</v>
      </c>
      <c r="BA354" t="s">
        <v>74</v>
      </c>
      <c r="BB354">
        <v>776</v>
      </c>
      <c r="BC354">
        <v>786</v>
      </c>
      <c r="BD354" t="s">
        <v>74</v>
      </c>
      <c r="BE354" t="s">
        <v>6969</v>
      </c>
      <c r="BF354" t="str">
        <f>HYPERLINK("http://dx.doi.org/10.1049/iet-rsn.2013.0053","http://dx.doi.org/10.1049/iet-rsn.2013.0053")</f>
        <v>http://dx.doi.org/10.1049/iet-rsn.2013.0053</v>
      </c>
      <c r="BG354" t="s">
        <v>74</v>
      </c>
      <c r="BH354" t="s">
        <v>74</v>
      </c>
      <c r="BI354">
        <v>11</v>
      </c>
      <c r="BJ354" t="s">
        <v>6970</v>
      </c>
      <c r="BK354" t="s">
        <v>102</v>
      </c>
      <c r="BL354" t="s">
        <v>6971</v>
      </c>
      <c r="BM354" t="s">
        <v>6972</v>
      </c>
      <c r="BN354" t="s">
        <v>74</v>
      </c>
      <c r="BO354" t="s">
        <v>6973</v>
      </c>
      <c r="BP354" t="s">
        <v>74</v>
      </c>
      <c r="BQ354" t="s">
        <v>74</v>
      </c>
      <c r="BR354" t="s">
        <v>105</v>
      </c>
      <c r="BS354" t="s">
        <v>6974</v>
      </c>
      <c r="BT354" t="str">
        <f>HYPERLINK("https%3A%2F%2Fwww.webofscience.com%2Fwos%2Fwoscc%2Ffull-record%2FWOS:000340265100009","View Full Record in Web of Science")</f>
        <v>View Full Record in Web of Science</v>
      </c>
    </row>
    <row r="355" spans="1:72" x14ac:dyDescent="0.15">
      <c r="A355" t="s">
        <v>72</v>
      </c>
      <c r="B355" t="s">
        <v>6975</v>
      </c>
      <c r="C355" t="s">
        <v>74</v>
      </c>
      <c r="D355" t="s">
        <v>74</v>
      </c>
      <c r="E355" t="s">
        <v>74</v>
      </c>
      <c r="F355" t="s">
        <v>6976</v>
      </c>
      <c r="G355" t="s">
        <v>74</v>
      </c>
      <c r="H355" t="s">
        <v>74</v>
      </c>
      <c r="I355" t="s">
        <v>6977</v>
      </c>
      <c r="J355" t="s">
        <v>6978</v>
      </c>
      <c r="K355" t="s">
        <v>74</v>
      </c>
      <c r="L355" t="s">
        <v>74</v>
      </c>
      <c r="M355" t="s">
        <v>78</v>
      </c>
      <c r="N355" t="s">
        <v>79</v>
      </c>
      <c r="O355" t="s">
        <v>74</v>
      </c>
      <c r="P355" t="s">
        <v>74</v>
      </c>
      <c r="Q355" t="s">
        <v>74</v>
      </c>
      <c r="R355" t="s">
        <v>74</v>
      </c>
      <c r="S355" t="s">
        <v>74</v>
      </c>
      <c r="T355" t="s">
        <v>74</v>
      </c>
      <c r="U355" t="s">
        <v>6979</v>
      </c>
      <c r="V355" t="s">
        <v>6980</v>
      </c>
      <c r="W355" t="s">
        <v>6981</v>
      </c>
      <c r="X355" t="s">
        <v>6982</v>
      </c>
      <c r="Y355" t="s">
        <v>6983</v>
      </c>
      <c r="Z355" t="s">
        <v>6984</v>
      </c>
      <c r="AA355" t="s">
        <v>6985</v>
      </c>
      <c r="AB355" t="s">
        <v>6986</v>
      </c>
      <c r="AC355" t="s">
        <v>6987</v>
      </c>
      <c r="AD355" t="s">
        <v>6988</v>
      </c>
      <c r="AE355" t="s">
        <v>6989</v>
      </c>
      <c r="AF355" t="s">
        <v>74</v>
      </c>
      <c r="AG355">
        <v>38</v>
      </c>
      <c r="AH355">
        <v>22</v>
      </c>
      <c r="AI355">
        <v>24</v>
      </c>
      <c r="AJ355">
        <v>0</v>
      </c>
      <c r="AK355">
        <v>23</v>
      </c>
      <c r="AL355" t="s">
        <v>6990</v>
      </c>
      <c r="AM355" t="s">
        <v>6991</v>
      </c>
      <c r="AN355" t="s">
        <v>6992</v>
      </c>
      <c r="AO355" t="s">
        <v>6993</v>
      </c>
      <c r="AP355" t="s">
        <v>6994</v>
      </c>
      <c r="AQ355" t="s">
        <v>74</v>
      </c>
      <c r="AR355" t="s">
        <v>6995</v>
      </c>
      <c r="AS355" t="s">
        <v>6996</v>
      </c>
      <c r="AT355" t="s">
        <v>4934</v>
      </c>
      <c r="AU355">
        <v>2014</v>
      </c>
      <c r="AV355">
        <v>64</v>
      </c>
      <c r="AW355" t="s">
        <v>74</v>
      </c>
      <c r="AX355">
        <v>8</v>
      </c>
      <c r="AY355" t="s">
        <v>74</v>
      </c>
      <c r="AZ355" t="s">
        <v>74</v>
      </c>
      <c r="BA355" t="s">
        <v>74</v>
      </c>
      <c r="BB355">
        <v>2884</v>
      </c>
      <c r="BC355">
        <v>2890</v>
      </c>
      <c r="BD355" t="s">
        <v>74</v>
      </c>
      <c r="BE355" t="s">
        <v>6997</v>
      </c>
      <c r="BF355" t="str">
        <f>HYPERLINK("http://dx.doi.org/10.1099/ijs.0.059618-0","http://dx.doi.org/10.1099/ijs.0.059618-0")</f>
        <v>http://dx.doi.org/10.1099/ijs.0.059618-0</v>
      </c>
      <c r="BG355" t="s">
        <v>74</v>
      </c>
      <c r="BH355" t="s">
        <v>74</v>
      </c>
      <c r="BI355">
        <v>7</v>
      </c>
      <c r="BJ355" t="s">
        <v>1012</v>
      </c>
      <c r="BK355" t="s">
        <v>102</v>
      </c>
      <c r="BL355" t="s">
        <v>1012</v>
      </c>
      <c r="BM355" t="s">
        <v>6998</v>
      </c>
      <c r="BN355">
        <v>24893942</v>
      </c>
      <c r="BO355" t="s">
        <v>179</v>
      </c>
      <c r="BP355" t="s">
        <v>74</v>
      </c>
      <c r="BQ355" t="s">
        <v>74</v>
      </c>
      <c r="BR355" t="s">
        <v>105</v>
      </c>
      <c r="BS355" t="s">
        <v>6999</v>
      </c>
      <c r="BT355" t="str">
        <f>HYPERLINK("https%3A%2F%2Fwww.webofscience.com%2Fwos%2Fwoscc%2Ffull-record%2FWOS:000342883100057","View Full Record in Web of Science")</f>
        <v>View Full Record in Web of Science</v>
      </c>
    </row>
    <row r="356" spans="1:72" x14ac:dyDescent="0.15">
      <c r="A356" t="s">
        <v>72</v>
      </c>
      <c r="B356" t="s">
        <v>7000</v>
      </c>
      <c r="C356" t="s">
        <v>74</v>
      </c>
      <c r="D356" t="s">
        <v>74</v>
      </c>
      <c r="E356" t="s">
        <v>74</v>
      </c>
      <c r="F356" t="s">
        <v>7001</v>
      </c>
      <c r="G356" t="s">
        <v>74</v>
      </c>
      <c r="H356" t="s">
        <v>74</v>
      </c>
      <c r="I356" t="s">
        <v>7002</v>
      </c>
      <c r="J356" t="s">
        <v>267</v>
      </c>
      <c r="K356" t="s">
        <v>74</v>
      </c>
      <c r="L356" t="s">
        <v>74</v>
      </c>
      <c r="M356" t="s">
        <v>78</v>
      </c>
      <c r="N356" t="s">
        <v>79</v>
      </c>
      <c r="O356" t="s">
        <v>74</v>
      </c>
      <c r="P356" t="s">
        <v>74</v>
      </c>
      <c r="Q356" t="s">
        <v>74</v>
      </c>
      <c r="R356" t="s">
        <v>74</v>
      </c>
      <c r="S356" t="s">
        <v>74</v>
      </c>
      <c r="T356" t="s">
        <v>74</v>
      </c>
      <c r="U356" t="s">
        <v>7003</v>
      </c>
      <c r="V356" t="s">
        <v>7004</v>
      </c>
      <c r="W356" t="s">
        <v>7005</v>
      </c>
      <c r="X356" t="s">
        <v>7006</v>
      </c>
      <c r="Y356" t="s">
        <v>7007</v>
      </c>
      <c r="Z356" t="s">
        <v>7008</v>
      </c>
      <c r="AA356" t="s">
        <v>7009</v>
      </c>
      <c r="AB356" t="s">
        <v>7010</v>
      </c>
      <c r="AC356" t="s">
        <v>7011</v>
      </c>
      <c r="AD356" t="s">
        <v>7012</v>
      </c>
      <c r="AE356" t="s">
        <v>7013</v>
      </c>
      <c r="AF356" t="s">
        <v>74</v>
      </c>
      <c r="AG356">
        <v>33</v>
      </c>
      <c r="AH356">
        <v>34</v>
      </c>
      <c r="AI356">
        <v>34</v>
      </c>
      <c r="AJ356">
        <v>0</v>
      </c>
      <c r="AK356">
        <v>13</v>
      </c>
      <c r="AL356" t="s">
        <v>280</v>
      </c>
      <c r="AM356" t="s">
        <v>281</v>
      </c>
      <c r="AN356" t="s">
        <v>4726</v>
      </c>
      <c r="AO356" t="s">
        <v>283</v>
      </c>
      <c r="AP356" t="s">
        <v>284</v>
      </c>
      <c r="AQ356" t="s">
        <v>74</v>
      </c>
      <c r="AR356" t="s">
        <v>285</v>
      </c>
      <c r="AS356" t="s">
        <v>286</v>
      </c>
      <c r="AT356" t="s">
        <v>4956</v>
      </c>
      <c r="AU356">
        <v>2014</v>
      </c>
      <c r="AV356">
        <v>27</v>
      </c>
      <c r="AW356">
        <v>15</v>
      </c>
      <c r="AX356" t="s">
        <v>74</v>
      </c>
      <c r="AY356" t="s">
        <v>74</v>
      </c>
      <c r="AZ356" t="s">
        <v>74</v>
      </c>
      <c r="BA356" t="s">
        <v>74</v>
      </c>
      <c r="BB356">
        <v>5786</v>
      </c>
      <c r="BC356">
        <v>5800</v>
      </c>
      <c r="BD356" t="s">
        <v>74</v>
      </c>
      <c r="BE356" t="s">
        <v>7014</v>
      </c>
      <c r="BF356" t="str">
        <f>HYPERLINK("http://dx.doi.org/10.1175/JCLI-D-13-00367.1","http://dx.doi.org/10.1175/JCLI-D-13-00367.1")</f>
        <v>http://dx.doi.org/10.1175/JCLI-D-13-00367.1</v>
      </c>
      <c r="BG356" t="s">
        <v>74</v>
      </c>
      <c r="BH356" t="s">
        <v>74</v>
      </c>
      <c r="BI356">
        <v>15</v>
      </c>
      <c r="BJ356" t="s">
        <v>177</v>
      </c>
      <c r="BK356" t="s">
        <v>102</v>
      </c>
      <c r="BL356" t="s">
        <v>177</v>
      </c>
      <c r="BM356" t="s">
        <v>7015</v>
      </c>
      <c r="BN356" t="s">
        <v>74</v>
      </c>
      <c r="BO356" t="s">
        <v>2037</v>
      </c>
      <c r="BP356" t="s">
        <v>74</v>
      </c>
      <c r="BQ356" t="s">
        <v>74</v>
      </c>
      <c r="BR356" t="s">
        <v>105</v>
      </c>
      <c r="BS356" t="s">
        <v>7016</v>
      </c>
      <c r="BT356" t="str">
        <f>HYPERLINK("https%3A%2F%2Fwww.webofscience.com%2Fwos%2Fwoscc%2Ffull-record%2FWOS:000339702300007","View Full Record in Web of Science")</f>
        <v>View Full Record in Web of Science</v>
      </c>
    </row>
    <row r="357" spans="1:72" x14ac:dyDescent="0.15">
      <c r="A357" t="s">
        <v>72</v>
      </c>
      <c r="B357" t="s">
        <v>7017</v>
      </c>
      <c r="C357" t="s">
        <v>74</v>
      </c>
      <c r="D357" t="s">
        <v>74</v>
      </c>
      <c r="E357" t="s">
        <v>74</v>
      </c>
      <c r="F357" t="s">
        <v>7018</v>
      </c>
      <c r="G357" t="s">
        <v>74</v>
      </c>
      <c r="H357" t="s">
        <v>74</v>
      </c>
      <c r="I357" t="s">
        <v>7019</v>
      </c>
      <c r="J357" t="s">
        <v>914</v>
      </c>
      <c r="K357" t="s">
        <v>74</v>
      </c>
      <c r="L357" t="s">
        <v>74</v>
      </c>
      <c r="M357" t="s">
        <v>78</v>
      </c>
      <c r="N357" t="s">
        <v>79</v>
      </c>
      <c r="O357" t="s">
        <v>74</v>
      </c>
      <c r="P357" t="s">
        <v>74</v>
      </c>
      <c r="Q357" t="s">
        <v>74</v>
      </c>
      <c r="R357" t="s">
        <v>74</v>
      </c>
      <c r="S357" t="s">
        <v>74</v>
      </c>
      <c r="T357" t="s">
        <v>7020</v>
      </c>
      <c r="U357" t="s">
        <v>7021</v>
      </c>
      <c r="V357" t="s">
        <v>7022</v>
      </c>
      <c r="W357" t="s">
        <v>7023</v>
      </c>
      <c r="X357" t="s">
        <v>7024</v>
      </c>
      <c r="Y357" t="s">
        <v>7025</v>
      </c>
      <c r="Z357" t="s">
        <v>7026</v>
      </c>
      <c r="AA357" t="s">
        <v>7027</v>
      </c>
      <c r="AB357" t="s">
        <v>7028</v>
      </c>
      <c r="AC357" t="s">
        <v>7029</v>
      </c>
      <c r="AD357" t="s">
        <v>7030</v>
      </c>
      <c r="AE357" t="s">
        <v>7031</v>
      </c>
      <c r="AF357" t="s">
        <v>74</v>
      </c>
      <c r="AG357">
        <v>49</v>
      </c>
      <c r="AH357">
        <v>24</v>
      </c>
      <c r="AI357">
        <v>26</v>
      </c>
      <c r="AJ357">
        <v>2</v>
      </c>
      <c r="AK357">
        <v>77</v>
      </c>
      <c r="AL357" t="s">
        <v>753</v>
      </c>
      <c r="AM357" t="s">
        <v>124</v>
      </c>
      <c r="AN357" t="s">
        <v>754</v>
      </c>
      <c r="AO357" t="s">
        <v>927</v>
      </c>
      <c r="AP357" t="s">
        <v>928</v>
      </c>
      <c r="AQ357" t="s">
        <v>74</v>
      </c>
      <c r="AR357" t="s">
        <v>929</v>
      </c>
      <c r="AS357" t="s">
        <v>930</v>
      </c>
      <c r="AT357" t="s">
        <v>4934</v>
      </c>
      <c r="AU357">
        <v>2014</v>
      </c>
      <c r="AV357">
        <v>457</v>
      </c>
      <c r="AW357" t="s">
        <v>74</v>
      </c>
      <c r="AX357" t="s">
        <v>74</v>
      </c>
      <c r="AY357" t="s">
        <v>74</v>
      </c>
      <c r="AZ357" t="s">
        <v>74</v>
      </c>
      <c r="BA357" t="s">
        <v>74</v>
      </c>
      <c r="BB357">
        <v>90</v>
      </c>
      <c r="BC357">
        <v>96</v>
      </c>
      <c r="BD357" t="s">
        <v>74</v>
      </c>
      <c r="BE357" t="s">
        <v>7032</v>
      </c>
      <c r="BF357" t="str">
        <f>HYPERLINK("http://dx.doi.org/10.1016/j.jembe.2014.04.005","http://dx.doi.org/10.1016/j.jembe.2014.04.005")</f>
        <v>http://dx.doi.org/10.1016/j.jembe.2014.04.005</v>
      </c>
      <c r="BG357" t="s">
        <v>74</v>
      </c>
      <c r="BH357" t="s">
        <v>74</v>
      </c>
      <c r="BI357">
        <v>7</v>
      </c>
      <c r="BJ357" t="s">
        <v>932</v>
      </c>
      <c r="BK357" t="s">
        <v>102</v>
      </c>
      <c r="BL357" t="s">
        <v>933</v>
      </c>
      <c r="BM357" t="s">
        <v>7033</v>
      </c>
      <c r="BN357" t="s">
        <v>74</v>
      </c>
      <c r="BO357" t="s">
        <v>74</v>
      </c>
      <c r="BP357" t="s">
        <v>74</v>
      </c>
      <c r="BQ357" t="s">
        <v>74</v>
      </c>
      <c r="BR357" t="s">
        <v>105</v>
      </c>
      <c r="BS357" t="s">
        <v>7034</v>
      </c>
      <c r="BT357" t="str">
        <f>HYPERLINK("https%3A%2F%2Fwww.webofscience.com%2Fwos%2Fwoscc%2Ffull-record%2FWOS:000337868700011","View Full Record in Web of Science")</f>
        <v>View Full Record in Web of Science</v>
      </c>
    </row>
    <row r="358" spans="1:72" x14ac:dyDescent="0.15">
      <c r="A358" t="s">
        <v>72</v>
      </c>
      <c r="B358" t="s">
        <v>7035</v>
      </c>
      <c r="C358" t="s">
        <v>74</v>
      </c>
      <c r="D358" t="s">
        <v>74</v>
      </c>
      <c r="E358" t="s">
        <v>74</v>
      </c>
      <c r="F358" t="s">
        <v>7036</v>
      </c>
      <c r="G358" t="s">
        <v>74</v>
      </c>
      <c r="H358" t="s">
        <v>74</v>
      </c>
      <c r="I358" t="s">
        <v>7037</v>
      </c>
      <c r="J358" t="s">
        <v>1951</v>
      </c>
      <c r="K358" t="s">
        <v>74</v>
      </c>
      <c r="L358" t="s">
        <v>74</v>
      </c>
      <c r="M358" t="s">
        <v>78</v>
      </c>
      <c r="N358" t="s">
        <v>79</v>
      </c>
      <c r="O358" t="s">
        <v>74</v>
      </c>
      <c r="P358" t="s">
        <v>74</v>
      </c>
      <c r="Q358" t="s">
        <v>74</v>
      </c>
      <c r="R358" t="s">
        <v>74</v>
      </c>
      <c r="S358" t="s">
        <v>74</v>
      </c>
      <c r="T358" t="s">
        <v>74</v>
      </c>
      <c r="U358" t="s">
        <v>7038</v>
      </c>
      <c r="V358" t="s">
        <v>7039</v>
      </c>
      <c r="W358" t="s">
        <v>7040</v>
      </c>
      <c r="X358" t="s">
        <v>1022</v>
      </c>
      <c r="Y358" t="s">
        <v>7041</v>
      </c>
      <c r="Z358" t="s">
        <v>7042</v>
      </c>
      <c r="AA358" t="s">
        <v>74</v>
      </c>
      <c r="AB358" t="s">
        <v>74</v>
      </c>
      <c r="AC358" t="s">
        <v>1067</v>
      </c>
      <c r="AD358" t="s">
        <v>1068</v>
      </c>
      <c r="AE358" t="s">
        <v>7043</v>
      </c>
      <c r="AF358" t="s">
        <v>74</v>
      </c>
      <c r="AG358">
        <v>41</v>
      </c>
      <c r="AH358">
        <v>42</v>
      </c>
      <c r="AI358">
        <v>46</v>
      </c>
      <c r="AJ358">
        <v>0</v>
      </c>
      <c r="AK358">
        <v>22</v>
      </c>
      <c r="AL358" t="s">
        <v>331</v>
      </c>
      <c r="AM358" t="s">
        <v>332</v>
      </c>
      <c r="AN358" t="s">
        <v>333</v>
      </c>
      <c r="AO358" t="s">
        <v>1963</v>
      </c>
      <c r="AP358" t="s">
        <v>1964</v>
      </c>
      <c r="AQ358" t="s">
        <v>74</v>
      </c>
      <c r="AR358" t="s">
        <v>1965</v>
      </c>
      <c r="AS358" t="s">
        <v>1966</v>
      </c>
      <c r="AT358" t="s">
        <v>4934</v>
      </c>
      <c r="AU358">
        <v>2014</v>
      </c>
      <c r="AV358">
        <v>119</v>
      </c>
      <c r="AW358">
        <v>8</v>
      </c>
      <c r="AX358" t="s">
        <v>74</v>
      </c>
      <c r="AY358" t="s">
        <v>74</v>
      </c>
      <c r="AZ358" t="s">
        <v>74</v>
      </c>
      <c r="BA358" t="s">
        <v>74</v>
      </c>
      <c r="BB358">
        <v>5323</v>
      </c>
      <c r="BC358">
        <v>5336</v>
      </c>
      <c r="BD358" t="s">
        <v>74</v>
      </c>
      <c r="BE358" t="s">
        <v>7044</v>
      </c>
      <c r="BF358" t="str">
        <f>HYPERLINK("http://dx.doi.org/10.1002/2013JC009669","http://dx.doi.org/10.1002/2013JC009669")</f>
        <v>http://dx.doi.org/10.1002/2013JC009669</v>
      </c>
      <c r="BG358" t="s">
        <v>74</v>
      </c>
      <c r="BH358" t="s">
        <v>74</v>
      </c>
      <c r="BI358">
        <v>14</v>
      </c>
      <c r="BJ358" t="s">
        <v>152</v>
      </c>
      <c r="BK358" t="s">
        <v>102</v>
      </c>
      <c r="BL358" t="s">
        <v>152</v>
      </c>
      <c r="BM358" t="s">
        <v>5062</v>
      </c>
      <c r="BN358" t="s">
        <v>74</v>
      </c>
      <c r="BO358" t="s">
        <v>467</v>
      </c>
      <c r="BP358" t="s">
        <v>74</v>
      </c>
      <c r="BQ358" t="s">
        <v>74</v>
      </c>
      <c r="BR358" t="s">
        <v>105</v>
      </c>
      <c r="BS358" t="s">
        <v>7045</v>
      </c>
      <c r="BT358" t="str">
        <f>HYPERLINK("https%3A%2F%2Fwww.webofscience.com%2Fwos%2Fwoscc%2Ffull-record%2FWOS:000342519500035","View Full Record in Web of Science")</f>
        <v>View Full Record in Web of Science</v>
      </c>
    </row>
    <row r="359" spans="1:72" x14ac:dyDescent="0.15">
      <c r="A359" t="s">
        <v>72</v>
      </c>
      <c r="B359" t="s">
        <v>7046</v>
      </c>
      <c r="C359" t="s">
        <v>74</v>
      </c>
      <c r="D359" t="s">
        <v>74</v>
      </c>
      <c r="E359" t="s">
        <v>74</v>
      </c>
      <c r="F359" t="s">
        <v>7047</v>
      </c>
      <c r="G359" t="s">
        <v>74</v>
      </c>
      <c r="H359" t="s">
        <v>74</v>
      </c>
      <c r="I359" t="s">
        <v>7048</v>
      </c>
      <c r="J359" t="s">
        <v>318</v>
      </c>
      <c r="K359" t="s">
        <v>74</v>
      </c>
      <c r="L359" t="s">
        <v>74</v>
      </c>
      <c r="M359" t="s">
        <v>78</v>
      </c>
      <c r="N359" t="s">
        <v>79</v>
      </c>
      <c r="O359" t="s">
        <v>74</v>
      </c>
      <c r="P359" t="s">
        <v>74</v>
      </c>
      <c r="Q359" t="s">
        <v>74</v>
      </c>
      <c r="R359" t="s">
        <v>74</v>
      </c>
      <c r="S359" t="s">
        <v>74</v>
      </c>
      <c r="T359" t="s">
        <v>74</v>
      </c>
      <c r="U359" t="s">
        <v>7049</v>
      </c>
      <c r="V359" t="s">
        <v>7050</v>
      </c>
      <c r="W359" t="s">
        <v>7051</v>
      </c>
      <c r="X359" t="s">
        <v>1022</v>
      </c>
      <c r="Y359" t="s">
        <v>7052</v>
      </c>
      <c r="Z359" t="s">
        <v>7053</v>
      </c>
      <c r="AA359" t="s">
        <v>74</v>
      </c>
      <c r="AB359" t="s">
        <v>7054</v>
      </c>
      <c r="AC359" t="s">
        <v>7055</v>
      </c>
      <c r="AD359" t="s">
        <v>1068</v>
      </c>
      <c r="AE359" t="s">
        <v>7056</v>
      </c>
      <c r="AF359" t="s">
        <v>74</v>
      </c>
      <c r="AG359">
        <v>32</v>
      </c>
      <c r="AH359">
        <v>3</v>
      </c>
      <c r="AI359">
        <v>4</v>
      </c>
      <c r="AJ359">
        <v>0</v>
      </c>
      <c r="AK359">
        <v>3</v>
      </c>
      <c r="AL359" t="s">
        <v>331</v>
      </c>
      <c r="AM359" t="s">
        <v>332</v>
      </c>
      <c r="AN359" t="s">
        <v>333</v>
      </c>
      <c r="AO359" t="s">
        <v>334</v>
      </c>
      <c r="AP359" t="s">
        <v>335</v>
      </c>
      <c r="AQ359" t="s">
        <v>74</v>
      </c>
      <c r="AR359" t="s">
        <v>336</v>
      </c>
      <c r="AS359" t="s">
        <v>337</v>
      </c>
      <c r="AT359" t="s">
        <v>4934</v>
      </c>
      <c r="AU359">
        <v>2014</v>
      </c>
      <c r="AV359">
        <v>119</v>
      </c>
      <c r="AW359">
        <v>8</v>
      </c>
      <c r="AX359" t="s">
        <v>74</v>
      </c>
      <c r="AY359" t="s">
        <v>74</v>
      </c>
      <c r="AZ359" t="s">
        <v>74</v>
      </c>
      <c r="BA359" t="s">
        <v>74</v>
      </c>
      <c r="BB359" t="s">
        <v>74</v>
      </c>
      <c r="BC359" t="s">
        <v>74</v>
      </c>
      <c r="BD359" t="s">
        <v>74</v>
      </c>
      <c r="BE359" t="s">
        <v>7057</v>
      </c>
      <c r="BF359" t="str">
        <f>HYPERLINK("http://dx.doi.org/10.1002/2014JA020016","http://dx.doi.org/10.1002/2014JA020016")</f>
        <v>http://dx.doi.org/10.1002/2014JA020016</v>
      </c>
      <c r="BG359" t="s">
        <v>74</v>
      </c>
      <c r="BH359" t="s">
        <v>74</v>
      </c>
      <c r="BI359">
        <v>12</v>
      </c>
      <c r="BJ359" t="s">
        <v>339</v>
      </c>
      <c r="BK359" t="s">
        <v>102</v>
      </c>
      <c r="BL359" t="s">
        <v>339</v>
      </c>
      <c r="BM359" t="s">
        <v>7058</v>
      </c>
      <c r="BN359" t="s">
        <v>74</v>
      </c>
      <c r="BO359" t="s">
        <v>467</v>
      </c>
      <c r="BP359" t="s">
        <v>74</v>
      </c>
      <c r="BQ359" t="s">
        <v>74</v>
      </c>
      <c r="BR359" t="s">
        <v>105</v>
      </c>
      <c r="BS359" t="s">
        <v>7059</v>
      </c>
      <c r="BT359" t="str">
        <f>HYPERLINK("https%3A%2F%2Fwww.webofscience.com%2Fwos%2Fwoscc%2Ffull-record%2FWOS:000344809600027","View Full Record in Web of Science")</f>
        <v>View Full Record in Web of Science</v>
      </c>
    </row>
    <row r="360" spans="1:72" x14ac:dyDescent="0.15">
      <c r="A360" t="s">
        <v>72</v>
      </c>
      <c r="B360" t="s">
        <v>7060</v>
      </c>
      <c r="C360" t="s">
        <v>74</v>
      </c>
      <c r="D360" t="s">
        <v>74</v>
      </c>
      <c r="E360" t="s">
        <v>74</v>
      </c>
      <c r="F360" t="s">
        <v>7061</v>
      </c>
      <c r="G360" t="s">
        <v>74</v>
      </c>
      <c r="H360" t="s">
        <v>74</v>
      </c>
      <c r="I360" t="s">
        <v>7062</v>
      </c>
      <c r="J360" t="s">
        <v>318</v>
      </c>
      <c r="K360" t="s">
        <v>74</v>
      </c>
      <c r="L360" t="s">
        <v>74</v>
      </c>
      <c r="M360" t="s">
        <v>78</v>
      </c>
      <c r="N360" t="s">
        <v>79</v>
      </c>
      <c r="O360" t="s">
        <v>74</v>
      </c>
      <c r="P360" t="s">
        <v>74</v>
      </c>
      <c r="Q360" t="s">
        <v>74</v>
      </c>
      <c r="R360" t="s">
        <v>74</v>
      </c>
      <c r="S360" t="s">
        <v>74</v>
      </c>
      <c r="T360" t="s">
        <v>74</v>
      </c>
      <c r="U360" t="s">
        <v>7063</v>
      </c>
      <c r="V360" t="s">
        <v>7064</v>
      </c>
      <c r="W360" t="s">
        <v>7065</v>
      </c>
      <c r="X360" t="s">
        <v>7066</v>
      </c>
      <c r="Y360" t="s">
        <v>7067</v>
      </c>
      <c r="Z360" t="s">
        <v>7068</v>
      </c>
      <c r="AA360" t="s">
        <v>7069</v>
      </c>
      <c r="AB360" t="s">
        <v>7070</v>
      </c>
      <c r="AC360" t="s">
        <v>7071</v>
      </c>
      <c r="AD360" t="s">
        <v>678</v>
      </c>
      <c r="AE360" t="s">
        <v>74</v>
      </c>
      <c r="AF360" t="s">
        <v>74</v>
      </c>
      <c r="AG360">
        <v>21</v>
      </c>
      <c r="AH360">
        <v>22</v>
      </c>
      <c r="AI360">
        <v>25</v>
      </c>
      <c r="AJ360">
        <v>0</v>
      </c>
      <c r="AK360">
        <v>5</v>
      </c>
      <c r="AL360" t="s">
        <v>331</v>
      </c>
      <c r="AM360" t="s">
        <v>332</v>
      </c>
      <c r="AN360" t="s">
        <v>333</v>
      </c>
      <c r="AO360" t="s">
        <v>334</v>
      </c>
      <c r="AP360" t="s">
        <v>335</v>
      </c>
      <c r="AQ360" t="s">
        <v>74</v>
      </c>
      <c r="AR360" t="s">
        <v>336</v>
      </c>
      <c r="AS360" t="s">
        <v>337</v>
      </c>
      <c r="AT360" t="s">
        <v>4934</v>
      </c>
      <c r="AU360">
        <v>2014</v>
      </c>
      <c r="AV360">
        <v>119</v>
      </c>
      <c r="AW360">
        <v>8</v>
      </c>
      <c r="AX360" t="s">
        <v>74</v>
      </c>
      <c r="AY360" t="s">
        <v>74</v>
      </c>
      <c r="AZ360" t="s">
        <v>74</v>
      </c>
      <c r="BA360" t="s">
        <v>74</v>
      </c>
      <c r="BB360" t="s">
        <v>74</v>
      </c>
      <c r="BC360" t="s">
        <v>74</v>
      </c>
      <c r="BD360" t="s">
        <v>74</v>
      </c>
      <c r="BE360" t="s">
        <v>7072</v>
      </c>
      <c r="BF360" t="str">
        <f>HYPERLINK("http://dx.doi.org/10.1002/2014JA020299","http://dx.doi.org/10.1002/2014JA020299")</f>
        <v>http://dx.doi.org/10.1002/2014JA020299</v>
      </c>
      <c r="BG360" t="s">
        <v>74</v>
      </c>
      <c r="BH360" t="s">
        <v>74</v>
      </c>
      <c r="BI360">
        <v>11</v>
      </c>
      <c r="BJ360" t="s">
        <v>339</v>
      </c>
      <c r="BK360" t="s">
        <v>102</v>
      </c>
      <c r="BL360" t="s">
        <v>339</v>
      </c>
      <c r="BM360" t="s">
        <v>7058</v>
      </c>
      <c r="BN360" t="s">
        <v>74</v>
      </c>
      <c r="BO360" t="s">
        <v>467</v>
      </c>
      <c r="BP360" t="s">
        <v>74</v>
      </c>
      <c r="BQ360" t="s">
        <v>74</v>
      </c>
      <c r="BR360" t="s">
        <v>105</v>
      </c>
      <c r="BS360" t="s">
        <v>7073</v>
      </c>
      <c r="BT360" t="str">
        <f>HYPERLINK("https%3A%2F%2Fwww.webofscience.com%2Fwos%2Fwoscc%2Ffull-record%2FWOS:000344809600061","View Full Record in Web of Science")</f>
        <v>View Full Record in Web of Science</v>
      </c>
    </row>
    <row r="361" spans="1:72" x14ac:dyDescent="0.15">
      <c r="A361" t="s">
        <v>72</v>
      </c>
      <c r="B361" t="s">
        <v>7074</v>
      </c>
      <c r="C361" t="s">
        <v>74</v>
      </c>
      <c r="D361" t="s">
        <v>74</v>
      </c>
      <c r="E361" t="s">
        <v>74</v>
      </c>
      <c r="F361" t="s">
        <v>7075</v>
      </c>
      <c r="G361" t="s">
        <v>74</v>
      </c>
      <c r="H361" t="s">
        <v>74</v>
      </c>
      <c r="I361" t="s">
        <v>7076</v>
      </c>
      <c r="J361" t="s">
        <v>318</v>
      </c>
      <c r="K361" t="s">
        <v>74</v>
      </c>
      <c r="L361" t="s">
        <v>74</v>
      </c>
      <c r="M361" t="s">
        <v>78</v>
      </c>
      <c r="N361" t="s">
        <v>79</v>
      </c>
      <c r="O361" t="s">
        <v>74</v>
      </c>
      <c r="P361" t="s">
        <v>74</v>
      </c>
      <c r="Q361" t="s">
        <v>74</v>
      </c>
      <c r="R361" t="s">
        <v>74</v>
      </c>
      <c r="S361" t="s">
        <v>74</v>
      </c>
      <c r="T361" t="s">
        <v>74</v>
      </c>
      <c r="U361" t="s">
        <v>7077</v>
      </c>
      <c r="V361" t="s">
        <v>7078</v>
      </c>
      <c r="W361" t="s">
        <v>7079</v>
      </c>
      <c r="X361" t="s">
        <v>7080</v>
      </c>
      <c r="Y361" t="s">
        <v>7081</v>
      </c>
      <c r="Z361" t="s">
        <v>7082</v>
      </c>
      <c r="AA361" t="s">
        <v>7083</v>
      </c>
      <c r="AB361" t="s">
        <v>74</v>
      </c>
      <c r="AC361" t="s">
        <v>74</v>
      </c>
      <c r="AD361" t="s">
        <v>74</v>
      </c>
      <c r="AE361" t="s">
        <v>74</v>
      </c>
      <c r="AF361" t="s">
        <v>74</v>
      </c>
      <c r="AG361">
        <v>31</v>
      </c>
      <c r="AH361">
        <v>30</v>
      </c>
      <c r="AI361">
        <v>31</v>
      </c>
      <c r="AJ361">
        <v>0</v>
      </c>
      <c r="AK361">
        <v>8</v>
      </c>
      <c r="AL361" t="s">
        <v>331</v>
      </c>
      <c r="AM361" t="s">
        <v>332</v>
      </c>
      <c r="AN361" t="s">
        <v>333</v>
      </c>
      <c r="AO361" t="s">
        <v>334</v>
      </c>
      <c r="AP361" t="s">
        <v>335</v>
      </c>
      <c r="AQ361" t="s">
        <v>74</v>
      </c>
      <c r="AR361" t="s">
        <v>336</v>
      </c>
      <c r="AS361" t="s">
        <v>337</v>
      </c>
      <c r="AT361" t="s">
        <v>4934</v>
      </c>
      <c r="AU361">
        <v>2014</v>
      </c>
      <c r="AV361">
        <v>119</v>
      </c>
      <c r="AW361">
        <v>8</v>
      </c>
      <c r="AX361" t="s">
        <v>74</v>
      </c>
      <c r="AY361" t="s">
        <v>74</v>
      </c>
      <c r="AZ361" t="s">
        <v>74</v>
      </c>
      <c r="BA361" t="s">
        <v>74</v>
      </c>
      <c r="BB361" t="s">
        <v>74</v>
      </c>
      <c r="BC361" t="s">
        <v>74</v>
      </c>
      <c r="BD361" t="s">
        <v>74</v>
      </c>
      <c r="BE361" t="s">
        <v>7084</v>
      </c>
      <c r="BF361" t="str">
        <f>HYPERLINK("http://dx.doi.org/10.1002/2014JA019940","http://dx.doi.org/10.1002/2014JA019940")</f>
        <v>http://dx.doi.org/10.1002/2014JA019940</v>
      </c>
      <c r="BG361" t="s">
        <v>74</v>
      </c>
      <c r="BH361" t="s">
        <v>74</v>
      </c>
      <c r="BI361">
        <v>20</v>
      </c>
      <c r="BJ361" t="s">
        <v>339</v>
      </c>
      <c r="BK361" t="s">
        <v>102</v>
      </c>
      <c r="BL361" t="s">
        <v>339</v>
      </c>
      <c r="BM361" t="s">
        <v>7058</v>
      </c>
      <c r="BN361" t="s">
        <v>74</v>
      </c>
      <c r="BO361" t="s">
        <v>179</v>
      </c>
      <c r="BP361" t="s">
        <v>74</v>
      </c>
      <c r="BQ361" t="s">
        <v>74</v>
      </c>
      <c r="BR361" t="s">
        <v>105</v>
      </c>
      <c r="BS361" t="s">
        <v>7085</v>
      </c>
      <c r="BT361" t="str">
        <f>HYPERLINK("https%3A%2F%2Fwww.webofscience.com%2Fwos%2Fwoscc%2Ffull-record%2FWOS:000344809600034","View Full Record in Web of Science")</f>
        <v>View Full Record in Web of Science</v>
      </c>
    </row>
    <row r="362" spans="1:72" x14ac:dyDescent="0.15">
      <c r="A362" t="s">
        <v>72</v>
      </c>
      <c r="B362" t="s">
        <v>7086</v>
      </c>
      <c r="C362" t="s">
        <v>74</v>
      </c>
      <c r="D362" t="s">
        <v>74</v>
      </c>
      <c r="E362" t="s">
        <v>74</v>
      </c>
      <c r="F362" t="s">
        <v>7087</v>
      </c>
      <c r="G362" t="s">
        <v>74</v>
      </c>
      <c r="H362" t="s">
        <v>74</v>
      </c>
      <c r="I362" t="s">
        <v>7088</v>
      </c>
      <c r="J362" t="s">
        <v>318</v>
      </c>
      <c r="K362" t="s">
        <v>74</v>
      </c>
      <c r="L362" t="s">
        <v>74</v>
      </c>
      <c r="M362" t="s">
        <v>78</v>
      </c>
      <c r="N362" t="s">
        <v>79</v>
      </c>
      <c r="O362" t="s">
        <v>74</v>
      </c>
      <c r="P362" t="s">
        <v>74</v>
      </c>
      <c r="Q362" t="s">
        <v>74</v>
      </c>
      <c r="R362" t="s">
        <v>74</v>
      </c>
      <c r="S362" t="s">
        <v>74</v>
      </c>
      <c r="T362" t="s">
        <v>74</v>
      </c>
      <c r="U362" t="s">
        <v>7089</v>
      </c>
      <c r="V362" t="s">
        <v>7090</v>
      </c>
      <c r="W362" t="s">
        <v>7091</v>
      </c>
      <c r="X362" t="s">
        <v>7092</v>
      </c>
      <c r="Y362" t="s">
        <v>7093</v>
      </c>
      <c r="Z362" t="s">
        <v>7094</v>
      </c>
      <c r="AA362" t="s">
        <v>7069</v>
      </c>
      <c r="AB362" t="s">
        <v>7070</v>
      </c>
      <c r="AC362" t="s">
        <v>7095</v>
      </c>
      <c r="AD362" t="s">
        <v>7096</v>
      </c>
      <c r="AE362" t="s">
        <v>7097</v>
      </c>
      <c r="AF362" t="s">
        <v>74</v>
      </c>
      <c r="AG362">
        <v>34</v>
      </c>
      <c r="AH362">
        <v>17</v>
      </c>
      <c r="AI362">
        <v>17</v>
      </c>
      <c r="AJ362">
        <v>0</v>
      </c>
      <c r="AK362">
        <v>3</v>
      </c>
      <c r="AL362" t="s">
        <v>331</v>
      </c>
      <c r="AM362" t="s">
        <v>332</v>
      </c>
      <c r="AN362" t="s">
        <v>333</v>
      </c>
      <c r="AO362" t="s">
        <v>334</v>
      </c>
      <c r="AP362" t="s">
        <v>335</v>
      </c>
      <c r="AQ362" t="s">
        <v>74</v>
      </c>
      <c r="AR362" t="s">
        <v>336</v>
      </c>
      <c r="AS362" t="s">
        <v>337</v>
      </c>
      <c r="AT362" t="s">
        <v>4934</v>
      </c>
      <c r="AU362">
        <v>2014</v>
      </c>
      <c r="AV362">
        <v>119</v>
      </c>
      <c r="AW362">
        <v>8</v>
      </c>
      <c r="AX362" t="s">
        <v>74</v>
      </c>
      <c r="AY362" t="s">
        <v>74</v>
      </c>
      <c r="AZ362" t="s">
        <v>74</v>
      </c>
      <c r="BA362" t="s">
        <v>74</v>
      </c>
      <c r="BB362" t="s">
        <v>74</v>
      </c>
      <c r="BC362" t="s">
        <v>74</v>
      </c>
      <c r="BD362" t="s">
        <v>74</v>
      </c>
      <c r="BE362" t="s">
        <v>7098</v>
      </c>
      <c r="BF362" t="str">
        <f>HYPERLINK("http://dx.doi.org/10.1002/2014JA020021","http://dx.doi.org/10.1002/2014JA020021")</f>
        <v>http://dx.doi.org/10.1002/2014JA020021</v>
      </c>
      <c r="BG362" t="s">
        <v>74</v>
      </c>
      <c r="BH362" t="s">
        <v>74</v>
      </c>
      <c r="BI362">
        <v>19</v>
      </c>
      <c r="BJ362" t="s">
        <v>339</v>
      </c>
      <c r="BK362" t="s">
        <v>102</v>
      </c>
      <c r="BL362" t="s">
        <v>339</v>
      </c>
      <c r="BM362" t="s">
        <v>7058</v>
      </c>
      <c r="BN362" t="s">
        <v>74</v>
      </c>
      <c r="BO362" t="s">
        <v>359</v>
      </c>
      <c r="BP362" t="s">
        <v>74</v>
      </c>
      <c r="BQ362" t="s">
        <v>74</v>
      </c>
      <c r="BR362" t="s">
        <v>105</v>
      </c>
      <c r="BS362" t="s">
        <v>7099</v>
      </c>
      <c r="BT362" t="str">
        <f>HYPERLINK("https%3A%2F%2Fwww.webofscience.com%2Fwos%2Fwoscc%2Ffull-record%2FWOS:000344809600026","View Full Record in Web of Science")</f>
        <v>View Full Record in Web of Science</v>
      </c>
    </row>
    <row r="363" spans="1:72" x14ac:dyDescent="0.15">
      <c r="A363" t="s">
        <v>72</v>
      </c>
      <c r="B363" t="s">
        <v>7100</v>
      </c>
      <c r="C363" t="s">
        <v>74</v>
      </c>
      <c r="D363" t="s">
        <v>74</v>
      </c>
      <c r="E363" t="s">
        <v>74</v>
      </c>
      <c r="F363" t="s">
        <v>7101</v>
      </c>
      <c r="G363" t="s">
        <v>74</v>
      </c>
      <c r="H363" t="s">
        <v>74</v>
      </c>
      <c r="I363" t="s">
        <v>7102</v>
      </c>
      <c r="J363" t="s">
        <v>7103</v>
      </c>
      <c r="K363" t="s">
        <v>74</v>
      </c>
      <c r="L363" t="s">
        <v>74</v>
      </c>
      <c r="M363" t="s">
        <v>78</v>
      </c>
      <c r="N363" t="s">
        <v>79</v>
      </c>
      <c r="O363" t="s">
        <v>74</v>
      </c>
      <c r="P363" t="s">
        <v>74</v>
      </c>
      <c r="Q363" t="s">
        <v>74</v>
      </c>
      <c r="R363" t="s">
        <v>74</v>
      </c>
      <c r="S363" t="s">
        <v>74</v>
      </c>
      <c r="T363" t="s">
        <v>7104</v>
      </c>
      <c r="U363" t="s">
        <v>7105</v>
      </c>
      <c r="V363" t="s">
        <v>7106</v>
      </c>
      <c r="W363" t="s">
        <v>7107</v>
      </c>
      <c r="X363" t="s">
        <v>7108</v>
      </c>
      <c r="Y363" t="s">
        <v>7109</v>
      </c>
      <c r="Z363" t="s">
        <v>7110</v>
      </c>
      <c r="AA363" t="s">
        <v>7111</v>
      </c>
      <c r="AB363" t="s">
        <v>7112</v>
      </c>
      <c r="AC363" t="s">
        <v>7113</v>
      </c>
      <c r="AD363" t="s">
        <v>7114</v>
      </c>
      <c r="AE363" t="s">
        <v>7115</v>
      </c>
      <c r="AF363" t="s">
        <v>74</v>
      </c>
      <c r="AG363">
        <v>117</v>
      </c>
      <c r="AH363">
        <v>37</v>
      </c>
      <c r="AI363">
        <v>41</v>
      </c>
      <c r="AJ363">
        <v>0</v>
      </c>
      <c r="AK363">
        <v>33</v>
      </c>
      <c r="AL363" t="s">
        <v>92</v>
      </c>
      <c r="AM363" t="s">
        <v>93</v>
      </c>
      <c r="AN363" t="s">
        <v>94</v>
      </c>
      <c r="AO363" t="s">
        <v>7116</v>
      </c>
      <c r="AP363" t="s">
        <v>7117</v>
      </c>
      <c r="AQ363" t="s">
        <v>74</v>
      </c>
      <c r="AR363" t="s">
        <v>7118</v>
      </c>
      <c r="AS363" t="s">
        <v>7119</v>
      </c>
      <c r="AT363" t="s">
        <v>4934</v>
      </c>
      <c r="AU363">
        <v>2014</v>
      </c>
      <c r="AV363">
        <v>275</v>
      </c>
      <c r="AW363">
        <v>8</v>
      </c>
      <c r="AX363" t="s">
        <v>74</v>
      </c>
      <c r="AY363" t="s">
        <v>74</v>
      </c>
      <c r="AZ363" t="s">
        <v>74</v>
      </c>
      <c r="BA363" t="s">
        <v>74</v>
      </c>
      <c r="BB363">
        <v>841</v>
      </c>
      <c r="BC363">
        <v>861</v>
      </c>
      <c r="BD363" t="s">
        <v>74</v>
      </c>
      <c r="BE363" t="s">
        <v>7120</v>
      </c>
      <c r="BF363" t="str">
        <f>HYPERLINK("http://dx.doi.org/10.1002/jmor.20258","http://dx.doi.org/10.1002/jmor.20258")</f>
        <v>http://dx.doi.org/10.1002/jmor.20258</v>
      </c>
      <c r="BG363" t="s">
        <v>74</v>
      </c>
      <c r="BH363" t="s">
        <v>74</v>
      </c>
      <c r="BI363">
        <v>21</v>
      </c>
      <c r="BJ363" t="s">
        <v>7121</v>
      </c>
      <c r="BK363" t="s">
        <v>102</v>
      </c>
      <c r="BL363" t="s">
        <v>7121</v>
      </c>
      <c r="BM363" t="s">
        <v>7122</v>
      </c>
      <c r="BN363">
        <v>24590921</v>
      </c>
      <c r="BO363" t="s">
        <v>74</v>
      </c>
      <c r="BP363" t="s">
        <v>74</v>
      </c>
      <c r="BQ363" t="s">
        <v>74</v>
      </c>
      <c r="BR363" t="s">
        <v>105</v>
      </c>
      <c r="BS363" t="s">
        <v>7123</v>
      </c>
      <c r="BT363" t="str">
        <f>HYPERLINK("https%3A%2F%2Fwww.webofscience.com%2Fwos%2Fwoscc%2Ffull-record%2FWOS:000339070400001","View Full Record in Web of Science")</f>
        <v>View Full Record in Web of Science</v>
      </c>
    </row>
    <row r="364" spans="1:72" x14ac:dyDescent="0.15">
      <c r="A364" t="s">
        <v>72</v>
      </c>
      <c r="B364" t="s">
        <v>7124</v>
      </c>
      <c r="C364" t="s">
        <v>74</v>
      </c>
      <c r="D364" t="s">
        <v>74</v>
      </c>
      <c r="E364" t="s">
        <v>74</v>
      </c>
      <c r="F364" t="s">
        <v>7125</v>
      </c>
      <c r="G364" t="s">
        <v>74</v>
      </c>
      <c r="H364" t="s">
        <v>74</v>
      </c>
      <c r="I364" t="s">
        <v>7126</v>
      </c>
      <c r="J364" t="s">
        <v>7127</v>
      </c>
      <c r="K364" t="s">
        <v>74</v>
      </c>
      <c r="L364" t="s">
        <v>74</v>
      </c>
      <c r="M364" t="s">
        <v>78</v>
      </c>
      <c r="N364" t="s">
        <v>79</v>
      </c>
      <c r="O364" t="s">
        <v>74</v>
      </c>
      <c r="P364" t="s">
        <v>74</v>
      </c>
      <c r="Q364" t="s">
        <v>74</v>
      </c>
      <c r="R364" t="s">
        <v>74</v>
      </c>
      <c r="S364" t="s">
        <v>74</v>
      </c>
      <c r="T364" t="s">
        <v>7128</v>
      </c>
      <c r="U364" t="s">
        <v>7129</v>
      </c>
      <c r="V364" t="s">
        <v>7130</v>
      </c>
      <c r="W364" t="s">
        <v>7131</v>
      </c>
      <c r="X364" t="s">
        <v>7132</v>
      </c>
      <c r="Y364" t="s">
        <v>7133</v>
      </c>
      <c r="Z364" t="s">
        <v>7134</v>
      </c>
      <c r="AA364" t="s">
        <v>74</v>
      </c>
      <c r="AB364" t="s">
        <v>7135</v>
      </c>
      <c r="AC364" t="s">
        <v>7136</v>
      </c>
      <c r="AD364" t="s">
        <v>2791</v>
      </c>
      <c r="AE364" t="s">
        <v>7137</v>
      </c>
      <c r="AF364" t="s">
        <v>74</v>
      </c>
      <c r="AG364">
        <v>60</v>
      </c>
      <c r="AH364">
        <v>19</v>
      </c>
      <c r="AI364">
        <v>23</v>
      </c>
      <c r="AJ364">
        <v>2</v>
      </c>
      <c r="AK364">
        <v>28</v>
      </c>
      <c r="AL364" t="s">
        <v>250</v>
      </c>
      <c r="AM364" t="s">
        <v>251</v>
      </c>
      <c r="AN364" t="s">
        <v>252</v>
      </c>
      <c r="AO364" t="s">
        <v>7138</v>
      </c>
      <c r="AP364" t="s">
        <v>74</v>
      </c>
      <c r="AQ364" t="s">
        <v>74</v>
      </c>
      <c r="AR364" t="s">
        <v>7139</v>
      </c>
      <c r="AS364" t="s">
        <v>7140</v>
      </c>
      <c r="AT364" t="s">
        <v>4934</v>
      </c>
      <c r="AU364">
        <v>2014</v>
      </c>
      <c r="AV364">
        <v>44</v>
      </c>
      <c r="AW364" t="s">
        <v>74</v>
      </c>
      <c r="AX364" t="s">
        <v>74</v>
      </c>
      <c r="AY364" t="s">
        <v>74</v>
      </c>
      <c r="AZ364" t="s">
        <v>74</v>
      </c>
      <c r="BA364" t="s">
        <v>74</v>
      </c>
      <c r="BB364">
        <v>119</v>
      </c>
      <c r="BC364">
        <v>125</v>
      </c>
      <c r="BD364" t="s">
        <v>74</v>
      </c>
      <c r="BE364" t="s">
        <v>7141</v>
      </c>
      <c r="BF364" t="str">
        <f>HYPERLINK("http://dx.doi.org/10.1016/j.jtherbio.2014.06.007","http://dx.doi.org/10.1016/j.jtherbio.2014.06.007")</f>
        <v>http://dx.doi.org/10.1016/j.jtherbio.2014.06.007</v>
      </c>
      <c r="BG364" t="s">
        <v>74</v>
      </c>
      <c r="BH364" t="s">
        <v>74</v>
      </c>
      <c r="BI364">
        <v>7</v>
      </c>
      <c r="BJ364" t="s">
        <v>7142</v>
      </c>
      <c r="BK364" t="s">
        <v>102</v>
      </c>
      <c r="BL364" t="s">
        <v>7143</v>
      </c>
      <c r="BM364" t="s">
        <v>7144</v>
      </c>
      <c r="BN364">
        <v>25086982</v>
      </c>
      <c r="BO364" t="s">
        <v>74</v>
      </c>
      <c r="BP364" t="s">
        <v>74</v>
      </c>
      <c r="BQ364" t="s">
        <v>74</v>
      </c>
      <c r="BR364" t="s">
        <v>105</v>
      </c>
      <c r="BS364" t="s">
        <v>7145</v>
      </c>
      <c r="BT364" t="str">
        <f>HYPERLINK("https%3A%2F%2Fwww.webofscience.com%2Fwos%2Fwoscc%2Ffull-record%2FWOS:000341477900017","View Full Record in Web of Science")</f>
        <v>View Full Record in Web of Science</v>
      </c>
    </row>
    <row r="365" spans="1:72" x14ac:dyDescent="0.15">
      <c r="A365" t="s">
        <v>72</v>
      </c>
      <c r="B365" t="s">
        <v>7146</v>
      </c>
      <c r="C365" t="s">
        <v>74</v>
      </c>
      <c r="D365" t="s">
        <v>74</v>
      </c>
      <c r="E365" t="s">
        <v>74</v>
      </c>
      <c r="F365" t="s">
        <v>7147</v>
      </c>
      <c r="G365" t="s">
        <v>74</v>
      </c>
      <c r="H365" t="s">
        <v>74</v>
      </c>
      <c r="I365" t="s">
        <v>7148</v>
      </c>
      <c r="J365" t="s">
        <v>5914</v>
      </c>
      <c r="K365" t="s">
        <v>74</v>
      </c>
      <c r="L365" t="s">
        <v>74</v>
      </c>
      <c r="M365" t="s">
        <v>78</v>
      </c>
      <c r="N365" t="s">
        <v>79</v>
      </c>
      <c r="O365" t="s">
        <v>74</v>
      </c>
      <c r="P365" t="s">
        <v>74</v>
      </c>
      <c r="Q365" t="s">
        <v>74</v>
      </c>
      <c r="R365" t="s">
        <v>74</v>
      </c>
      <c r="S365" t="s">
        <v>74</v>
      </c>
      <c r="T365" t="s">
        <v>74</v>
      </c>
      <c r="U365" t="s">
        <v>7149</v>
      </c>
      <c r="V365" t="s">
        <v>7150</v>
      </c>
      <c r="W365" t="s">
        <v>7151</v>
      </c>
      <c r="X365" t="s">
        <v>7152</v>
      </c>
      <c r="Y365" t="s">
        <v>7153</v>
      </c>
      <c r="Z365" t="s">
        <v>7154</v>
      </c>
      <c r="AA365" t="s">
        <v>7155</v>
      </c>
      <c r="AB365" t="s">
        <v>7156</v>
      </c>
      <c r="AC365" t="s">
        <v>7157</v>
      </c>
      <c r="AD365" t="s">
        <v>7158</v>
      </c>
      <c r="AE365" t="s">
        <v>7159</v>
      </c>
      <c r="AF365" t="s">
        <v>74</v>
      </c>
      <c r="AG365">
        <v>66</v>
      </c>
      <c r="AH365">
        <v>24</v>
      </c>
      <c r="AI365">
        <v>25</v>
      </c>
      <c r="AJ365">
        <v>0</v>
      </c>
      <c r="AK365">
        <v>50</v>
      </c>
      <c r="AL365" t="s">
        <v>304</v>
      </c>
      <c r="AM365" t="s">
        <v>305</v>
      </c>
      <c r="AN365" t="s">
        <v>306</v>
      </c>
      <c r="AO365" t="s">
        <v>5926</v>
      </c>
      <c r="AP365" t="s">
        <v>5927</v>
      </c>
      <c r="AQ365" t="s">
        <v>74</v>
      </c>
      <c r="AR365" t="s">
        <v>5928</v>
      </c>
      <c r="AS365" t="s">
        <v>5929</v>
      </c>
      <c r="AT365" t="s">
        <v>4934</v>
      </c>
      <c r="AU365">
        <v>2014</v>
      </c>
      <c r="AV365">
        <v>161</v>
      </c>
      <c r="AW365">
        <v>8</v>
      </c>
      <c r="AX365" t="s">
        <v>74</v>
      </c>
      <c r="AY365" t="s">
        <v>74</v>
      </c>
      <c r="AZ365" t="s">
        <v>74</v>
      </c>
      <c r="BA365" t="s">
        <v>74</v>
      </c>
      <c r="BB365">
        <v>1755</v>
      </c>
      <c r="BC365">
        <v>1764</v>
      </c>
      <c r="BD365" t="s">
        <v>74</v>
      </c>
      <c r="BE365" t="s">
        <v>7160</v>
      </c>
      <c r="BF365" t="str">
        <f>HYPERLINK("http://dx.doi.org/10.1007/s00227-014-2457-z","http://dx.doi.org/10.1007/s00227-014-2457-z")</f>
        <v>http://dx.doi.org/10.1007/s00227-014-2457-z</v>
      </c>
      <c r="BG365" t="s">
        <v>74</v>
      </c>
      <c r="BH365" t="s">
        <v>74</v>
      </c>
      <c r="BI365">
        <v>10</v>
      </c>
      <c r="BJ365" t="s">
        <v>130</v>
      </c>
      <c r="BK365" t="s">
        <v>102</v>
      </c>
      <c r="BL365" t="s">
        <v>130</v>
      </c>
      <c r="BM365" t="s">
        <v>5931</v>
      </c>
      <c r="BN365" t="s">
        <v>74</v>
      </c>
      <c r="BO365" t="s">
        <v>359</v>
      </c>
      <c r="BP365" t="s">
        <v>74</v>
      </c>
      <c r="BQ365" t="s">
        <v>74</v>
      </c>
      <c r="BR365" t="s">
        <v>105</v>
      </c>
      <c r="BS365" t="s">
        <v>7161</v>
      </c>
      <c r="BT365" t="str">
        <f>HYPERLINK("https%3A%2F%2Fwww.webofscience.com%2Fwos%2Fwoscc%2Ffull-record%2FWOS:000339900700006","View Full Record in Web of Science")</f>
        <v>View Full Record in Web of Science</v>
      </c>
    </row>
    <row r="366" spans="1:72" x14ac:dyDescent="0.15">
      <c r="A366" t="s">
        <v>72</v>
      </c>
      <c r="B366" t="s">
        <v>7162</v>
      </c>
      <c r="C366" t="s">
        <v>74</v>
      </c>
      <c r="D366" t="s">
        <v>74</v>
      </c>
      <c r="E366" t="s">
        <v>74</v>
      </c>
      <c r="F366" t="s">
        <v>7163</v>
      </c>
      <c r="G366" t="s">
        <v>74</v>
      </c>
      <c r="H366" t="s">
        <v>74</v>
      </c>
      <c r="I366" t="s">
        <v>7164</v>
      </c>
      <c r="J366" t="s">
        <v>7165</v>
      </c>
      <c r="K366" t="s">
        <v>74</v>
      </c>
      <c r="L366" t="s">
        <v>74</v>
      </c>
      <c r="M366" t="s">
        <v>78</v>
      </c>
      <c r="N366" t="s">
        <v>79</v>
      </c>
      <c r="O366" t="s">
        <v>74</v>
      </c>
      <c r="P366" t="s">
        <v>74</v>
      </c>
      <c r="Q366" t="s">
        <v>74</v>
      </c>
      <c r="R366" t="s">
        <v>74</v>
      </c>
      <c r="S366" t="s">
        <v>74</v>
      </c>
      <c r="T366" t="s">
        <v>74</v>
      </c>
      <c r="U366" t="s">
        <v>7166</v>
      </c>
      <c r="V366" t="s">
        <v>7167</v>
      </c>
      <c r="W366" t="s">
        <v>7168</v>
      </c>
      <c r="X366" t="s">
        <v>7169</v>
      </c>
      <c r="Y366" t="s">
        <v>7170</v>
      </c>
      <c r="Z366" t="s">
        <v>7171</v>
      </c>
      <c r="AA366" t="s">
        <v>7172</v>
      </c>
      <c r="AB366" t="s">
        <v>7173</v>
      </c>
      <c r="AC366" t="s">
        <v>7174</v>
      </c>
      <c r="AD366" t="s">
        <v>7175</v>
      </c>
      <c r="AE366" t="s">
        <v>7176</v>
      </c>
      <c r="AF366" t="s">
        <v>74</v>
      </c>
      <c r="AG366">
        <v>61</v>
      </c>
      <c r="AH366">
        <v>47</v>
      </c>
      <c r="AI366">
        <v>54</v>
      </c>
      <c r="AJ366">
        <v>2</v>
      </c>
      <c r="AK366">
        <v>50</v>
      </c>
      <c r="AL366" t="s">
        <v>224</v>
      </c>
      <c r="AM366" t="s">
        <v>576</v>
      </c>
      <c r="AN366" t="s">
        <v>778</v>
      </c>
      <c r="AO366" t="s">
        <v>7177</v>
      </c>
      <c r="AP366" t="s">
        <v>7178</v>
      </c>
      <c r="AQ366" t="s">
        <v>74</v>
      </c>
      <c r="AR366" t="s">
        <v>7179</v>
      </c>
      <c r="AS366" t="s">
        <v>7180</v>
      </c>
      <c r="AT366" t="s">
        <v>4934</v>
      </c>
      <c r="AU366">
        <v>2014</v>
      </c>
      <c r="AV366">
        <v>68</v>
      </c>
      <c r="AW366">
        <v>2</v>
      </c>
      <c r="AX366" t="s">
        <v>74</v>
      </c>
      <c r="AY366" t="s">
        <v>74</v>
      </c>
      <c r="AZ366" t="s">
        <v>74</v>
      </c>
      <c r="BA366" t="s">
        <v>74</v>
      </c>
      <c r="BB366">
        <v>351</v>
      </c>
      <c r="BC366">
        <v>359</v>
      </c>
      <c r="BD366" t="s">
        <v>74</v>
      </c>
      <c r="BE366" t="s">
        <v>7181</v>
      </c>
      <c r="BF366" t="str">
        <f>HYPERLINK("http://dx.doi.org/10.1007/s00248-014-0412-7","http://dx.doi.org/10.1007/s00248-014-0412-7")</f>
        <v>http://dx.doi.org/10.1007/s00248-014-0412-7</v>
      </c>
      <c r="BG366" t="s">
        <v>74</v>
      </c>
      <c r="BH366" t="s">
        <v>74</v>
      </c>
      <c r="BI366">
        <v>9</v>
      </c>
      <c r="BJ366" t="s">
        <v>7182</v>
      </c>
      <c r="BK366" t="s">
        <v>102</v>
      </c>
      <c r="BL366" t="s">
        <v>7183</v>
      </c>
      <c r="BM366" t="s">
        <v>7184</v>
      </c>
      <c r="BN366">
        <v>24671755</v>
      </c>
      <c r="BO366" t="s">
        <v>74</v>
      </c>
      <c r="BP366" t="s">
        <v>74</v>
      </c>
      <c r="BQ366" t="s">
        <v>74</v>
      </c>
      <c r="BR366" t="s">
        <v>105</v>
      </c>
      <c r="BS366" t="s">
        <v>7185</v>
      </c>
      <c r="BT366" t="str">
        <f>HYPERLINK("https%3A%2F%2Fwww.webofscience.com%2Fwos%2Fwoscc%2Ffull-record%2FWOS:000339735300017","View Full Record in Web of Science")</f>
        <v>View Full Record in Web of Science</v>
      </c>
    </row>
    <row r="367" spans="1:72" x14ac:dyDescent="0.15">
      <c r="A367" t="s">
        <v>72</v>
      </c>
      <c r="B367" t="s">
        <v>7186</v>
      </c>
      <c r="C367" t="s">
        <v>74</v>
      </c>
      <c r="D367" t="s">
        <v>74</v>
      </c>
      <c r="E367" t="s">
        <v>74</v>
      </c>
      <c r="F367" t="s">
        <v>7187</v>
      </c>
      <c r="G367" t="s">
        <v>74</v>
      </c>
      <c r="H367" t="s">
        <v>74</v>
      </c>
      <c r="I367" t="s">
        <v>7188</v>
      </c>
      <c r="J367" t="s">
        <v>7189</v>
      </c>
      <c r="K367" t="s">
        <v>74</v>
      </c>
      <c r="L367" t="s">
        <v>74</v>
      </c>
      <c r="M367" t="s">
        <v>78</v>
      </c>
      <c r="N367" t="s">
        <v>79</v>
      </c>
      <c r="O367" t="s">
        <v>74</v>
      </c>
      <c r="P367" t="s">
        <v>74</v>
      </c>
      <c r="Q367" t="s">
        <v>74</v>
      </c>
      <c r="R367" t="s">
        <v>74</v>
      </c>
      <c r="S367" t="s">
        <v>74</v>
      </c>
      <c r="T367" t="s">
        <v>74</v>
      </c>
      <c r="U367" t="s">
        <v>7190</v>
      </c>
      <c r="V367" t="s">
        <v>7191</v>
      </c>
      <c r="W367" t="s">
        <v>7192</v>
      </c>
      <c r="X367" t="s">
        <v>7193</v>
      </c>
      <c r="Y367" t="s">
        <v>7194</v>
      </c>
      <c r="Z367" t="s">
        <v>7195</v>
      </c>
      <c r="AA367" t="s">
        <v>7196</v>
      </c>
      <c r="AB367" t="s">
        <v>7197</v>
      </c>
      <c r="AC367" t="s">
        <v>7198</v>
      </c>
      <c r="AD367" t="s">
        <v>7199</v>
      </c>
      <c r="AE367" t="s">
        <v>7200</v>
      </c>
      <c r="AF367" t="s">
        <v>74</v>
      </c>
      <c r="AG367">
        <v>31</v>
      </c>
      <c r="AH367">
        <v>118</v>
      </c>
      <c r="AI367">
        <v>131</v>
      </c>
      <c r="AJ367">
        <v>1</v>
      </c>
      <c r="AK367">
        <v>71</v>
      </c>
      <c r="AL367" t="s">
        <v>653</v>
      </c>
      <c r="AM367" t="s">
        <v>654</v>
      </c>
      <c r="AN367" t="s">
        <v>655</v>
      </c>
      <c r="AO367" t="s">
        <v>7201</v>
      </c>
      <c r="AP367" t="s">
        <v>7202</v>
      </c>
      <c r="AQ367" t="s">
        <v>74</v>
      </c>
      <c r="AR367" t="s">
        <v>7203</v>
      </c>
      <c r="AS367" t="s">
        <v>7204</v>
      </c>
      <c r="AT367" t="s">
        <v>4934</v>
      </c>
      <c r="AU367">
        <v>2014</v>
      </c>
      <c r="AV367">
        <v>4</v>
      </c>
      <c r="AW367">
        <v>8</v>
      </c>
      <c r="AX367" t="s">
        <v>74</v>
      </c>
      <c r="AY367" t="s">
        <v>74</v>
      </c>
      <c r="AZ367" t="s">
        <v>74</v>
      </c>
      <c r="BA367" t="s">
        <v>74</v>
      </c>
      <c r="BB367">
        <v>693</v>
      </c>
      <c r="BC367">
        <v>697</v>
      </c>
      <c r="BD367" t="s">
        <v>74</v>
      </c>
      <c r="BE367" t="s">
        <v>7205</v>
      </c>
      <c r="BF367" t="str">
        <f>HYPERLINK("http://dx.doi.org/10.1038/nclimate2293","http://dx.doi.org/10.1038/nclimate2293")</f>
        <v>http://dx.doi.org/10.1038/nclimate2293</v>
      </c>
      <c r="BG367" t="s">
        <v>74</v>
      </c>
      <c r="BH367" t="s">
        <v>74</v>
      </c>
      <c r="BI367">
        <v>5</v>
      </c>
      <c r="BJ367" t="s">
        <v>7206</v>
      </c>
      <c r="BK367" t="s">
        <v>1690</v>
      </c>
      <c r="BL367" t="s">
        <v>7207</v>
      </c>
      <c r="BM367" t="s">
        <v>7208</v>
      </c>
      <c r="BN367" t="s">
        <v>74</v>
      </c>
      <c r="BO367" t="s">
        <v>74</v>
      </c>
      <c r="BP367" t="s">
        <v>74</v>
      </c>
      <c r="BQ367" t="s">
        <v>74</v>
      </c>
      <c r="BR367" t="s">
        <v>105</v>
      </c>
      <c r="BS367" t="s">
        <v>7209</v>
      </c>
      <c r="BT367" t="str">
        <f>HYPERLINK("https%3A%2F%2Fwww.webofscience.com%2Fwos%2Fwoscc%2Ffull-record%2FWOS:000341568200022","View Full Record in Web of Science")</f>
        <v>View Full Record in Web of Science</v>
      </c>
    </row>
    <row r="368" spans="1:72" x14ac:dyDescent="0.15">
      <c r="A368" t="s">
        <v>72</v>
      </c>
      <c r="B368" t="s">
        <v>7210</v>
      </c>
      <c r="C368" t="s">
        <v>74</v>
      </c>
      <c r="D368" t="s">
        <v>74</v>
      </c>
      <c r="E368" t="s">
        <v>74</v>
      </c>
      <c r="F368" t="s">
        <v>7211</v>
      </c>
      <c r="G368" t="s">
        <v>74</v>
      </c>
      <c r="H368" t="s">
        <v>74</v>
      </c>
      <c r="I368" t="s">
        <v>7212</v>
      </c>
      <c r="J368" t="s">
        <v>7189</v>
      </c>
      <c r="K368" t="s">
        <v>74</v>
      </c>
      <c r="L368" t="s">
        <v>74</v>
      </c>
      <c r="M368" t="s">
        <v>78</v>
      </c>
      <c r="N368" t="s">
        <v>79</v>
      </c>
      <c r="O368" t="s">
        <v>74</v>
      </c>
      <c r="P368" t="s">
        <v>74</v>
      </c>
      <c r="Q368" t="s">
        <v>74</v>
      </c>
      <c r="R368" t="s">
        <v>74</v>
      </c>
      <c r="S368" t="s">
        <v>74</v>
      </c>
      <c r="T368" t="s">
        <v>74</v>
      </c>
      <c r="U368" t="s">
        <v>7213</v>
      </c>
      <c r="V368" t="s">
        <v>7214</v>
      </c>
      <c r="W368" t="s">
        <v>7215</v>
      </c>
      <c r="X368" t="s">
        <v>7216</v>
      </c>
      <c r="Y368" t="s">
        <v>7217</v>
      </c>
      <c r="Z368" t="s">
        <v>7218</v>
      </c>
      <c r="AA368" t="s">
        <v>7219</v>
      </c>
      <c r="AB368" t="s">
        <v>7220</v>
      </c>
      <c r="AC368" t="s">
        <v>7221</v>
      </c>
      <c r="AD368" t="s">
        <v>7222</v>
      </c>
      <c r="AE368" t="s">
        <v>7223</v>
      </c>
      <c r="AF368" t="s">
        <v>74</v>
      </c>
      <c r="AG368">
        <v>28</v>
      </c>
      <c r="AH368">
        <v>82</v>
      </c>
      <c r="AI368">
        <v>87</v>
      </c>
      <c r="AJ368">
        <v>9</v>
      </c>
      <c r="AK368">
        <v>284</v>
      </c>
      <c r="AL368" t="s">
        <v>979</v>
      </c>
      <c r="AM368" t="s">
        <v>980</v>
      </c>
      <c r="AN368" t="s">
        <v>981</v>
      </c>
      <c r="AO368" t="s">
        <v>7201</v>
      </c>
      <c r="AP368" t="s">
        <v>7202</v>
      </c>
      <c r="AQ368" t="s">
        <v>74</v>
      </c>
      <c r="AR368" t="s">
        <v>7203</v>
      </c>
      <c r="AS368" t="s">
        <v>7204</v>
      </c>
      <c r="AT368" t="s">
        <v>4934</v>
      </c>
      <c r="AU368">
        <v>2014</v>
      </c>
      <c r="AV368">
        <v>4</v>
      </c>
      <c r="AW368">
        <v>8</v>
      </c>
      <c r="AX368" t="s">
        <v>74</v>
      </c>
      <c r="AY368" t="s">
        <v>74</v>
      </c>
      <c r="AZ368" t="s">
        <v>74</v>
      </c>
      <c r="BA368" t="s">
        <v>74</v>
      </c>
      <c r="BB368">
        <v>715</v>
      </c>
      <c r="BC368">
        <v>718</v>
      </c>
      <c r="BD368" t="s">
        <v>74</v>
      </c>
      <c r="BE368" t="s">
        <v>7224</v>
      </c>
      <c r="BF368" t="str">
        <f>HYPERLINK("http://dx.doi.org/10.1038/NCLIMATE2280","http://dx.doi.org/10.1038/NCLIMATE2280")</f>
        <v>http://dx.doi.org/10.1038/NCLIMATE2280</v>
      </c>
      <c r="BG368" t="s">
        <v>74</v>
      </c>
      <c r="BH368" t="s">
        <v>74</v>
      </c>
      <c r="BI368">
        <v>4</v>
      </c>
      <c r="BJ368" t="s">
        <v>7206</v>
      </c>
      <c r="BK368" t="s">
        <v>1690</v>
      </c>
      <c r="BL368" t="s">
        <v>7207</v>
      </c>
      <c r="BM368" t="s">
        <v>7208</v>
      </c>
      <c r="BN368" t="s">
        <v>74</v>
      </c>
      <c r="BO368" t="s">
        <v>74</v>
      </c>
      <c r="BP368" t="s">
        <v>74</v>
      </c>
      <c r="BQ368" t="s">
        <v>74</v>
      </c>
      <c r="BR368" t="s">
        <v>105</v>
      </c>
      <c r="BS368" t="s">
        <v>7225</v>
      </c>
      <c r="BT368" t="str">
        <f>HYPERLINK("https%3A%2F%2Fwww.webofscience.com%2Fwos%2Fwoscc%2Ffull-record%2FWOS:000341568200026","View Full Record in Web of Science")</f>
        <v>View Full Record in Web of Science</v>
      </c>
    </row>
    <row r="369" spans="1:72" x14ac:dyDescent="0.15">
      <c r="A369" t="s">
        <v>72</v>
      </c>
      <c r="B369" t="s">
        <v>7226</v>
      </c>
      <c r="C369" t="s">
        <v>74</v>
      </c>
      <c r="D369" t="s">
        <v>74</v>
      </c>
      <c r="E369" t="s">
        <v>74</v>
      </c>
      <c r="F369" t="s">
        <v>7227</v>
      </c>
      <c r="G369" t="s">
        <v>74</v>
      </c>
      <c r="H369" t="s">
        <v>74</v>
      </c>
      <c r="I369" t="s">
        <v>7228</v>
      </c>
      <c r="J369" t="s">
        <v>641</v>
      </c>
      <c r="K369" t="s">
        <v>74</v>
      </c>
      <c r="L369" t="s">
        <v>74</v>
      </c>
      <c r="M369" t="s">
        <v>78</v>
      </c>
      <c r="N369" t="s">
        <v>79</v>
      </c>
      <c r="O369" t="s">
        <v>74</v>
      </c>
      <c r="P369" t="s">
        <v>74</v>
      </c>
      <c r="Q369" t="s">
        <v>74</v>
      </c>
      <c r="R369" t="s">
        <v>74</v>
      </c>
      <c r="S369" t="s">
        <v>74</v>
      </c>
      <c r="T369" t="s">
        <v>74</v>
      </c>
      <c r="U369" t="s">
        <v>7229</v>
      </c>
      <c r="V369" t="s">
        <v>7230</v>
      </c>
      <c r="W369" t="s">
        <v>7231</v>
      </c>
      <c r="X369" t="s">
        <v>7232</v>
      </c>
      <c r="Y369" t="s">
        <v>7233</v>
      </c>
      <c r="Z369" t="s">
        <v>7234</v>
      </c>
      <c r="AA369" t="s">
        <v>7235</v>
      </c>
      <c r="AB369" t="s">
        <v>7236</v>
      </c>
      <c r="AC369" t="s">
        <v>7237</v>
      </c>
      <c r="AD369" t="s">
        <v>7238</v>
      </c>
      <c r="AE369" t="s">
        <v>7239</v>
      </c>
      <c r="AF369" t="s">
        <v>74</v>
      </c>
      <c r="AG369">
        <v>69</v>
      </c>
      <c r="AH369">
        <v>105</v>
      </c>
      <c r="AI369">
        <v>121</v>
      </c>
      <c r="AJ369">
        <v>1</v>
      </c>
      <c r="AK369">
        <v>80</v>
      </c>
      <c r="AL369" t="s">
        <v>653</v>
      </c>
      <c r="AM369" t="s">
        <v>654</v>
      </c>
      <c r="AN369" t="s">
        <v>655</v>
      </c>
      <c r="AO369" t="s">
        <v>656</v>
      </c>
      <c r="AP369" t="s">
        <v>74</v>
      </c>
      <c r="AQ369" t="s">
        <v>74</v>
      </c>
      <c r="AR369" t="s">
        <v>657</v>
      </c>
      <c r="AS369" t="s">
        <v>658</v>
      </c>
      <c r="AT369" t="s">
        <v>4934</v>
      </c>
      <c r="AU369">
        <v>2014</v>
      </c>
      <c r="AV369">
        <v>5</v>
      </c>
      <c r="AW369" t="s">
        <v>74</v>
      </c>
      <c r="AX369" t="s">
        <v>74</v>
      </c>
      <c r="AY369" t="s">
        <v>74</v>
      </c>
      <c r="AZ369" t="s">
        <v>74</v>
      </c>
      <c r="BA369" t="s">
        <v>74</v>
      </c>
      <c r="BB369" t="s">
        <v>74</v>
      </c>
      <c r="BC369" t="s">
        <v>74</v>
      </c>
      <c r="BD369">
        <v>4611</v>
      </c>
      <c r="BE369" t="s">
        <v>7240</v>
      </c>
      <c r="BF369" t="str">
        <f>HYPERLINK("http://dx.doi.org/10.1038/ncomms5611","http://dx.doi.org/10.1038/ncomms5611")</f>
        <v>http://dx.doi.org/10.1038/ncomms5611</v>
      </c>
      <c r="BG369" t="s">
        <v>74</v>
      </c>
      <c r="BH369" t="s">
        <v>74</v>
      </c>
      <c r="BI369">
        <v>8</v>
      </c>
      <c r="BJ369" t="s">
        <v>660</v>
      </c>
      <c r="BK369" t="s">
        <v>102</v>
      </c>
      <c r="BL369" t="s">
        <v>661</v>
      </c>
      <c r="BM369" t="s">
        <v>7241</v>
      </c>
      <c r="BN369">
        <v>25118180</v>
      </c>
      <c r="BO369" t="s">
        <v>1476</v>
      </c>
      <c r="BP369" t="s">
        <v>74</v>
      </c>
      <c r="BQ369" t="s">
        <v>74</v>
      </c>
      <c r="BR369" t="s">
        <v>105</v>
      </c>
      <c r="BS369" t="s">
        <v>7242</v>
      </c>
      <c r="BT369" t="str">
        <f>HYPERLINK("https%3A%2F%2Fwww.webofscience.com%2Fwos%2Fwoscc%2Ffull-record%2FWOS:000341057000002","View Full Record in Web of Science")</f>
        <v>View Full Record in Web of Science</v>
      </c>
    </row>
    <row r="370" spans="1:72" x14ac:dyDescent="0.15">
      <c r="A370" t="s">
        <v>72</v>
      </c>
      <c r="B370" t="s">
        <v>7243</v>
      </c>
      <c r="C370" t="s">
        <v>74</v>
      </c>
      <c r="D370" t="s">
        <v>74</v>
      </c>
      <c r="E370" t="s">
        <v>74</v>
      </c>
      <c r="F370" t="s">
        <v>7244</v>
      </c>
      <c r="G370" t="s">
        <v>74</v>
      </c>
      <c r="H370" t="s">
        <v>74</v>
      </c>
      <c r="I370" t="s">
        <v>7245</v>
      </c>
      <c r="J370" t="s">
        <v>668</v>
      </c>
      <c r="K370" t="s">
        <v>74</v>
      </c>
      <c r="L370" t="s">
        <v>74</v>
      </c>
      <c r="M370" t="s">
        <v>78</v>
      </c>
      <c r="N370" t="s">
        <v>79</v>
      </c>
      <c r="O370" t="s">
        <v>74</v>
      </c>
      <c r="P370" t="s">
        <v>74</v>
      </c>
      <c r="Q370" t="s">
        <v>74</v>
      </c>
      <c r="R370" t="s">
        <v>74</v>
      </c>
      <c r="S370" t="s">
        <v>74</v>
      </c>
      <c r="T370" t="s">
        <v>74</v>
      </c>
      <c r="U370" t="s">
        <v>7246</v>
      </c>
      <c r="V370" t="s">
        <v>7247</v>
      </c>
      <c r="W370" t="s">
        <v>7248</v>
      </c>
      <c r="X370" t="s">
        <v>7249</v>
      </c>
      <c r="Y370" t="s">
        <v>7250</v>
      </c>
      <c r="Z370" t="s">
        <v>7251</v>
      </c>
      <c r="AA370" t="s">
        <v>7252</v>
      </c>
      <c r="AB370" t="s">
        <v>7253</v>
      </c>
      <c r="AC370" t="s">
        <v>7254</v>
      </c>
      <c r="AD370" t="s">
        <v>7255</v>
      </c>
      <c r="AE370" t="s">
        <v>7256</v>
      </c>
      <c r="AF370" t="s">
        <v>74</v>
      </c>
      <c r="AG370">
        <v>29</v>
      </c>
      <c r="AH370">
        <v>46</v>
      </c>
      <c r="AI370">
        <v>50</v>
      </c>
      <c r="AJ370">
        <v>0</v>
      </c>
      <c r="AK370">
        <v>44</v>
      </c>
      <c r="AL370" t="s">
        <v>653</v>
      </c>
      <c r="AM370" t="s">
        <v>576</v>
      </c>
      <c r="AN370" t="s">
        <v>679</v>
      </c>
      <c r="AO370" t="s">
        <v>680</v>
      </c>
      <c r="AP370" t="s">
        <v>681</v>
      </c>
      <c r="AQ370" t="s">
        <v>74</v>
      </c>
      <c r="AR370" t="s">
        <v>682</v>
      </c>
      <c r="AS370" t="s">
        <v>683</v>
      </c>
      <c r="AT370" t="s">
        <v>4934</v>
      </c>
      <c r="AU370">
        <v>2014</v>
      </c>
      <c r="AV370">
        <v>7</v>
      </c>
      <c r="AW370">
        <v>8</v>
      </c>
      <c r="AX370" t="s">
        <v>74</v>
      </c>
      <c r="AY370" t="s">
        <v>74</v>
      </c>
      <c r="AZ370" t="s">
        <v>74</v>
      </c>
      <c r="BA370" t="s">
        <v>74</v>
      </c>
      <c r="BB370">
        <v>577</v>
      </c>
      <c r="BC370">
        <v>582</v>
      </c>
      <c r="BD370" t="s">
        <v>74</v>
      </c>
      <c r="BE370" t="s">
        <v>7257</v>
      </c>
      <c r="BF370" t="str">
        <f>HYPERLINK("http://dx.doi.org/10.1038/NGEO2200","http://dx.doi.org/10.1038/NGEO2200")</f>
        <v>http://dx.doi.org/10.1038/NGEO2200</v>
      </c>
      <c r="BG370" t="s">
        <v>74</v>
      </c>
      <c r="BH370" t="s">
        <v>74</v>
      </c>
      <c r="BI370">
        <v>6</v>
      </c>
      <c r="BJ370" t="s">
        <v>685</v>
      </c>
      <c r="BK370" t="s">
        <v>102</v>
      </c>
      <c r="BL370" t="s">
        <v>686</v>
      </c>
      <c r="BM370" t="s">
        <v>7258</v>
      </c>
      <c r="BN370" t="s">
        <v>74</v>
      </c>
      <c r="BO370" t="s">
        <v>359</v>
      </c>
      <c r="BP370" t="s">
        <v>74</v>
      </c>
      <c r="BQ370" t="s">
        <v>74</v>
      </c>
      <c r="BR370" t="s">
        <v>105</v>
      </c>
      <c r="BS370" t="s">
        <v>7259</v>
      </c>
      <c r="BT370" t="str">
        <f>HYPERLINK("https%3A%2F%2Fwww.webofscience.com%2Fwos%2Fwoscc%2Ffull-record%2FWOS:000341635100014","View Full Record in Web of Science")</f>
        <v>View Full Record in Web of Science</v>
      </c>
    </row>
    <row r="371" spans="1:72" x14ac:dyDescent="0.15">
      <c r="A371" t="s">
        <v>72</v>
      </c>
      <c r="B371" t="s">
        <v>7260</v>
      </c>
      <c r="C371" t="s">
        <v>74</v>
      </c>
      <c r="D371" t="s">
        <v>74</v>
      </c>
      <c r="E371" t="s">
        <v>74</v>
      </c>
      <c r="F371" t="s">
        <v>7261</v>
      </c>
      <c r="G371" t="s">
        <v>74</v>
      </c>
      <c r="H371" t="s">
        <v>74</v>
      </c>
      <c r="I371" t="s">
        <v>7262</v>
      </c>
      <c r="J371" t="s">
        <v>1386</v>
      </c>
      <c r="K371" t="s">
        <v>74</v>
      </c>
      <c r="L371" t="s">
        <v>74</v>
      </c>
      <c r="M371" t="s">
        <v>78</v>
      </c>
      <c r="N371" t="s">
        <v>79</v>
      </c>
      <c r="O371" t="s">
        <v>74</v>
      </c>
      <c r="P371" t="s">
        <v>74</v>
      </c>
      <c r="Q371" t="s">
        <v>74</v>
      </c>
      <c r="R371" t="s">
        <v>74</v>
      </c>
      <c r="S371" t="s">
        <v>74</v>
      </c>
      <c r="T371" t="s">
        <v>7263</v>
      </c>
      <c r="U371" t="s">
        <v>7264</v>
      </c>
      <c r="V371" t="s">
        <v>7265</v>
      </c>
      <c r="W371" t="s">
        <v>7266</v>
      </c>
      <c r="X371" t="s">
        <v>7267</v>
      </c>
      <c r="Y371" t="s">
        <v>7268</v>
      </c>
      <c r="Z371" t="s">
        <v>7269</v>
      </c>
      <c r="AA371" t="s">
        <v>7270</v>
      </c>
      <c r="AB371" t="s">
        <v>7271</v>
      </c>
      <c r="AC371" t="s">
        <v>74</v>
      </c>
      <c r="AD371" t="s">
        <v>74</v>
      </c>
      <c r="AE371" t="s">
        <v>74</v>
      </c>
      <c r="AF371" t="s">
        <v>74</v>
      </c>
      <c r="AG371">
        <v>91</v>
      </c>
      <c r="AH371">
        <v>33</v>
      </c>
      <c r="AI371">
        <v>37</v>
      </c>
      <c r="AJ371">
        <v>1</v>
      </c>
      <c r="AK371">
        <v>56</v>
      </c>
      <c r="AL371" t="s">
        <v>753</v>
      </c>
      <c r="AM371" t="s">
        <v>124</v>
      </c>
      <c r="AN371" t="s">
        <v>754</v>
      </c>
      <c r="AO371" t="s">
        <v>1397</v>
      </c>
      <c r="AP371" t="s">
        <v>1398</v>
      </c>
      <c r="AQ371" t="s">
        <v>74</v>
      </c>
      <c r="AR371" t="s">
        <v>1399</v>
      </c>
      <c r="AS371" t="s">
        <v>1400</v>
      </c>
      <c r="AT371" t="s">
        <v>4956</v>
      </c>
      <c r="AU371">
        <v>2014</v>
      </c>
      <c r="AV371">
        <v>407</v>
      </c>
      <c r="AW371" t="s">
        <v>74</v>
      </c>
      <c r="AX371" t="s">
        <v>74</v>
      </c>
      <c r="AY371" t="s">
        <v>74</v>
      </c>
      <c r="AZ371" t="s">
        <v>74</v>
      </c>
      <c r="BA371" t="s">
        <v>74</v>
      </c>
      <c r="BB371">
        <v>34</v>
      </c>
      <c r="BC371">
        <v>44</v>
      </c>
      <c r="BD371" t="s">
        <v>74</v>
      </c>
      <c r="BE371" t="s">
        <v>7272</v>
      </c>
      <c r="BF371" t="str">
        <f>HYPERLINK("http://dx.doi.org/10.1016/j.palaeo.2014.04.016","http://dx.doi.org/10.1016/j.palaeo.2014.04.016")</f>
        <v>http://dx.doi.org/10.1016/j.palaeo.2014.04.016</v>
      </c>
      <c r="BG371" t="s">
        <v>74</v>
      </c>
      <c r="BH371" t="s">
        <v>74</v>
      </c>
      <c r="BI371">
        <v>11</v>
      </c>
      <c r="BJ371" t="s">
        <v>1402</v>
      </c>
      <c r="BK371" t="s">
        <v>102</v>
      </c>
      <c r="BL371" t="s">
        <v>1403</v>
      </c>
      <c r="BM371" t="s">
        <v>7273</v>
      </c>
      <c r="BN371" t="s">
        <v>74</v>
      </c>
      <c r="BO371" t="s">
        <v>359</v>
      </c>
      <c r="BP371" t="s">
        <v>74</v>
      </c>
      <c r="BQ371" t="s">
        <v>74</v>
      </c>
      <c r="BR371" t="s">
        <v>105</v>
      </c>
      <c r="BS371" t="s">
        <v>7274</v>
      </c>
      <c r="BT371" t="str">
        <f>HYPERLINK("https%3A%2F%2Fwww.webofscience.com%2Fwos%2Fwoscc%2Ffull-record%2FWOS:000337777500004","View Full Record in Web of Science")</f>
        <v>View Full Record in Web of Science</v>
      </c>
    </row>
    <row r="372" spans="1:72" x14ac:dyDescent="0.15">
      <c r="A372" t="s">
        <v>72</v>
      </c>
      <c r="B372" t="s">
        <v>7275</v>
      </c>
      <c r="C372" t="s">
        <v>74</v>
      </c>
      <c r="D372" t="s">
        <v>74</v>
      </c>
      <c r="E372" t="s">
        <v>74</v>
      </c>
      <c r="F372" t="s">
        <v>7276</v>
      </c>
      <c r="G372" t="s">
        <v>74</v>
      </c>
      <c r="H372" t="s">
        <v>74</v>
      </c>
      <c r="I372" t="s">
        <v>7277</v>
      </c>
      <c r="J372" t="s">
        <v>4008</v>
      </c>
      <c r="K372" t="s">
        <v>74</v>
      </c>
      <c r="L372" t="s">
        <v>74</v>
      </c>
      <c r="M372" t="s">
        <v>78</v>
      </c>
      <c r="N372" t="s">
        <v>79</v>
      </c>
      <c r="O372" t="s">
        <v>74</v>
      </c>
      <c r="P372" t="s">
        <v>74</v>
      </c>
      <c r="Q372" t="s">
        <v>74</v>
      </c>
      <c r="R372" t="s">
        <v>74</v>
      </c>
      <c r="S372" t="s">
        <v>74</v>
      </c>
      <c r="T372" t="s">
        <v>74</v>
      </c>
      <c r="U372" t="s">
        <v>7278</v>
      </c>
      <c r="V372" t="s">
        <v>7279</v>
      </c>
      <c r="W372" t="s">
        <v>7280</v>
      </c>
      <c r="X372" t="s">
        <v>7281</v>
      </c>
      <c r="Y372" t="s">
        <v>7282</v>
      </c>
      <c r="Z372" t="s">
        <v>7283</v>
      </c>
      <c r="AA372" t="s">
        <v>7284</v>
      </c>
      <c r="AB372" t="s">
        <v>7285</v>
      </c>
      <c r="AC372" t="s">
        <v>7286</v>
      </c>
      <c r="AD372" t="s">
        <v>7287</v>
      </c>
      <c r="AE372" t="s">
        <v>7288</v>
      </c>
      <c r="AF372" t="s">
        <v>74</v>
      </c>
      <c r="AG372">
        <v>56</v>
      </c>
      <c r="AH372">
        <v>58</v>
      </c>
      <c r="AI372">
        <v>61</v>
      </c>
      <c r="AJ372">
        <v>1</v>
      </c>
      <c r="AK372">
        <v>47</v>
      </c>
      <c r="AL372" t="s">
        <v>331</v>
      </c>
      <c r="AM372" t="s">
        <v>332</v>
      </c>
      <c r="AN372" t="s">
        <v>333</v>
      </c>
      <c r="AO372" t="s">
        <v>4021</v>
      </c>
      <c r="AP372" t="s">
        <v>4022</v>
      </c>
      <c r="AQ372" t="s">
        <v>74</v>
      </c>
      <c r="AR372" t="s">
        <v>4008</v>
      </c>
      <c r="AS372" t="s">
        <v>4023</v>
      </c>
      <c r="AT372" t="s">
        <v>4934</v>
      </c>
      <c r="AU372">
        <v>2014</v>
      </c>
      <c r="AV372">
        <v>29</v>
      </c>
      <c r="AW372">
        <v>8</v>
      </c>
      <c r="AX372" t="s">
        <v>74</v>
      </c>
      <c r="AY372" t="s">
        <v>74</v>
      </c>
      <c r="AZ372" t="s">
        <v>74</v>
      </c>
      <c r="BA372" t="s">
        <v>74</v>
      </c>
      <c r="BB372">
        <v>810</v>
      </c>
      <c r="BC372">
        <v>823</v>
      </c>
      <c r="BD372" t="s">
        <v>74</v>
      </c>
      <c r="BE372" t="s">
        <v>7289</v>
      </c>
      <c r="BF372" t="str">
        <f>HYPERLINK("http://dx.doi.org/10.1002/2013PA002593","http://dx.doi.org/10.1002/2013PA002593")</f>
        <v>http://dx.doi.org/10.1002/2013PA002593</v>
      </c>
      <c r="BG372" t="s">
        <v>74</v>
      </c>
      <c r="BH372" t="s">
        <v>74</v>
      </c>
      <c r="BI372">
        <v>14</v>
      </c>
      <c r="BJ372" t="s">
        <v>4025</v>
      </c>
      <c r="BK372" t="s">
        <v>102</v>
      </c>
      <c r="BL372" t="s">
        <v>4026</v>
      </c>
      <c r="BM372" t="s">
        <v>7290</v>
      </c>
      <c r="BN372" t="s">
        <v>74</v>
      </c>
      <c r="BO372" t="s">
        <v>1053</v>
      </c>
      <c r="BP372" t="s">
        <v>74</v>
      </c>
      <c r="BQ372" t="s">
        <v>74</v>
      </c>
      <c r="BR372" t="s">
        <v>105</v>
      </c>
      <c r="BS372" t="s">
        <v>7291</v>
      </c>
      <c r="BT372" t="str">
        <f>HYPERLINK("https%3A%2F%2Fwww.webofscience.com%2Fwos%2Fwoscc%2Ffull-record%2FWOS:000342507400004","View Full Record in Web of Science")</f>
        <v>View Full Record in Web of Science</v>
      </c>
    </row>
    <row r="373" spans="1:72" x14ac:dyDescent="0.15">
      <c r="A373" t="s">
        <v>72</v>
      </c>
      <c r="B373" t="s">
        <v>7292</v>
      </c>
      <c r="C373" t="s">
        <v>74</v>
      </c>
      <c r="D373" t="s">
        <v>74</v>
      </c>
      <c r="E373" t="s">
        <v>74</v>
      </c>
      <c r="F373" t="s">
        <v>7293</v>
      </c>
      <c r="G373" t="s">
        <v>74</v>
      </c>
      <c r="H373" t="s">
        <v>74</v>
      </c>
      <c r="I373" t="s">
        <v>7294</v>
      </c>
      <c r="J373" t="s">
        <v>765</v>
      </c>
      <c r="K373" t="s">
        <v>74</v>
      </c>
      <c r="L373" t="s">
        <v>74</v>
      </c>
      <c r="M373" t="s">
        <v>78</v>
      </c>
      <c r="N373" t="s">
        <v>79</v>
      </c>
      <c r="O373" t="s">
        <v>74</v>
      </c>
      <c r="P373" t="s">
        <v>74</v>
      </c>
      <c r="Q373" t="s">
        <v>74</v>
      </c>
      <c r="R373" t="s">
        <v>74</v>
      </c>
      <c r="S373" t="s">
        <v>74</v>
      </c>
      <c r="T373" t="s">
        <v>7295</v>
      </c>
      <c r="U373" t="s">
        <v>7296</v>
      </c>
      <c r="V373" t="s">
        <v>7297</v>
      </c>
      <c r="W373" t="s">
        <v>7298</v>
      </c>
      <c r="X373" t="s">
        <v>7299</v>
      </c>
      <c r="Y373" t="s">
        <v>7300</v>
      </c>
      <c r="Z373" t="s">
        <v>7301</v>
      </c>
      <c r="AA373" t="s">
        <v>7302</v>
      </c>
      <c r="AB373" t="s">
        <v>7303</v>
      </c>
      <c r="AC373" t="s">
        <v>7304</v>
      </c>
      <c r="AD373" t="s">
        <v>7305</v>
      </c>
      <c r="AE373" t="s">
        <v>7306</v>
      </c>
      <c r="AF373" t="s">
        <v>74</v>
      </c>
      <c r="AG373">
        <v>52</v>
      </c>
      <c r="AH373">
        <v>26</v>
      </c>
      <c r="AI373">
        <v>28</v>
      </c>
      <c r="AJ373">
        <v>0</v>
      </c>
      <c r="AK373">
        <v>39</v>
      </c>
      <c r="AL373" t="s">
        <v>224</v>
      </c>
      <c r="AM373" t="s">
        <v>576</v>
      </c>
      <c r="AN373" t="s">
        <v>577</v>
      </c>
      <c r="AO373" t="s">
        <v>779</v>
      </c>
      <c r="AP373" t="s">
        <v>780</v>
      </c>
      <c r="AQ373" t="s">
        <v>74</v>
      </c>
      <c r="AR373" t="s">
        <v>781</v>
      </c>
      <c r="AS373" t="s">
        <v>782</v>
      </c>
      <c r="AT373" t="s">
        <v>4934</v>
      </c>
      <c r="AU373">
        <v>2014</v>
      </c>
      <c r="AV373">
        <v>37</v>
      </c>
      <c r="AW373">
        <v>8</v>
      </c>
      <c r="AX373" t="s">
        <v>74</v>
      </c>
      <c r="AY373" t="s">
        <v>74</v>
      </c>
      <c r="AZ373" t="s">
        <v>74</v>
      </c>
      <c r="BA373" t="s">
        <v>74</v>
      </c>
      <c r="BB373">
        <v>1197</v>
      </c>
      <c r="BC373">
        <v>1208</v>
      </c>
      <c r="BD373" t="s">
        <v>74</v>
      </c>
      <c r="BE373" t="s">
        <v>7307</v>
      </c>
      <c r="BF373" t="str">
        <f>HYPERLINK("http://dx.doi.org/10.1007/s00300-014-1513-y","http://dx.doi.org/10.1007/s00300-014-1513-y")</f>
        <v>http://dx.doi.org/10.1007/s00300-014-1513-y</v>
      </c>
      <c r="BG373" t="s">
        <v>74</v>
      </c>
      <c r="BH373" t="s">
        <v>74</v>
      </c>
      <c r="BI373">
        <v>12</v>
      </c>
      <c r="BJ373" t="s">
        <v>784</v>
      </c>
      <c r="BK373" t="s">
        <v>102</v>
      </c>
      <c r="BL373" t="s">
        <v>785</v>
      </c>
      <c r="BM373" t="s">
        <v>5426</v>
      </c>
      <c r="BN373" t="s">
        <v>74</v>
      </c>
      <c r="BO373" t="s">
        <v>74</v>
      </c>
      <c r="BP373" t="s">
        <v>74</v>
      </c>
      <c r="BQ373" t="s">
        <v>74</v>
      </c>
      <c r="BR373" t="s">
        <v>105</v>
      </c>
      <c r="BS373" t="s">
        <v>7308</v>
      </c>
      <c r="BT373" t="str">
        <f>HYPERLINK("https%3A%2F%2Fwww.webofscience.com%2Fwos%2Fwoscc%2Ffull-record%2FWOS:000341378000012","View Full Record in Web of Science")</f>
        <v>View Full Record in Web of Science</v>
      </c>
    </row>
    <row r="374" spans="1:72" x14ac:dyDescent="0.15">
      <c r="A374" t="s">
        <v>72</v>
      </c>
      <c r="B374" t="s">
        <v>7309</v>
      </c>
      <c r="C374" t="s">
        <v>74</v>
      </c>
      <c r="D374" t="s">
        <v>74</v>
      </c>
      <c r="E374" t="s">
        <v>74</v>
      </c>
      <c r="F374" t="s">
        <v>7310</v>
      </c>
      <c r="G374" t="s">
        <v>74</v>
      </c>
      <c r="H374" t="s">
        <v>74</v>
      </c>
      <c r="I374" t="s">
        <v>7311</v>
      </c>
      <c r="J374" t="s">
        <v>7312</v>
      </c>
      <c r="K374" t="s">
        <v>74</v>
      </c>
      <c r="L374" t="s">
        <v>74</v>
      </c>
      <c r="M374" t="s">
        <v>78</v>
      </c>
      <c r="N374" t="s">
        <v>185</v>
      </c>
      <c r="O374" t="s">
        <v>74</v>
      </c>
      <c r="P374" t="s">
        <v>74</v>
      </c>
      <c r="Q374" t="s">
        <v>74</v>
      </c>
      <c r="R374" t="s">
        <v>74</v>
      </c>
      <c r="S374" t="s">
        <v>74</v>
      </c>
      <c r="T374" t="s">
        <v>74</v>
      </c>
      <c r="U374" t="s">
        <v>7313</v>
      </c>
      <c r="V374" t="s">
        <v>7314</v>
      </c>
      <c r="W374" t="s">
        <v>7315</v>
      </c>
      <c r="X374" t="s">
        <v>7316</v>
      </c>
      <c r="Y374" t="s">
        <v>7317</v>
      </c>
      <c r="Z374" t="s">
        <v>7318</v>
      </c>
      <c r="AA374" t="s">
        <v>7319</v>
      </c>
      <c r="AB374" t="s">
        <v>7320</v>
      </c>
      <c r="AC374" t="s">
        <v>7321</v>
      </c>
      <c r="AD374" t="s">
        <v>7322</v>
      </c>
      <c r="AE374" t="s">
        <v>7323</v>
      </c>
      <c r="AF374" t="s">
        <v>74</v>
      </c>
      <c r="AG374">
        <v>57</v>
      </c>
      <c r="AH374">
        <v>42</v>
      </c>
      <c r="AI374">
        <v>46</v>
      </c>
      <c r="AJ374">
        <v>0</v>
      </c>
      <c r="AK374">
        <v>35</v>
      </c>
      <c r="AL374" t="s">
        <v>250</v>
      </c>
      <c r="AM374" t="s">
        <v>251</v>
      </c>
      <c r="AN374" t="s">
        <v>252</v>
      </c>
      <c r="AO374" t="s">
        <v>7324</v>
      </c>
      <c r="AP374" t="s">
        <v>74</v>
      </c>
      <c r="AQ374" t="s">
        <v>74</v>
      </c>
      <c r="AR374" t="s">
        <v>7325</v>
      </c>
      <c r="AS374" t="s">
        <v>7326</v>
      </c>
      <c r="AT374" t="s">
        <v>4934</v>
      </c>
      <c r="AU374">
        <v>2014</v>
      </c>
      <c r="AV374">
        <v>126</v>
      </c>
      <c r="AW374" t="s">
        <v>74</v>
      </c>
      <c r="AX374" t="s">
        <v>74</v>
      </c>
      <c r="AY374" t="s">
        <v>74</v>
      </c>
      <c r="AZ374" t="s">
        <v>258</v>
      </c>
      <c r="BA374" t="s">
        <v>74</v>
      </c>
      <c r="BB374">
        <v>44</v>
      </c>
      <c r="BC374">
        <v>57</v>
      </c>
      <c r="BD374" t="s">
        <v>74</v>
      </c>
      <c r="BE374" t="s">
        <v>7327</v>
      </c>
      <c r="BF374" t="str">
        <f>HYPERLINK("http://dx.doi.org/10.1016/j.pocean.2014.04.012","http://dx.doi.org/10.1016/j.pocean.2014.04.012")</f>
        <v>http://dx.doi.org/10.1016/j.pocean.2014.04.012</v>
      </c>
      <c r="BG374" t="s">
        <v>74</v>
      </c>
      <c r="BH374" t="s">
        <v>74</v>
      </c>
      <c r="BI374">
        <v>14</v>
      </c>
      <c r="BJ374" t="s">
        <v>152</v>
      </c>
      <c r="BK374" t="s">
        <v>102</v>
      </c>
      <c r="BL374" t="s">
        <v>152</v>
      </c>
      <c r="BM374" t="s">
        <v>7328</v>
      </c>
      <c r="BN374" t="s">
        <v>74</v>
      </c>
      <c r="BO374" t="s">
        <v>74</v>
      </c>
      <c r="BP374" t="s">
        <v>74</v>
      </c>
      <c r="BQ374" t="s">
        <v>74</v>
      </c>
      <c r="BR374" t="s">
        <v>105</v>
      </c>
      <c r="BS374" t="s">
        <v>7329</v>
      </c>
      <c r="BT374" t="str">
        <f>HYPERLINK("https%3A%2F%2Fwww.webofscience.com%2Fwos%2Fwoscc%2Ffull-record%2FWOS:000340851400005","View Full Record in Web of Science")</f>
        <v>View Full Record in Web of Science</v>
      </c>
    </row>
    <row r="375" spans="1:72" x14ac:dyDescent="0.15">
      <c r="A375" t="s">
        <v>72</v>
      </c>
      <c r="B375" t="s">
        <v>7330</v>
      </c>
      <c r="C375" t="s">
        <v>74</v>
      </c>
      <c r="D375" t="s">
        <v>74</v>
      </c>
      <c r="E375" t="s">
        <v>74</v>
      </c>
      <c r="F375" t="s">
        <v>7331</v>
      </c>
      <c r="G375" t="s">
        <v>74</v>
      </c>
      <c r="H375" t="s">
        <v>74</v>
      </c>
      <c r="I375" t="s">
        <v>7332</v>
      </c>
      <c r="J375" t="s">
        <v>7333</v>
      </c>
      <c r="K375" t="s">
        <v>74</v>
      </c>
      <c r="L375" t="s">
        <v>74</v>
      </c>
      <c r="M375" t="s">
        <v>78</v>
      </c>
      <c r="N375" t="s">
        <v>79</v>
      </c>
      <c r="O375" t="s">
        <v>74</v>
      </c>
      <c r="P375" t="s">
        <v>74</v>
      </c>
      <c r="Q375" t="s">
        <v>74</v>
      </c>
      <c r="R375" t="s">
        <v>74</v>
      </c>
      <c r="S375" t="s">
        <v>74</v>
      </c>
      <c r="T375" t="s">
        <v>7334</v>
      </c>
      <c r="U375" t="s">
        <v>7335</v>
      </c>
      <c r="V375" t="s">
        <v>7336</v>
      </c>
      <c r="W375" t="s">
        <v>7337</v>
      </c>
      <c r="X375" t="s">
        <v>7338</v>
      </c>
      <c r="Y375" t="s">
        <v>7339</v>
      </c>
      <c r="Z375" t="s">
        <v>7340</v>
      </c>
      <c r="AA375" t="s">
        <v>7341</v>
      </c>
      <c r="AB375" t="s">
        <v>7342</v>
      </c>
      <c r="AC375" t="s">
        <v>7343</v>
      </c>
      <c r="AD375" t="s">
        <v>7344</v>
      </c>
      <c r="AE375" t="s">
        <v>7345</v>
      </c>
      <c r="AF375" t="s">
        <v>74</v>
      </c>
      <c r="AG375">
        <v>45</v>
      </c>
      <c r="AH375">
        <v>12</v>
      </c>
      <c r="AI375">
        <v>14</v>
      </c>
      <c r="AJ375">
        <v>1</v>
      </c>
      <c r="AK375">
        <v>54</v>
      </c>
      <c r="AL375" t="s">
        <v>304</v>
      </c>
      <c r="AM375" t="s">
        <v>305</v>
      </c>
      <c r="AN375" t="s">
        <v>306</v>
      </c>
      <c r="AO375" t="s">
        <v>7346</v>
      </c>
      <c r="AP375" t="s">
        <v>7347</v>
      </c>
      <c r="AQ375" t="s">
        <v>74</v>
      </c>
      <c r="AR375" t="s">
        <v>7348</v>
      </c>
      <c r="AS375" t="s">
        <v>7349</v>
      </c>
      <c r="AT375" t="s">
        <v>4934</v>
      </c>
      <c r="AU375">
        <v>2014</v>
      </c>
      <c r="AV375">
        <v>14</v>
      </c>
      <c r="AW375">
        <v>4</v>
      </c>
      <c r="AX375" t="s">
        <v>74</v>
      </c>
      <c r="AY375" t="s">
        <v>74</v>
      </c>
      <c r="AZ375" t="s">
        <v>74</v>
      </c>
      <c r="BA375" t="s">
        <v>74</v>
      </c>
      <c r="BB375">
        <v>1517</v>
      </c>
      <c r="BC375">
        <v>1531</v>
      </c>
      <c r="BD375" t="s">
        <v>74</v>
      </c>
      <c r="BE375" t="s">
        <v>7350</v>
      </c>
      <c r="BF375" t="str">
        <f>HYPERLINK("http://dx.doi.org/10.1007/s10113-014-0591-2","http://dx.doi.org/10.1007/s10113-014-0591-2")</f>
        <v>http://dx.doi.org/10.1007/s10113-014-0591-2</v>
      </c>
      <c r="BG375" t="s">
        <v>74</v>
      </c>
      <c r="BH375" t="s">
        <v>74</v>
      </c>
      <c r="BI375">
        <v>15</v>
      </c>
      <c r="BJ375" t="s">
        <v>7351</v>
      </c>
      <c r="BK375" t="s">
        <v>1690</v>
      </c>
      <c r="BL375" t="s">
        <v>2553</v>
      </c>
      <c r="BM375" t="s">
        <v>7352</v>
      </c>
      <c r="BN375" t="s">
        <v>74</v>
      </c>
      <c r="BO375" t="s">
        <v>74</v>
      </c>
      <c r="BP375" t="s">
        <v>74</v>
      </c>
      <c r="BQ375" t="s">
        <v>74</v>
      </c>
      <c r="BR375" t="s">
        <v>105</v>
      </c>
      <c r="BS375" t="s">
        <v>7353</v>
      </c>
      <c r="BT375" t="str">
        <f>HYPERLINK("https%3A%2F%2Fwww.webofscience.com%2Fwos%2Fwoscc%2Ffull-record%2FWOS:000339736700019","View Full Record in Web of Science")</f>
        <v>View Full Record in Web of Science</v>
      </c>
    </row>
    <row r="376" spans="1:72" x14ac:dyDescent="0.15">
      <c r="A376" t="s">
        <v>72</v>
      </c>
      <c r="B376" t="s">
        <v>7354</v>
      </c>
      <c r="C376" t="s">
        <v>74</v>
      </c>
      <c r="D376" t="s">
        <v>74</v>
      </c>
      <c r="E376" t="s">
        <v>74</v>
      </c>
      <c r="F376" t="s">
        <v>7355</v>
      </c>
      <c r="G376" t="s">
        <v>74</v>
      </c>
      <c r="H376" t="s">
        <v>74</v>
      </c>
      <c r="I376" t="s">
        <v>7356</v>
      </c>
      <c r="J376" t="s">
        <v>7357</v>
      </c>
      <c r="K376" t="s">
        <v>74</v>
      </c>
      <c r="L376" t="s">
        <v>74</v>
      </c>
      <c r="M376" t="s">
        <v>78</v>
      </c>
      <c r="N376" t="s">
        <v>79</v>
      </c>
      <c r="O376" t="s">
        <v>74</v>
      </c>
      <c r="P376" t="s">
        <v>74</v>
      </c>
      <c r="Q376" t="s">
        <v>74</v>
      </c>
      <c r="R376" t="s">
        <v>74</v>
      </c>
      <c r="S376" t="s">
        <v>74</v>
      </c>
      <c r="T376" t="s">
        <v>7358</v>
      </c>
      <c r="U376" t="s">
        <v>7359</v>
      </c>
      <c r="V376" t="s">
        <v>7360</v>
      </c>
      <c r="W376" t="s">
        <v>7361</v>
      </c>
      <c r="X376" t="s">
        <v>7362</v>
      </c>
      <c r="Y376" t="s">
        <v>7363</v>
      </c>
      <c r="Z376" t="s">
        <v>7364</v>
      </c>
      <c r="AA376" t="s">
        <v>7365</v>
      </c>
      <c r="AB376" t="s">
        <v>7366</v>
      </c>
      <c r="AC376" t="s">
        <v>7367</v>
      </c>
      <c r="AD376" t="s">
        <v>7368</v>
      </c>
      <c r="AE376" t="s">
        <v>7369</v>
      </c>
      <c r="AF376" t="s">
        <v>74</v>
      </c>
      <c r="AG376">
        <v>85</v>
      </c>
      <c r="AH376">
        <v>21</v>
      </c>
      <c r="AI376">
        <v>23</v>
      </c>
      <c r="AJ376">
        <v>0</v>
      </c>
      <c r="AK376">
        <v>16</v>
      </c>
      <c r="AL376" t="s">
        <v>753</v>
      </c>
      <c r="AM376" t="s">
        <v>124</v>
      </c>
      <c r="AN376" t="s">
        <v>754</v>
      </c>
      <c r="AO376" t="s">
        <v>7370</v>
      </c>
      <c r="AP376" t="s">
        <v>7371</v>
      </c>
      <c r="AQ376" t="s">
        <v>74</v>
      </c>
      <c r="AR376" t="s">
        <v>7372</v>
      </c>
      <c r="AS376" t="s">
        <v>7373</v>
      </c>
      <c r="AT376" t="s">
        <v>4934</v>
      </c>
      <c r="AU376">
        <v>2014</v>
      </c>
      <c r="AV376">
        <v>207</v>
      </c>
      <c r="AW376" t="s">
        <v>74</v>
      </c>
      <c r="AX376" t="s">
        <v>74</v>
      </c>
      <c r="AY376" t="s">
        <v>74</v>
      </c>
      <c r="AZ376" t="s">
        <v>74</v>
      </c>
      <c r="BA376" t="s">
        <v>74</v>
      </c>
      <c r="BB376">
        <v>18</v>
      </c>
      <c r="BC376">
        <v>37</v>
      </c>
      <c r="BD376" t="s">
        <v>74</v>
      </c>
      <c r="BE376" t="s">
        <v>7374</v>
      </c>
      <c r="BF376" t="str">
        <f>HYPERLINK("http://dx.doi.org/10.1016/j.revpalbo.2014.04.002","http://dx.doi.org/10.1016/j.revpalbo.2014.04.002")</f>
        <v>http://dx.doi.org/10.1016/j.revpalbo.2014.04.002</v>
      </c>
      <c r="BG376" t="s">
        <v>74</v>
      </c>
      <c r="BH376" t="s">
        <v>74</v>
      </c>
      <c r="BI376">
        <v>20</v>
      </c>
      <c r="BJ376" t="s">
        <v>7375</v>
      </c>
      <c r="BK376" t="s">
        <v>102</v>
      </c>
      <c r="BL376" t="s">
        <v>7375</v>
      </c>
      <c r="BM376" t="s">
        <v>7376</v>
      </c>
      <c r="BN376" t="s">
        <v>74</v>
      </c>
      <c r="BO376" t="s">
        <v>74</v>
      </c>
      <c r="BP376" t="s">
        <v>74</v>
      </c>
      <c r="BQ376" t="s">
        <v>74</v>
      </c>
      <c r="BR376" t="s">
        <v>105</v>
      </c>
      <c r="BS376" t="s">
        <v>7377</v>
      </c>
      <c r="BT376" t="str">
        <f>HYPERLINK("https%3A%2F%2Fwww.webofscience.com%2Fwos%2Fwoscc%2Ffull-record%2FWOS:000337879800003","View Full Record in Web of Science")</f>
        <v>View Full Record in Web of Science</v>
      </c>
    </row>
    <row r="377" spans="1:72" x14ac:dyDescent="0.15">
      <c r="A377" t="s">
        <v>72</v>
      </c>
      <c r="B377" t="s">
        <v>7378</v>
      </c>
      <c r="C377" t="s">
        <v>74</v>
      </c>
      <c r="D377" t="s">
        <v>74</v>
      </c>
      <c r="E377" t="s">
        <v>74</v>
      </c>
      <c r="F377" t="s">
        <v>7379</v>
      </c>
      <c r="G377" t="s">
        <v>74</v>
      </c>
      <c r="H377" t="s">
        <v>74</v>
      </c>
      <c r="I377" t="s">
        <v>7380</v>
      </c>
      <c r="J377" t="s">
        <v>7381</v>
      </c>
      <c r="K377" t="s">
        <v>74</v>
      </c>
      <c r="L377" t="s">
        <v>74</v>
      </c>
      <c r="M377" t="s">
        <v>78</v>
      </c>
      <c r="N377" t="s">
        <v>1516</v>
      </c>
      <c r="O377" t="s">
        <v>74</v>
      </c>
      <c r="P377" t="s">
        <v>74</v>
      </c>
      <c r="Q377" t="s">
        <v>74</v>
      </c>
      <c r="R377" t="s">
        <v>74</v>
      </c>
      <c r="S377" t="s">
        <v>74</v>
      </c>
      <c r="T377" t="s">
        <v>74</v>
      </c>
      <c r="U377" t="s">
        <v>7382</v>
      </c>
      <c r="V377" t="s">
        <v>74</v>
      </c>
      <c r="W377" t="s">
        <v>7383</v>
      </c>
      <c r="X377" t="s">
        <v>7384</v>
      </c>
      <c r="Y377" t="s">
        <v>7385</v>
      </c>
      <c r="Z377" t="s">
        <v>7386</v>
      </c>
      <c r="AA377" t="s">
        <v>7387</v>
      </c>
      <c r="AB377" t="s">
        <v>7388</v>
      </c>
      <c r="AC377" t="s">
        <v>74</v>
      </c>
      <c r="AD377" t="s">
        <v>74</v>
      </c>
      <c r="AE377" t="s">
        <v>74</v>
      </c>
      <c r="AF377" t="s">
        <v>74</v>
      </c>
      <c r="AG377">
        <v>12</v>
      </c>
      <c r="AH377">
        <v>1</v>
      </c>
      <c r="AI377">
        <v>1</v>
      </c>
      <c r="AJ377">
        <v>0</v>
      </c>
      <c r="AK377">
        <v>32</v>
      </c>
      <c r="AL377" t="s">
        <v>250</v>
      </c>
      <c r="AM377" t="s">
        <v>251</v>
      </c>
      <c r="AN377" t="s">
        <v>252</v>
      </c>
      <c r="AO377" t="s">
        <v>7389</v>
      </c>
      <c r="AP377" t="s">
        <v>74</v>
      </c>
      <c r="AQ377" t="s">
        <v>74</v>
      </c>
      <c r="AR377" t="s">
        <v>7390</v>
      </c>
      <c r="AS377" t="s">
        <v>7391</v>
      </c>
      <c r="AT377" t="s">
        <v>4934</v>
      </c>
      <c r="AU377">
        <v>2014</v>
      </c>
      <c r="AV377">
        <v>75</v>
      </c>
      <c r="AW377" t="s">
        <v>74</v>
      </c>
      <c r="AX377" t="s">
        <v>74</v>
      </c>
      <c r="AY377" t="s">
        <v>74</v>
      </c>
      <c r="AZ377" t="s">
        <v>74</v>
      </c>
      <c r="BA377" t="s">
        <v>74</v>
      </c>
      <c r="BB377">
        <v>310</v>
      </c>
      <c r="BC377">
        <v>311</v>
      </c>
      <c r="BD377" t="s">
        <v>74</v>
      </c>
      <c r="BE377" t="s">
        <v>7392</v>
      </c>
      <c r="BF377" t="str">
        <f>HYPERLINK("http://dx.doi.org/10.1016/j.soilbio.2013.10.046","http://dx.doi.org/10.1016/j.soilbio.2013.10.046")</f>
        <v>http://dx.doi.org/10.1016/j.soilbio.2013.10.046</v>
      </c>
      <c r="BG377" t="s">
        <v>74</v>
      </c>
      <c r="BH377" t="s">
        <v>74</v>
      </c>
      <c r="BI377">
        <v>2</v>
      </c>
      <c r="BJ377" t="s">
        <v>2774</v>
      </c>
      <c r="BK377" t="s">
        <v>102</v>
      </c>
      <c r="BL377" t="s">
        <v>2775</v>
      </c>
      <c r="BM377" t="s">
        <v>7393</v>
      </c>
      <c r="BN377" t="s">
        <v>74</v>
      </c>
      <c r="BO377" t="s">
        <v>74</v>
      </c>
      <c r="BP377" t="s">
        <v>74</v>
      </c>
      <c r="BQ377" t="s">
        <v>74</v>
      </c>
      <c r="BR377" t="s">
        <v>105</v>
      </c>
      <c r="BS377" t="s">
        <v>7394</v>
      </c>
      <c r="BT377" t="str">
        <f>HYPERLINK("https%3A%2F%2Fwww.webofscience.com%2Fwos%2Fwoscc%2Ffull-record%2FWOS:000338619600034","View Full Record in Web of Science")</f>
        <v>View Full Record in Web of Science</v>
      </c>
    </row>
    <row r="378" spans="1:72" x14ac:dyDescent="0.15">
      <c r="A378" t="s">
        <v>72</v>
      </c>
      <c r="B378" t="s">
        <v>7395</v>
      </c>
      <c r="C378" t="s">
        <v>74</v>
      </c>
      <c r="D378" t="s">
        <v>74</v>
      </c>
      <c r="E378" t="s">
        <v>74</v>
      </c>
      <c r="F378" t="s">
        <v>7396</v>
      </c>
      <c r="G378" t="s">
        <v>74</v>
      </c>
      <c r="H378" t="s">
        <v>74</v>
      </c>
      <c r="I378" t="s">
        <v>7397</v>
      </c>
      <c r="J378" t="s">
        <v>7381</v>
      </c>
      <c r="K378" t="s">
        <v>74</v>
      </c>
      <c r="L378" t="s">
        <v>74</v>
      </c>
      <c r="M378" t="s">
        <v>78</v>
      </c>
      <c r="N378" t="s">
        <v>1130</v>
      </c>
      <c r="O378" t="s">
        <v>74</v>
      </c>
      <c r="P378" t="s">
        <v>74</v>
      </c>
      <c r="Q378" t="s">
        <v>74</v>
      </c>
      <c r="R378" t="s">
        <v>74</v>
      </c>
      <c r="S378" t="s">
        <v>74</v>
      </c>
      <c r="T378" t="s">
        <v>74</v>
      </c>
      <c r="U378" t="s">
        <v>7398</v>
      </c>
      <c r="V378" t="s">
        <v>74</v>
      </c>
      <c r="W378" t="s">
        <v>7399</v>
      </c>
      <c r="X378" t="s">
        <v>7400</v>
      </c>
      <c r="Y378" t="s">
        <v>7401</v>
      </c>
      <c r="Z378" t="s">
        <v>7402</v>
      </c>
      <c r="AA378" t="s">
        <v>7403</v>
      </c>
      <c r="AB378" t="s">
        <v>7404</v>
      </c>
      <c r="AC378" t="s">
        <v>74</v>
      </c>
      <c r="AD378" t="s">
        <v>74</v>
      </c>
      <c r="AE378" t="s">
        <v>74</v>
      </c>
      <c r="AF378" t="s">
        <v>74</v>
      </c>
      <c r="AG378">
        <v>9</v>
      </c>
      <c r="AH378">
        <v>0</v>
      </c>
      <c r="AI378">
        <v>0</v>
      </c>
      <c r="AJ378">
        <v>0</v>
      </c>
      <c r="AK378">
        <v>27</v>
      </c>
      <c r="AL378" t="s">
        <v>250</v>
      </c>
      <c r="AM378" t="s">
        <v>251</v>
      </c>
      <c r="AN378" t="s">
        <v>252</v>
      </c>
      <c r="AO378" t="s">
        <v>7389</v>
      </c>
      <c r="AP378" t="s">
        <v>74</v>
      </c>
      <c r="AQ378" t="s">
        <v>74</v>
      </c>
      <c r="AR378" t="s">
        <v>7390</v>
      </c>
      <c r="AS378" t="s">
        <v>7391</v>
      </c>
      <c r="AT378" t="s">
        <v>4934</v>
      </c>
      <c r="AU378">
        <v>2014</v>
      </c>
      <c r="AV378">
        <v>75</v>
      </c>
      <c r="AW378" t="s">
        <v>74</v>
      </c>
      <c r="AX378" t="s">
        <v>74</v>
      </c>
      <c r="AY378" t="s">
        <v>74</v>
      </c>
      <c r="AZ378" t="s">
        <v>74</v>
      </c>
      <c r="BA378" t="s">
        <v>74</v>
      </c>
      <c r="BB378">
        <v>312</v>
      </c>
      <c r="BC378">
        <v>313</v>
      </c>
      <c r="BD378" t="s">
        <v>74</v>
      </c>
      <c r="BE378" t="s">
        <v>7405</v>
      </c>
      <c r="BF378" t="str">
        <f>HYPERLINK("http://dx.doi.org/10.1016/j.soilbio.2013.10.039","http://dx.doi.org/10.1016/j.soilbio.2013.10.039")</f>
        <v>http://dx.doi.org/10.1016/j.soilbio.2013.10.039</v>
      </c>
      <c r="BG378" t="s">
        <v>74</v>
      </c>
      <c r="BH378" t="s">
        <v>74</v>
      </c>
      <c r="BI378">
        <v>2</v>
      </c>
      <c r="BJ378" t="s">
        <v>2774</v>
      </c>
      <c r="BK378" t="s">
        <v>102</v>
      </c>
      <c r="BL378" t="s">
        <v>2775</v>
      </c>
      <c r="BM378" t="s">
        <v>7393</v>
      </c>
      <c r="BN378" t="s">
        <v>74</v>
      </c>
      <c r="BO378" t="s">
        <v>74</v>
      </c>
      <c r="BP378" t="s">
        <v>74</v>
      </c>
      <c r="BQ378" t="s">
        <v>74</v>
      </c>
      <c r="BR378" t="s">
        <v>105</v>
      </c>
      <c r="BS378" t="s">
        <v>7406</v>
      </c>
      <c r="BT378" t="str">
        <f>HYPERLINK("https%3A%2F%2Fwww.webofscience.com%2Fwos%2Fwoscc%2Ffull-record%2FWOS:000338619600035","View Full Record in Web of Science")</f>
        <v>View Full Record in Web of Science</v>
      </c>
    </row>
    <row r="379" spans="1:72" x14ac:dyDescent="0.15">
      <c r="A379" t="s">
        <v>72</v>
      </c>
      <c r="B379" t="s">
        <v>7407</v>
      </c>
      <c r="C379" t="s">
        <v>74</v>
      </c>
      <c r="D379" t="s">
        <v>74</v>
      </c>
      <c r="E379" t="s">
        <v>74</v>
      </c>
      <c r="F379" t="s">
        <v>7408</v>
      </c>
      <c r="G379" t="s">
        <v>74</v>
      </c>
      <c r="H379" t="s">
        <v>74</v>
      </c>
      <c r="I379" t="s">
        <v>7409</v>
      </c>
      <c r="J379" t="s">
        <v>7410</v>
      </c>
      <c r="K379" t="s">
        <v>74</v>
      </c>
      <c r="L379" t="s">
        <v>74</v>
      </c>
      <c r="M379" t="s">
        <v>78</v>
      </c>
      <c r="N379" t="s">
        <v>185</v>
      </c>
      <c r="O379" t="s">
        <v>74</v>
      </c>
      <c r="P379" t="s">
        <v>74</v>
      </c>
      <c r="Q379" t="s">
        <v>74</v>
      </c>
      <c r="R379" t="s">
        <v>74</v>
      </c>
      <c r="S379" t="s">
        <v>74</v>
      </c>
      <c r="T379" t="s">
        <v>7411</v>
      </c>
      <c r="U379" t="s">
        <v>7412</v>
      </c>
      <c r="V379" t="s">
        <v>7413</v>
      </c>
      <c r="W379" t="s">
        <v>7414</v>
      </c>
      <c r="X379" t="s">
        <v>7415</v>
      </c>
      <c r="Y379" t="s">
        <v>7416</v>
      </c>
      <c r="Z379" t="s">
        <v>7417</v>
      </c>
      <c r="AA379" t="s">
        <v>7418</v>
      </c>
      <c r="AB379" t="s">
        <v>7419</v>
      </c>
      <c r="AC379" t="s">
        <v>7420</v>
      </c>
      <c r="AD379" t="s">
        <v>7421</v>
      </c>
      <c r="AE379" t="s">
        <v>7422</v>
      </c>
      <c r="AF379" t="s">
        <v>74</v>
      </c>
      <c r="AG379">
        <v>429</v>
      </c>
      <c r="AH379">
        <v>36</v>
      </c>
      <c r="AI379">
        <v>38</v>
      </c>
      <c r="AJ379">
        <v>4</v>
      </c>
      <c r="AK379">
        <v>45</v>
      </c>
      <c r="AL379" t="s">
        <v>224</v>
      </c>
      <c r="AM379" t="s">
        <v>225</v>
      </c>
      <c r="AN379" t="s">
        <v>226</v>
      </c>
      <c r="AO379" t="s">
        <v>7423</v>
      </c>
      <c r="AP379" t="s">
        <v>7424</v>
      </c>
      <c r="AQ379" t="s">
        <v>74</v>
      </c>
      <c r="AR379" t="s">
        <v>7425</v>
      </c>
      <c r="AS379" t="s">
        <v>7426</v>
      </c>
      <c r="AT379" t="s">
        <v>4934</v>
      </c>
      <c r="AU379">
        <v>2014</v>
      </c>
      <c r="AV379">
        <v>182</v>
      </c>
      <c r="AW379" t="s">
        <v>7427</v>
      </c>
      <c r="AX379" t="s">
        <v>74</v>
      </c>
      <c r="AY379" t="s">
        <v>74</v>
      </c>
      <c r="AZ379" t="s">
        <v>74</v>
      </c>
      <c r="BA379" t="s">
        <v>74</v>
      </c>
      <c r="BB379">
        <v>85</v>
      </c>
      <c r="BC379">
        <v>154</v>
      </c>
      <c r="BD379" t="s">
        <v>74</v>
      </c>
      <c r="BE379" t="s">
        <v>7428</v>
      </c>
      <c r="BF379" t="str">
        <f>HYPERLINK("http://dx.doi.org/10.1007/s11214-014-0060-8","http://dx.doi.org/10.1007/s11214-014-0060-8")</f>
        <v>http://dx.doi.org/10.1007/s11214-014-0060-8</v>
      </c>
      <c r="BG379" t="s">
        <v>74</v>
      </c>
      <c r="BH379" t="s">
        <v>74</v>
      </c>
      <c r="BI379">
        <v>70</v>
      </c>
      <c r="BJ379" t="s">
        <v>339</v>
      </c>
      <c r="BK379" t="s">
        <v>102</v>
      </c>
      <c r="BL379" t="s">
        <v>339</v>
      </c>
      <c r="BM379" t="s">
        <v>7429</v>
      </c>
      <c r="BN379" t="s">
        <v>74</v>
      </c>
      <c r="BO379" t="s">
        <v>74</v>
      </c>
      <c r="BP379" t="s">
        <v>74</v>
      </c>
      <c r="BQ379" t="s">
        <v>74</v>
      </c>
      <c r="BR379" t="s">
        <v>105</v>
      </c>
      <c r="BS379" t="s">
        <v>7430</v>
      </c>
      <c r="BT379" t="str">
        <f>HYPERLINK("https%3A%2F%2Fwww.webofscience.com%2Fwos%2Fwoscc%2Ffull-record%2FWOS:000339894600003","View Full Record in Web of Science")</f>
        <v>View Full Record in Web of Science</v>
      </c>
    </row>
    <row r="380" spans="1:72" x14ac:dyDescent="0.15">
      <c r="A380" t="s">
        <v>72</v>
      </c>
      <c r="B380" t="s">
        <v>7431</v>
      </c>
      <c r="C380" t="s">
        <v>74</v>
      </c>
      <c r="D380" t="s">
        <v>74</v>
      </c>
      <c r="E380" t="s">
        <v>74</v>
      </c>
      <c r="F380" t="s">
        <v>7432</v>
      </c>
      <c r="G380" t="s">
        <v>74</v>
      </c>
      <c r="H380" t="s">
        <v>74</v>
      </c>
      <c r="I380" t="s">
        <v>7433</v>
      </c>
      <c r="J380" t="s">
        <v>7434</v>
      </c>
      <c r="K380" t="s">
        <v>74</v>
      </c>
      <c r="L380" t="s">
        <v>74</v>
      </c>
      <c r="M380" t="s">
        <v>78</v>
      </c>
      <c r="N380" t="s">
        <v>79</v>
      </c>
      <c r="O380" t="s">
        <v>74</v>
      </c>
      <c r="P380" t="s">
        <v>74</v>
      </c>
      <c r="Q380" t="s">
        <v>74</v>
      </c>
      <c r="R380" t="s">
        <v>74</v>
      </c>
      <c r="S380" t="s">
        <v>74</v>
      </c>
      <c r="T380" t="s">
        <v>7435</v>
      </c>
      <c r="U380" t="s">
        <v>7436</v>
      </c>
      <c r="V380" t="s">
        <v>7437</v>
      </c>
      <c r="W380" t="s">
        <v>7438</v>
      </c>
      <c r="X380" t="s">
        <v>7439</v>
      </c>
      <c r="Y380" t="s">
        <v>7440</v>
      </c>
      <c r="Z380" t="s">
        <v>7441</v>
      </c>
      <c r="AA380" t="s">
        <v>7442</v>
      </c>
      <c r="AB380" t="s">
        <v>7443</v>
      </c>
      <c r="AC380" t="s">
        <v>7444</v>
      </c>
      <c r="AD380" t="s">
        <v>7445</v>
      </c>
      <c r="AE380" t="s">
        <v>7446</v>
      </c>
      <c r="AF380" t="s">
        <v>74</v>
      </c>
      <c r="AG380">
        <v>68</v>
      </c>
      <c r="AH380">
        <v>10</v>
      </c>
      <c r="AI380">
        <v>11</v>
      </c>
      <c r="AJ380">
        <v>0</v>
      </c>
      <c r="AK380">
        <v>62</v>
      </c>
      <c r="AL380" t="s">
        <v>2353</v>
      </c>
      <c r="AM380" t="s">
        <v>1293</v>
      </c>
      <c r="AN380" t="s">
        <v>5989</v>
      </c>
      <c r="AO380" t="s">
        <v>7447</v>
      </c>
      <c r="AP380" t="s">
        <v>7448</v>
      </c>
      <c r="AQ380" t="s">
        <v>74</v>
      </c>
      <c r="AR380" t="s">
        <v>7449</v>
      </c>
      <c r="AS380" t="s">
        <v>7450</v>
      </c>
      <c r="AT380" t="s">
        <v>4934</v>
      </c>
      <c r="AU380">
        <v>2014</v>
      </c>
      <c r="AV380">
        <v>104</v>
      </c>
      <c r="AW380">
        <v>4</v>
      </c>
      <c r="AX380" t="s">
        <v>74</v>
      </c>
      <c r="AY380" t="s">
        <v>74</v>
      </c>
      <c r="AZ380" t="s">
        <v>74</v>
      </c>
      <c r="BA380" t="s">
        <v>74</v>
      </c>
      <c r="BB380">
        <v>494</v>
      </c>
      <c r="BC380">
        <v>503</v>
      </c>
      <c r="BD380" t="s">
        <v>74</v>
      </c>
      <c r="BE380" t="s">
        <v>7451</v>
      </c>
      <c r="BF380" t="str">
        <f>HYPERLINK("http://dx.doi.org/10.1017/S0007485314000261","http://dx.doi.org/10.1017/S0007485314000261")</f>
        <v>http://dx.doi.org/10.1017/S0007485314000261</v>
      </c>
      <c r="BG380" t="s">
        <v>74</v>
      </c>
      <c r="BH380" t="s">
        <v>74</v>
      </c>
      <c r="BI380">
        <v>10</v>
      </c>
      <c r="BJ380" t="s">
        <v>7452</v>
      </c>
      <c r="BK380" t="s">
        <v>102</v>
      </c>
      <c r="BL380" t="s">
        <v>7452</v>
      </c>
      <c r="BM380" t="s">
        <v>7453</v>
      </c>
      <c r="BN380">
        <v>24816280</v>
      </c>
      <c r="BO380" t="s">
        <v>827</v>
      </c>
      <c r="BP380" t="s">
        <v>74</v>
      </c>
      <c r="BQ380" t="s">
        <v>74</v>
      </c>
      <c r="BR380" t="s">
        <v>105</v>
      </c>
      <c r="BS380" t="s">
        <v>7454</v>
      </c>
      <c r="BT380" t="str">
        <f>HYPERLINK("https%3A%2F%2Fwww.webofscience.com%2Fwos%2Fwoscc%2Ffull-record%2FWOS:000338105900010","View Full Record in Web of Science")</f>
        <v>View Full Record in Web of Science</v>
      </c>
    </row>
    <row r="381" spans="1:72" x14ac:dyDescent="0.15">
      <c r="A381" t="s">
        <v>72</v>
      </c>
      <c r="B381" t="s">
        <v>7455</v>
      </c>
      <c r="C381" t="s">
        <v>74</v>
      </c>
      <c r="D381" t="s">
        <v>74</v>
      </c>
      <c r="E381" t="s">
        <v>74</v>
      </c>
      <c r="F381" t="s">
        <v>7456</v>
      </c>
      <c r="G381" t="s">
        <v>74</v>
      </c>
      <c r="H381" t="s">
        <v>74</v>
      </c>
      <c r="I381" t="s">
        <v>7457</v>
      </c>
      <c r="J381" t="s">
        <v>7458</v>
      </c>
      <c r="K381" t="s">
        <v>74</v>
      </c>
      <c r="L381" t="s">
        <v>74</v>
      </c>
      <c r="M381" t="s">
        <v>78</v>
      </c>
      <c r="N381" t="s">
        <v>79</v>
      </c>
      <c r="O381" t="s">
        <v>74</v>
      </c>
      <c r="P381" t="s">
        <v>74</v>
      </c>
      <c r="Q381" t="s">
        <v>74</v>
      </c>
      <c r="R381" t="s">
        <v>74</v>
      </c>
      <c r="S381" t="s">
        <v>74</v>
      </c>
      <c r="T381" t="s">
        <v>7459</v>
      </c>
      <c r="U381" t="s">
        <v>7460</v>
      </c>
      <c r="V381" t="s">
        <v>7461</v>
      </c>
      <c r="W381" t="s">
        <v>7462</v>
      </c>
      <c r="X381" t="s">
        <v>7463</v>
      </c>
      <c r="Y381" t="s">
        <v>7464</v>
      </c>
      <c r="Z381" t="s">
        <v>7465</v>
      </c>
      <c r="AA381" t="s">
        <v>74</v>
      </c>
      <c r="AB381" t="s">
        <v>74</v>
      </c>
      <c r="AC381" t="s">
        <v>7466</v>
      </c>
      <c r="AD381" t="s">
        <v>7466</v>
      </c>
      <c r="AE381" t="s">
        <v>7467</v>
      </c>
      <c r="AF381" t="s">
        <v>74</v>
      </c>
      <c r="AG381">
        <v>42</v>
      </c>
      <c r="AH381">
        <v>8</v>
      </c>
      <c r="AI381">
        <v>8</v>
      </c>
      <c r="AJ381">
        <v>1</v>
      </c>
      <c r="AK381">
        <v>29</v>
      </c>
      <c r="AL381" t="s">
        <v>224</v>
      </c>
      <c r="AM381" t="s">
        <v>225</v>
      </c>
      <c r="AN381" t="s">
        <v>226</v>
      </c>
      <c r="AO381" t="s">
        <v>7468</v>
      </c>
      <c r="AP381" t="s">
        <v>7469</v>
      </c>
      <c r="AQ381" t="s">
        <v>74</v>
      </c>
      <c r="AR381" t="s">
        <v>7470</v>
      </c>
      <c r="AS381" t="s">
        <v>7471</v>
      </c>
      <c r="AT381" t="s">
        <v>4934</v>
      </c>
      <c r="AU381">
        <v>2014</v>
      </c>
      <c r="AV381">
        <v>186</v>
      </c>
      <c r="AW381">
        <v>8</v>
      </c>
      <c r="AX381" t="s">
        <v>74</v>
      </c>
      <c r="AY381" t="s">
        <v>74</v>
      </c>
      <c r="AZ381" t="s">
        <v>74</v>
      </c>
      <c r="BA381" t="s">
        <v>74</v>
      </c>
      <c r="BB381">
        <v>5167</v>
      </c>
      <c r="BC381">
        <v>5184</v>
      </c>
      <c r="BD381" t="s">
        <v>74</v>
      </c>
      <c r="BE381" t="s">
        <v>7472</v>
      </c>
      <c r="BF381" t="str">
        <f>HYPERLINK("http://dx.doi.org/10.1007/s10661-014-3767-9","http://dx.doi.org/10.1007/s10661-014-3767-9")</f>
        <v>http://dx.doi.org/10.1007/s10661-014-3767-9</v>
      </c>
      <c r="BG381" t="s">
        <v>74</v>
      </c>
      <c r="BH381" t="s">
        <v>74</v>
      </c>
      <c r="BI381">
        <v>18</v>
      </c>
      <c r="BJ381" t="s">
        <v>4397</v>
      </c>
      <c r="BK381" t="s">
        <v>102</v>
      </c>
      <c r="BL381" t="s">
        <v>2553</v>
      </c>
      <c r="BM381" t="s">
        <v>7473</v>
      </c>
      <c r="BN381">
        <v>24788839</v>
      </c>
      <c r="BO381" t="s">
        <v>74</v>
      </c>
      <c r="BP381" t="s">
        <v>74</v>
      </c>
      <c r="BQ381" t="s">
        <v>74</v>
      </c>
      <c r="BR381" t="s">
        <v>105</v>
      </c>
      <c r="BS381" t="s">
        <v>7474</v>
      </c>
      <c r="BT381" t="str">
        <f>HYPERLINK("https%3A%2F%2Fwww.webofscience.com%2Fwos%2Fwoscc%2Ffull-record%2FWOS:000338275500041","View Full Record in Web of Science")</f>
        <v>View Full Record in Web of Science</v>
      </c>
    </row>
    <row r="382" spans="1:72" x14ac:dyDescent="0.15">
      <c r="A382" t="s">
        <v>72</v>
      </c>
      <c r="B382" t="s">
        <v>7475</v>
      </c>
      <c r="C382" t="s">
        <v>74</v>
      </c>
      <c r="D382" t="s">
        <v>74</v>
      </c>
      <c r="E382" t="s">
        <v>74</v>
      </c>
      <c r="F382" t="s">
        <v>7476</v>
      </c>
      <c r="G382" t="s">
        <v>74</v>
      </c>
      <c r="H382" t="s">
        <v>74</v>
      </c>
      <c r="I382" t="s">
        <v>7477</v>
      </c>
      <c r="J382" t="s">
        <v>7478</v>
      </c>
      <c r="K382" t="s">
        <v>74</v>
      </c>
      <c r="L382" t="s">
        <v>74</v>
      </c>
      <c r="M382" t="s">
        <v>78</v>
      </c>
      <c r="N382" t="s">
        <v>79</v>
      </c>
      <c r="O382" t="s">
        <v>74</v>
      </c>
      <c r="P382" t="s">
        <v>74</v>
      </c>
      <c r="Q382" t="s">
        <v>74</v>
      </c>
      <c r="R382" t="s">
        <v>74</v>
      </c>
      <c r="S382" t="s">
        <v>74</v>
      </c>
      <c r="T382" t="s">
        <v>7479</v>
      </c>
      <c r="U382" t="s">
        <v>7480</v>
      </c>
      <c r="V382" t="s">
        <v>7481</v>
      </c>
      <c r="W382" t="s">
        <v>7482</v>
      </c>
      <c r="X382" t="s">
        <v>4630</v>
      </c>
      <c r="Y382" t="s">
        <v>7483</v>
      </c>
      <c r="Z382" t="s">
        <v>7484</v>
      </c>
      <c r="AA382" t="s">
        <v>7485</v>
      </c>
      <c r="AB382" t="s">
        <v>7486</v>
      </c>
      <c r="AC382" t="s">
        <v>7487</v>
      </c>
      <c r="AD382" t="s">
        <v>7488</v>
      </c>
      <c r="AE382" t="s">
        <v>7489</v>
      </c>
      <c r="AF382" t="s">
        <v>74</v>
      </c>
      <c r="AG382">
        <v>45</v>
      </c>
      <c r="AH382">
        <v>19</v>
      </c>
      <c r="AI382">
        <v>20</v>
      </c>
      <c r="AJ382">
        <v>2</v>
      </c>
      <c r="AK382">
        <v>48</v>
      </c>
      <c r="AL382" t="s">
        <v>2190</v>
      </c>
      <c r="AM382" t="s">
        <v>576</v>
      </c>
      <c r="AN382" t="s">
        <v>6058</v>
      </c>
      <c r="AO382" t="s">
        <v>7490</v>
      </c>
      <c r="AP382" t="s">
        <v>7491</v>
      </c>
      <c r="AQ382" t="s">
        <v>74</v>
      </c>
      <c r="AR382" t="s">
        <v>7492</v>
      </c>
      <c r="AS382" t="s">
        <v>7493</v>
      </c>
      <c r="AT382" t="s">
        <v>7494</v>
      </c>
      <c r="AU382">
        <v>2014</v>
      </c>
      <c r="AV382">
        <v>145</v>
      </c>
      <c r="AW382" t="s">
        <v>74</v>
      </c>
      <c r="AX382" t="s">
        <v>74</v>
      </c>
      <c r="AY382" t="s">
        <v>74</v>
      </c>
      <c r="AZ382" t="s">
        <v>74</v>
      </c>
      <c r="BA382" t="s">
        <v>74</v>
      </c>
      <c r="BB382">
        <v>105</v>
      </c>
      <c r="BC382">
        <v>111</v>
      </c>
      <c r="BD382" t="s">
        <v>74</v>
      </c>
      <c r="BE382" t="s">
        <v>7495</v>
      </c>
      <c r="BF382" t="str">
        <f>HYPERLINK("http://dx.doi.org/10.1016/j.atmosres.2014.03.030","http://dx.doi.org/10.1016/j.atmosres.2014.03.030")</f>
        <v>http://dx.doi.org/10.1016/j.atmosres.2014.03.030</v>
      </c>
      <c r="BG382" t="s">
        <v>74</v>
      </c>
      <c r="BH382" t="s">
        <v>74</v>
      </c>
      <c r="BI382">
        <v>7</v>
      </c>
      <c r="BJ382" t="s">
        <v>177</v>
      </c>
      <c r="BK382" t="s">
        <v>102</v>
      </c>
      <c r="BL382" t="s">
        <v>177</v>
      </c>
      <c r="BM382" t="s">
        <v>7496</v>
      </c>
      <c r="BN382" t="s">
        <v>74</v>
      </c>
      <c r="BO382" t="s">
        <v>74</v>
      </c>
      <c r="BP382" t="s">
        <v>74</v>
      </c>
      <c r="BQ382" t="s">
        <v>74</v>
      </c>
      <c r="BR382" t="s">
        <v>105</v>
      </c>
      <c r="BS382" t="s">
        <v>7497</v>
      </c>
      <c r="BT382" t="str">
        <f>HYPERLINK("https%3A%2F%2Fwww.webofscience.com%2Fwos%2Fwoscc%2Ffull-record%2FWOS:000337983100009","View Full Record in Web of Science")</f>
        <v>View Full Record in Web of Science</v>
      </c>
    </row>
    <row r="383" spans="1:72" x14ac:dyDescent="0.15">
      <c r="A383" t="s">
        <v>72</v>
      </c>
      <c r="B383" t="s">
        <v>7498</v>
      </c>
      <c r="C383" t="s">
        <v>74</v>
      </c>
      <c r="D383" t="s">
        <v>74</v>
      </c>
      <c r="E383" t="s">
        <v>74</v>
      </c>
      <c r="F383" t="s">
        <v>7499</v>
      </c>
      <c r="G383" t="s">
        <v>74</v>
      </c>
      <c r="H383" t="s">
        <v>74</v>
      </c>
      <c r="I383" t="s">
        <v>7500</v>
      </c>
      <c r="J383" t="s">
        <v>4414</v>
      </c>
      <c r="K383" t="s">
        <v>74</v>
      </c>
      <c r="L383" t="s">
        <v>74</v>
      </c>
      <c r="M383" t="s">
        <v>78</v>
      </c>
      <c r="N383" t="s">
        <v>79</v>
      </c>
      <c r="O383" t="s">
        <v>74</v>
      </c>
      <c r="P383" t="s">
        <v>74</v>
      </c>
      <c r="Q383" t="s">
        <v>74</v>
      </c>
      <c r="R383" t="s">
        <v>74</v>
      </c>
      <c r="S383" t="s">
        <v>74</v>
      </c>
      <c r="T383" t="s">
        <v>7501</v>
      </c>
      <c r="U383" t="s">
        <v>7502</v>
      </c>
      <c r="V383" t="s">
        <v>7503</v>
      </c>
      <c r="W383" t="s">
        <v>7504</v>
      </c>
      <c r="X383" t="s">
        <v>7505</v>
      </c>
      <c r="Y383" t="s">
        <v>7506</v>
      </c>
      <c r="Z383" t="s">
        <v>7507</v>
      </c>
      <c r="AA383" t="s">
        <v>7508</v>
      </c>
      <c r="AB383" t="s">
        <v>7509</v>
      </c>
      <c r="AC383" t="s">
        <v>7510</v>
      </c>
      <c r="AD383" t="s">
        <v>7510</v>
      </c>
      <c r="AE383" t="s">
        <v>7511</v>
      </c>
      <c r="AF383" t="s">
        <v>74</v>
      </c>
      <c r="AG383">
        <v>59</v>
      </c>
      <c r="AH383">
        <v>7</v>
      </c>
      <c r="AI383">
        <v>7</v>
      </c>
      <c r="AJ383">
        <v>1</v>
      </c>
      <c r="AK383">
        <v>30</v>
      </c>
      <c r="AL383" t="s">
        <v>123</v>
      </c>
      <c r="AM383" t="s">
        <v>124</v>
      </c>
      <c r="AN383" t="s">
        <v>125</v>
      </c>
      <c r="AO383" t="s">
        <v>4427</v>
      </c>
      <c r="AP383" t="s">
        <v>4428</v>
      </c>
      <c r="AQ383" t="s">
        <v>74</v>
      </c>
      <c r="AR383" t="s">
        <v>4429</v>
      </c>
      <c r="AS383" t="s">
        <v>4430</v>
      </c>
      <c r="AT383" t="s">
        <v>4934</v>
      </c>
      <c r="AU383">
        <v>2014</v>
      </c>
      <c r="AV383">
        <v>136</v>
      </c>
      <c r="AW383" t="s">
        <v>74</v>
      </c>
      <c r="AX383" t="s">
        <v>74</v>
      </c>
      <c r="AY383" t="s">
        <v>74</v>
      </c>
      <c r="AZ383" t="s">
        <v>74</v>
      </c>
      <c r="BA383" t="s">
        <v>74</v>
      </c>
      <c r="BB383">
        <v>31</v>
      </c>
      <c r="BC383">
        <v>41</v>
      </c>
      <c r="BD383" t="s">
        <v>74</v>
      </c>
      <c r="BE383" t="s">
        <v>7512</v>
      </c>
      <c r="BF383" t="str">
        <f>HYPERLINK("http://dx.doi.org/10.1016/j.jmarsys.2014.03.008","http://dx.doi.org/10.1016/j.jmarsys.2014.03.008")</f>
        <v>http://dx.doi.org/10.1016/j.jmarsys.2014.03.008</v>
      </c>
      <c r="BG383" t="s">
        <v>74</v>
      </c>
      <c r="BH383" t="s">
        <v>74</v>
      </c>
      <c r="BI383">
        <v>11</v>
      </c>
      <c r="BJ383" t="s">
        <v>4432</v>
      </c>
      <c r="BK383" t="s">
        <v>102</v>
      </c>
      <c r="BL383" t="s">
        <v>4433</v>
      </c>
      <c r="BM383" t="s">
        <v>7513</v>
      </c>
      <c r="BN383" t="s">
        <v>74</v>
      </c>
      <c r="BO383" t="s">
        <v>74</v>
      </c>
      <c r="BP383" t="s">
        <v>74</v>
      </c>
      <c r="BQ383" t="s">
        <v>74</v>
      </c>
      <c r="BR383" t="s">
        <v>105</v>
      </c>
      <c r="BS383" t="s">
        <v>7514</v>
      </c>
      <c r="BT383" t="str">
        <f>HYPERLINK("https%3A%2F%2Fwww.webofscience.com%2Fwos%2Fwoscc%2Ffull-record%2FWOS:000337865500004","View Full Record in Web of Science")</f>
        <v>View Full Record in Web of Science</v>
      </c>
    </row>
    <row r="384" spans="1:72" x14ac:dyDescent="0.15">
      <c r="A384" t="s">
        <v>72</v>
      </c>
      <c r="B384" t="s">
        <v>7515</v>
      </c>
      <c r="C384" t="s">
        <v>74</v>
      </c>
      <c r="D384" t="s">
        <v>74</v>
      </c>
      <c r="E384" t="s">
        <v>74</v>
      </c>
      <c r="F384" t="s">
        <v>7516</v>
      </c>
      <c r="G384" t="s">
        <v>74</v>
      </c>
      <c r="H384" t="s">
        <v>74</v>
      </c>
      <c r="I384" t="s">
        <v>7517</v>
      </c>
      <c r="J384" t="s">
        <v>1386</v>
      </c>
      <c r="K384" t="s">
        <v>74</v>
      </c>
      <c r="L384" t="s">
        <v>74</v>
      </c>
      <c r="M384" t="s">
        <v>78</v>
      </c>
      <c r="N384" t="s">
        <v>79</v>
      </c>
      <c r="O384" t="s">
        <v>74</v>
      </c>
      <c r="P384" t="s">
        <v>74</v>
      </c>
      <c r="Q384" t="s">
        <v>74</v>
      </c>
      <c r="R384" t="s">
        <v>74</v>
      </c>
      <c r="S384" t="s">
        <v>74</v>
      </c>
      <c r="T384" t="s">
        <v>7518</v>
      </c>
      <c r="U384" t="s">
        <v>7519</v>
      </c>
      <c r="V384" t="s">
        <v>7520</v>
      </c>
      <c r="W384" t="s">
        <v>7521</v>
      </c>
      <c r="X384" t="s">
        <v>1022</v>
      </c>
      <c r="Y384" t="s">
        <v>7522</v>
      </c>
      <c r="Z384" t="s">
        <v>7523</v>
      </c>
      <c r="AA384" t="s">
        <v>74</v>
      </c>
      <c r="AB384" t="s">
        <v>7524</v>
      </c>
      <c r="AC384" t="s">
        <v>74</v>
      </c>
      <c r="AD384" t="s">
        <v>74</v>
      </c>
      <c r="AE384" t="s">
        <v>74</v>
      </c>
      <c r="AF384" t="s">
        <v>74</v>
      </c>
      <c r="AG384">
        <v>87</v>
      </c>
      <c r="AH384">
        <v>2</v>
      </c>
      <c r="AI384">
        <v>2</v>
      </c>
      <c r="AJ384">
        <v>0</v>
      </c>
      <c r="AK384">
        <v>27</v>
      </c>
      <c r="AL384" t="s">
        <v>753</v>
      </c>
      <c r="AM384" t="s">
        <v>124</v>
      </c>
      <c r="AN384" t="s">
        <v>754</v>
      </c>
      <c r="AO384" t="s">
        <v>1397</v>
      </c>
      <c r="AP384" t="s">
        <v>1398</v>
      </c>
      <c r="AQ384" t="s">
        <v>74</v>
      </c>
      <c r="AR384" t="s">
        <v>1399</v>
      </c>
      <c r="AS384" t="s">
        <v>1400</v>
      </c>
      <c r="AT384" t="s">
        <v>4956</v>
      </c>
      <c r="AU384">
        <v>2014</v>
      </c>
      <c r="AV384">
        <v>407</v>
      </c>
      <c r="AW384" t="s">
        <v>74</v>
      </c>
      <c r="AX384" t="s">
        <v>74</v>
      </c>
      <c r="AY384" t="s">
        <v>74</v>
      </c>
      <c r="AZ384" t="s">
        <v>74</v>
      </c>
      <c r="BA384" t="s">
        <v>74</v>
      </c>
      <c r="BB384">
        <v>14</v>
      </c>
      <c r="BC384">
        <v>24</v>
      </c>
      <c r="BD384" t="s">
        <v>74</v>
      </c>
      <c r="BE384" t="s">
        <v>7525</v>
      </c>
      <c r="BF384" t="str">
        <f>HYPERLINK("http://dx.doi.org/10.1016/j.palaeo.2014.03.039","http://dx.doi.org/10.1016/j.palaeo.2014.03.039")</f>
        <v>http://dx.doi.org/10.1016/j.palaeo.2014.03.039</v>
      </c>
      <c r="BG384" t="s">
        <v>74</v>
      </c>
      <c r="BH384" t="s">
        <v>74</v>
      </c>
      <c r="BI384">
        <v>11</v>
      </c>
      <c r="BJ384" t="s">
        <v>1402</v>
      </c>
      <c r="BK384" t="s">
        <v>102</v>
      </c>
      <c r="BL384" t="s">
        <v>1403</v>
      </c>
      <c r="BM384" t="s">
        <v>7273</v>
      </c>
      <c r="BN384" t="s">
        <v>74</v>
      </c>
      <c r="BO384" t="s">
        <v>359</v>
      </c>
      <c r="BP384" t="s">
        <v>74</v>
      </c>
      <c r="BQ384" t="s">
        <v>74</v>
      </c>
      <c r="BR384" t="s">
        <v>105</v>
      </c>
      <c r="BS384" t="s">
        <v>7526</v>
      </c>
      <c r="BT384" t="str">
        <f>HYPERLINK("https%3A%2F%2Fwww.webofscience.com%2Fwos%2Fwoscc%2Ffull-record%2FWOS:000337777500002","View Full Record in Web of Science")</f>
        <v>View Full Record in Web of Science</v>
      </c>
    </row>
    <row r="385" spans="1:72" x14ac:dyDescent="0.15">
      <c r="A385" t="s">
        <v>72</v>
      </c>
      <c r="B385" t="s">
        <v>7527</v>
      </c>
      <c r="C385" t="s">
        <v>74</v>
      </c>
      <c r="D385" t="s">
        <v>74</v>
      </c>
      <c r="E385" t="s">
        <v>74</v>
      </c>
      <c r="F385" t="s">
        <v>7528</v>
      </c>
      <c r="G385" t="s">
        <v>74</v>
      </c>
      <c r="H385" t="s">
        <v>74</v>
      </c>
      <c r="I385" t="s">
        <v>7529</v>
      </c>
      <c r="J385" t="s">
        <v>2342</v>
      </c>
      <c r="K385" t="s">
        <v>74</v>
      </c>
      <c r="L385" t="s">
        <v>74</v>
      </c>
      <c r="M385" t="s">
        <v>78</v>
      </c>
      <c r="N385" t="s">
        <v>79</v>
      </c>
      <c r="O385" t="s">
        <v>74</v>
      </c>
      <c r="P385" t="s">
        <v>74</v>
      </c>
      <c r="Q385" t="s">
        <v>74</v>
      </c>
      <c r="R385" t="s">
        <v>74</v>
      </c>
      <c r="S385" t="s">
        <v>74</v>
      </c>
      <c r="T385" t="s">
        <v>7530</v>
      </c>
      <c r="U385" t="s">
        <v>7531</v>
      </c>
      <c r="V385" t="s">
        <v>7532</v>
      </c>
      <c r="W385" t="s">
        <v>7533</v>
      </c>
      <c r="X385" t="s">
        <v>7534</v>
      </c>
      <c r="Y385" t="s">
        <v>7535</v>
      </c>
      <c r="Z385" t="s">
        <v>7536</v>
      </c>
      <c r="AA385" t="s">
        <v>7537</v>
      </c>
      <c r="AB385" t="s">
        <v>7538</v>
      </c>
      <c r="AC385" t="s">
        <v>7539</v>
      </c>
      <c r="AD385" t="s">
        <v>7540</v>
      </c>
      <c r="AE385" t="s">
        <v>7541</v>
      </c>
      <c r="AF385" t="s">
        <v>74</v>
      </c>
      <c r="AG385">
        <v>47</v>
      </c>
      <c r="AH385">
        <v>4</v>
      </c>
      <c r="AI385">
        <v>4</v>
      </c>
      <c r="AJ385">
        <v>0</v>
      </c>
      <c r="AK385">
        <v>14</v>
      </c>
      <c r="AL385" t="s">
        <v>2353</v>
      </c>
      <c r="AM385" t="s">
        <v>576</v>
      </c>
      <c r="AN385" t="s">
        <v>2354</v>
      </c>
      <c r="AO385" t="s">
        <v>2355</v>
      </c>
      <c r="AP385" t="s">
        <v>2356</v>
      </c>
      <c r="AQ385" t="s">
        <v>74</v>
      </c>
      <c r="AR385" t="s">
        <v>2357</v>
      </c>
      <c r="AS385" t="s">
        <v>2358</v>
      </c>
      <c r="AT385" t="s">
        <v>4934</v>
      </c>
      <c r="AU385">
        <v>2014</v>
      </c>
      <c r="AV385">
        <v>94</v>
      </c>
      <c r="AW385">
        <v>5</v>
      </c>
      <c r="AX385" t="s">
        <v>74</v>
      </c>
      <c r="AY385" t="s">
        <v>74</v>
      </c>
      <c r="AZ385" t="s">
        <v>74</v>
      </c>
      <c r="BA385" t="s">
        <v>74</v>
      </c>
      <c r="BB385">
        <v>1019</v>
      </c>
      <c r="BC385">
        <v>1026</v>
      </c>
      <c r="BD385" t="s">
        <v>74</v>
      </c>
      <c r="BE385" t="s">
        <v>7542</v>
      </c>
      <c r="BF385" t="str">
        <f>HYPERLINK("http://dx.doi.org/10.1017/S0025315414000496","http://dx.doi.org/10.1017/S0025315414000496")</f>
        <v>http://dx.doi.org/10.1017/S0025315414000496</v>
      </c>
      <c r="BG385" t="s">
        <v>74</v>
      </c>
      <c r="BH385" t="s">
        <v>74</v>
      </c>
      <c r="BI385">
        <v>8</v>
      </c>
      <c r="BJ385" t="s">
        <v>130</v>
      </c>
      <c r="BK385" t="s">
        <v>102</v>
      </c>
      <c r="BL385" t="s">
        <v>130</v>
      </c>
      <c r="BM385" t="s">
        <v>7543</v>
      </c>
      <c r="BN385" t="s">
        <v>74</v>
      </c>
      <c r="BO385" t="s">
        <v>74</v>
      </c>
      <c r="BP385" t="s">
        <v>74</v>
      </c>
      <c r="BQ385" t="s">
        <v>74</v>
      </c>
      <c r="BR385" t="s">
        <v>105</v>
      </c>
      <c r="BS385" t="s">
        <v>7544</v>
      </c>
      <c r="BT385" t="str">
        <f>HYPERLINK("https%3A%2F%2Fwww.webofscience.com%2Fwos%2Fwoscc%2Ffull-record%2FWOS:000337761300016","View Full Record in Web of Science")</f>
        <v>View Full Record in Web of Science</v>
      </c>
    </row>
    <row r="386" spans="1:72" x14ac:dyDescent="0.15">
      <c r="A386" t="s">
        <v>72</v>
      </c>
      <c r="B386" t="s">
        <v>7545</v>
      </c>
      <c r="C386" t="s">
        <v>74</v>
      </c>
      <c r="D386" t="s">
        <v>74</v>
      </c>
      <c r="E386" t="s">
        <v>74</v>
      </c>
      <c r="F386" t="s">
        <v>7546</v>
      </c>
      <c r="G386" t="s">
        <v>74</v>
      </c>
      <c r="H386" t="s">
        <v>74</v>
      </c>
      <c r="I386" t="s">
        <v>7547</v>
      </c>
      <c r="J386" t="s">
        <v>7548</v>
      </c>
      <c r="K386" t="s">
        <v>74</v>
      </c>
      <c r="L386" t="s">
        <v>74</v>
      </c>
      <c r="M386" t="s">
        <v>78</v>
      </c>
      <c r="N386" t="s">
        <v>79</v>
      </c>
      <c r="O386" t="s">
        <v>74</v>
      </c>
      <c r="P386" t="s">
        <v>74</v>
      </c>
      <c r="Q386" t="s">
        <v>74</v>
      </c>
      <c r="R386" t="s">
        <v>74</v>
      </c>
      <c r="S386" t="s">
        <v>74</v>
      </c>
      <c r="T386" t="s">
        <v>7549</v>
      </c>
      <c r="U386" t="s">
        <v>7550</v>
      </c>
      <c r="V386" t="s">
        <v>7551</v>
      </c>
      <c r="W386" t="s">
        <v>7552</v>
      </c>
      <c r="X386" t="s">
        <v>7553</v>
      </c>
      <c r="Y386" t="s">
        <v>7554</v>
      </c>
      <c r="Z386" t="s">
        <v>7555</v>
      </c>
      <c r="AA386" t="s">
        <v>7556</v>
      </c>
      <c r="AB386" t="s">
        <v>7557</v>
      </c>
      <c r="AC386" t="s">
        <v>7558</v>
      </c>
      <c r="AD386" t="s">
        <v>7558</v>
      </c>
      <c r="AE386" t="s">
        <v>7559</v>
      </c>
      <c r="AF386" t="s">
        <v>74</v>
      </c>
      <c r="AG386">
        <v>82</v>
      </c>
      <c r="AH386">
        <v>5</v>
      </c>
      <c r="AI386">
        <v>6</v>
      </c>
      <c r="AJ386">
        <v>1</v>
      </c>
      <c r="AK386">
        <v>34</v>
      </c>
      <c r="AL386" t="s">
        <v>123</v>
      </c>
      <c r="AM386" t="s">
        <v>124</v>
      </c>
      <c r="AN386" t="s">
        <v>125</v>
      </c>
      <c r="AO386" t="s">
        <v>7560</v>
      </c>
      <c r="AP386" t="s">
        <v>7561</v>
      </c>
      <c r="AQ386" t="s">
        <v>74</v>
      </c>
      <c r="AR386" t="s">
        <v>7562</v>
      </c>
      <c r="AS386" t="s">
        <v>7563</v>
      </c>
      <c r="AT386" t="s">
        <v>4934</v>
      </c>
      <c r="AU386">
        <v>2014</v>
      </c>
      <c r="AV386">
        <v>43</v>
      </c>
      <c r="AW386" t="s">
        <v>74</v>
      </c>
      <c r="AX386" t="s">
        <v>74</v>
      </c>
      <c r="AY386" t="s">
        <v>74</v>
      </c>
      <c r="AZ386" t="s">
        <v>74</v>
      </c>
      <c r="BA386" t="s">
        <v>74</v>
      </c>
      <c r="BB386">
        <v>244</v>
      </c>
      <c r="BC386">
        <v>251</v>
      </c>
      <c r="BD386" t="s">
        <v>74</v>
      </c>
      <c r="BE386" t="s">
        <v>7564</v>
      </c>
      <c r="BF386" t="str">
        <f>HYPERLINK("http://dx.doi.org/10.1016/j.ecolind.2014.02.025","http://dx.doi.org/10.1016/j.ecolind.2014.02.025")</f>
        <v>http://dx.doi.org/10.1016/j.ecolind.2014.02.025</v>
      </c>
      <c r="BG386" t="s">
        <v>74</v>
      </c>
      <c r="BH386" t="s">
        <v>74</v>
      </c>
      <c r="BI386">
        <v>8</v>
      </c>
      <c r="BJ386" t="s">
        <v>7565</v>
      </c>
      <c r="BK386" t="s">
        <v>102</v>
      </c>
      <c r="BL386" t="s">
        <v>785</v>
      </c>
      <c r="BM386" t="s">
        <v>7566</v>
      </c>
      <c r="BN386" t="s">
        <v>74</v>
      </c>
      <c r="BO386" t="s">
        <v>74</v>
      </c>
      <c r="BP386" t="s">
        <v>74</v>
      </c>
      <c r="BQ386" t="s">
        <v>74</v>
      </c>
      <c r="BR386" t="s">
        <v>105</v>
      </c>
      <c r="BS386" t="s">
        <v>7567</v>
      </c>
      <c r="BT386" t="str">
        <f>HYPERLINK("https%3A%2F%2Fwww.webofscience.com%2Fwos%2Fwoscc%2Ffull-record%2FWOS:000336952300024","View Full Record in Web of Science")</f>
        <v>View Full Record in Web of Science</v>
      </c>
    </row>
    <row r="387" spans="1:72" x14ac:dyDescent="0.15">
      <c r="A387" t="s">
        <v>72</v>
      </c>
      <c r="B387" t="s">
        <v>7568</v>
      </c>
      <c r="C387" t="s">
        <v>74</v>
      </c>
      <c r="D387" t="s">
        <v>74</v>
      </c>
      <c r="E387" t="s">
        <v>74</v>
      </c>
      <c r="F387" t="s">
        <v>7569</v>
      </c>
      <c r="G387" t="s">
        <v>74</v>
      </c>
      <c r="H387" t="s">
        <v>74</v>
      </c>
      <c r="I387" t="s">
        <v>7570</v>
      </c>
      <c r="J387" t="s">
        <v>7571</v>
      </c>
      <c r="K387" t="s">
        <v>74</v>
      </c>
      <c r="L387" t="s">
        <v>74</v>
      </c>
      <c r="M387" t="s">
        <v>78</v>
      </c>
      <c r="N387" t="s">
        <v>79</v>
      </c>
      <c r="O387" t="s">
        <v>74</v>
      </c>
      <c r="P387" t="s">
        <v>74</v>
      </c>
      <c r="Q387" t="s">
        <v>74</v>
      </c>
      <c r="R387" t="s">
        <v>74</v>
      </c>
      <c r="S387" t="s">
        <v>74</v>
      </c>
      <c r="T387" t="s">
        <v>7572</v>
      </c>
      <c r="U387" t="s">
        <v>7573</v>
      </c>
      <c r="V387" t="s">
        <v>7574</v>
      </c>
      <c r="W387" t="s">
        <v>7575</v>
      </c>
      <c r="X387" t="s">
        <v>7576</v>
      </c>
      <c r="Y387" t="s">
        <v>7577</v>
      </c>
      <c r="Z387" t="s">
        <v>7578</v>
      </c>
      <c r="AA387" t="s">
        <v>7579</v>
      </c>
      <c r="AB387" t="s">
        <v>7580</v>
      </c>
      <c r="AC387" t="s">
        <v>7581</v>
      </c>
      <c r="AD387" t="s">
        <v>7581</v>
      </c>
      <c r="AE387" t="s">
        <v>7582</v>
      </c>
      <c r="AF387" t="s">
        <v>74</v>
      </c>
      <c r="AG387">
        <v>39</v>
      </c>
      <c r="AH387">
        <v>32</v>
      </c>
      <c r="AI387">
        <v>37</v>
      </c>
      <c r="AJ387">
        <v>1</v>
      </c>
      <c r="AK387">
        <v>66</v>
      </c>
      <c r="AL387" t="s">
        <v>753</v>
      </c>
      <c r="AM387" t="s">
        <v>124</v>
      </c>
      <c r="AN387" t="s">
        <v>754</v>
      </c>
      <c r="AO387" t="s">
        <v>7583</v>
      </c>
      <c r="AP387" t="s">
        <v>7584</v>
      </c>
      <c r="AQ387" t="s">
        <v>74</v>
      </c>
      <c r="AR387" t="s">
        <v>7585</v>
      </c>
      <c r="AS387" t="s">
        <v>7586</v>
      </c>
      <c r="AT387" t="s">
        <v>4934</v>
      </c>
      <c r="AU387">
        <v>2014</v>
      </c>
      <c r="AV387">
        <v>30</v>
      </c>
      <c r="AW387" t="s">
        <v>74</v>
      </c>
      <c r="AX387" t="s">
        <v>74</v>
      </c>
      <c r="AY387" t="s">
        <v>74</v>
      </c>
      <c r="AZ387" t="s">
        <v>74</v>
      </c>
      <c r="BA387" t="s">
        <v>74</v>
      </c>
      <c r="BB387">
        <v>76</v>
      </c>
      <c r="BC387">
        <v>85</v>
      </c>
      <c r="BD387" t="s">
        <v>74</v>
      </c>
      <c r="BE387" t="s">
        <v>7587</v>
      </c>
      <c r="BF387" t="str">
        <f>HYPERLINK("http://dx.doi.org/10.1016/j.jag.2014.01.010","http://dx.doi.org/10.1016/j.jag.2014.01.010")</f>
        <v>http://dx.doi.org/10.1016/j.jag.2014.01.010</v>
      </c>
      <c r="BG387" t="s">
        <v>74</v>
      </c>
      <c r="BH387" t="s">
        <v>74</v>
      </c>
      <c r="BI387">
        <v>10</v>
      </c>
      <c r="BJ387" t="s">
        <v>557</v>
      </c>
      <c r="BK387" t="s">
        <v>102</v>
      </c>
      <c r="BL387" t="s">
        <v>557</v>
      </c>
      <c r="BM387" t="s">
        <v>7588</v>
      </c>
      <c r="BN387" t="s">
        <v>74</v>
      </c>
      <c r="BO387" t="s">
        <v>74</v>
      </c>
      <c r="BP387" t="s">
        <v>74</v>
      </c>
      <c r="BQ387" t="s">
        <v>74</v>
      </c>
      <c r="BR387" t="s">
        <v>105</v>
      </c>
      <c r="BS387" t="s">
        <v>7589</v>
      </c>
      <c r="BT387" t="str">
        <f>HYPERLINK("https%3A%2F%2Fwww.webofscience.com%2Fwos%2Fwoscc%2Ffull-record%2FWOS:000335625000008","View Full Record in Web of Science")</f>
        <v>View Full Record in Web of Science</v>
      </c>
    </row>
    <row r="388" spans="1:72" x14ac:dyDescent="0.15">
      <c r="A388" t="s">
        <v>72</v>
      </c>
      <c r="B388" t="s">
        <v>7590</v>
      </c>
      <c r="C388" t="s">
        <v>74</v>
      </c>
      <c r="D388" t="s">
        <v>74</v>
      </c>
      <c r="E388" t="s">
        <v>74</v>
      </c>
      <c r="F388" t="s">
        <v>7591</v>
      </c>
      <c r="G388" t="s">
        <v>74</v>
      </c>
      <c r="H388" t="s">
        <v>74</v>
      </c>
      <c r="I388" t="s">
        <v>7592</v>
      </c>
      <c r="J388" t="s">
        <v>7571</v>
      </c>
      <c r="K388" t="s">
        <v>74</v>
      </c>
      <c r="L388" t="s">
        <v>74</v>
      </c>
      <c r="M388" t="s">
        <v>78</v>
      </c>
      <c r="N388" t="s">
        <v>79</v>
      </c>
      <c r="O388" t="s">
        <v>74</v>
      </c>
      <c r="P388" t="s">
        <v>74</v>
      </c>
      <c r="Q388" t="s">
        <v>74</v>
      </c>
      <c r="R388" t="s">
        <v>74</v>
      </c>
      <c r="S388" t="s">
        <v>74</v>
      </c>
      <c r="T388" t="s">
        <v>7593</v>
      </c>
      <c r="U388" t="s">
        <v>7594</v>
      </c>
      <c r="V388" t="s">
        <v>7595</v>
      </c>
      <c r="W388" t="s">
        <v>7596</v>
      </c>
      <c r="X388" t="s">
        <v>7597</v>
      </c>
      <c r="Y388" t="s">
        <v>7598</v>
      </c>
      <c r="Z388" t="s">
        <v>7599</v>
      </c>
      <c r="AA388" t="s">
        <v>7600</v>
      </c>
      <c r="AB388" t="s">
        <v>7601</v>
      </c>
      <c r="AC388" t="s">
        <v>7602</v>
      </c>
      <c r="AD388" t="s">
        <v>7603</v>
      </c>
      <c r="AE388" t="s">
        <v>7604</v>
      </c>
      <c r="AF388" t="s">
        <v>74</v>
      </c>
      <c r="AG388">
        <v>38</v>
      </c>
      <c r="AH388">
        <v>1</v>
      </c>
      <c r="AI388">
        <v>2</v>
      </c>
      <c r="AJ388">
        <v>5</v>
      </c>
      <c r="AK388">
        <v>49</v>
      </c>
      <c r="AL388" t="s">
        <v>753</v>
      </c>
      <c r="AM388" t="s">
        <v>124</v>
      </c>
      <c r="AN388" t="s">
        <v>754</v>
      </c>
      <c r="AO388" t="s">
        <v>7605</v>
      </c>
      <c r="AP388" t="s">
        <v>74</v>
      </c>
      <c r="AQ388" t="s">
        <v>74</v>
      </c>
      <c r="AR388" t="s">
        <v>7585</v>
      </c>
      <c r="AS388" t="s">
        <v>7586</v>
      </c>
      <c r="AT388" t="s">
        <v>4934</v>
      </c>
      <c r="AU388">
        <v>2014</v>
      </c>
      <c r="AV388">
        <v>30</v>
      </c>
      <c r="AW388" t="s">
        <v>74</v>
      </c>
      <c r="AX388" t="s">
        <v>74</v>
      </c>
      <c r="AY388" t="s">
        <v>74</v>
      </c>
      <c r="AZ388" t="s">
        <v>74</v>
      </c>
      <c r="BA388" t="s">
        <v>74</v>
      </c>
      <c r="BB388">
        <v>86</v>
      </c>
      <c r="BC388">
        <v>97</v>
      </c>
      <c r="BD388" t="s">
        <v>74</v>
      </c>
      <c r="BE388" t="s">
        <v>7606</v>
      </c>
      <c r="BF388" t="str">
        <f>HYPERLINK("http://dx.doi.org/10.1016/j.jag.2014.01.003","http://dx.doi.org/10.1016/j.jag.2014.01.003")</f>
        <v>http://dx.doi.org/10.1016/j.jag.2014.01.003</v>
      </c>
      <c r="BG388" t="s">
        <v>74</v>
      </c>
      <c r="BH388" t="s">
        <v>74</v>
      </c>
      <c r="BI388">
        <v>12</v>
      </c>
      <c r="BJ388" t="s">
        <v>557</v>
      </c>
      <c r="BK388" t="s">
        <v>102</v>
      </c>
      <c r="BL388" t="s">
        <v>557</v>
      </c>
      <c r="BM388" t="s">
        <v>7588</v>
      </c>
      <c r="BN388" t="s">
        <v>74</v>
      </c>
      <c r="BO388" t="s">
        <v>1274</v>
      </c>
      <c r="BP388" t="s">
        <v>74</v>
      </c>
      <c r="BQ388" t="s">
        <v>74</v>
      </c>
      <c r="BR388" t="s">
        <v>105</v>
      </c>
      <c r="BS388" t="s">
        <v>7607</v>
      </c>
      <c r="BT388" t="str">
        <f>HYPERLINK("https%3A%2F%2Fwww.webofscience.com%2Fwos%2Fwoscc%2Ffull-record%2FWOS:000335625000009","View Full Record in Web of Science")</f>
        <v>View Full Record in Web of Science</v>
      </c>
    </row>
    <row r="389" spans="1:72" x14ac:dyDescent="0.15">
      <c r="A389" t="s">
        <v>72</v>
      </c>
      <c r="B389" t="s">
        <v>7608</v>
      </c>
      <c r="C389" t="s">
        <v>74</v>
      </c>
      <c r="D389" t="s">
        <v>74</v>
      </c>
      <c r="E389" t="s">
        <v>74</v>
      </c>
      <c r="F389" t="s">
        <v>7609</v>
      </c>
      <c r="G389" t="s">
        <v>74</v>
      </c>
      <c r="H389" t="s">
        <v>74</v>
      </c>
      <c r="I389" t="s">
        <v>7610</v>
      </c>
      <c r="J389" t="s">
        <v>1129</v>
      </c>
      <c r="K389" t="s">
        <v>74</v>
      </c>
      <c r="L389" t="s">
        <v>74</v>
      </c>
      <c r="M389" t="s">
        <v>78</v>
      </c>
      <c r="N389" t="s">
        <v>79</v>
      </c>
      <c r="O389" t="s">
        <v>74</v>
      </c>
      <c r="P389" t="s">
        <v>74</v>
      </c>
      <c r="Q389" t="s">
        <v>74</v>
      </c>
      <c r="R389" t="s">
        <v>74</v>
      </c>
      <c r="S389" t="s">
        <v>74</v>
      </c>
      <c r="T389" t="s">
        <v>74</v>
      </c>
      <c r="U389" t="s">
        <v>7611</v>
      </c>
      <c r="V389" t="s">
        <v>7612</v>
      </c>
      <c r="W389" t="s">
        <v>7613</v>
      </c>
      <c r="X389" t="s">
        <v>7614</v>
      </c>
      <c r="Y389" t="s">
        <v>7615</v>
      </c>
      <c r="Z389" t="s">
        <v>7616</v>
      </c>
      <c r="AA389" t="s">
        <v>7617</v>
      </c>
      <c r="AB389" t="s">
        <v>7618</v>
      </c>
      <c r="AC389" t="s">
        <v>7619</v>
      </c>
      <c r="AD389" t="s">
        <v>7620</v>
      </c>
      <c r="AE389" t="s">
        <v>7621</v>
      </c>
      <c r="AF389" t="s">
        <v>74</v>
      </c>
      <c r="AG389">
        <v>46</v>
      </c>
      <c r="AH389">
        <v>122</v>
      </c>
      <c r="AI389">
        <v>137</v>
      </c>
      <c r="AJ389">
        <v>4</v>
      </c>
      <c r="AK389">
        <v>120</v>
      </c>
      <c r="AL389" t="s">
        <v>653</v>
      </c>
      <c r="AM389" t="s">
        <v>654</v>
      </c>
      <c r="AN389" t="s">
        <v>655</v>
      </c>
      <c r="AO389" t="s">
        <v>1135</v>
      </c>
      <c r="AP389" t="s">
        <v>1136</v>
      </c>
      <c r="AQ389" t="s">
        <v>74</v>
      </c>
      <c r="AR389" t="s">
        <v>1129</v>
      </c>
      <c r="AS389" t="s">
        <v>1137</v>
      </c>
      <c r="AT389" t="s">
        <v>7622</v>
      </c>
      <c r="AU389">
        <v>2014</v>
      </c>
      <c r="AV389">
        <v>511</v>
      </c>
      <c r="AW389">
        <v>7511</v>
      </c>
      <c r="AX389" t="s">
        <v>74</v>
      </c>
      <c r="AY389" t="s">
        <v>74</v>
      </c>
      <c r="AZ389" t="s">
        <v>74</v>
      </c>
      <c r="BA389" t="s">
        <v>74</v>
      </c>
      <c r="BB389">
        <v>574</v>
      </c>
      <c r="BC389" t="s">
        <v>4545</v>
      </c>
      <c r="BD389" t="s">
        <v>74</v>
      </c>
      <c r="BE389" t="s">
        <v>7623</v>
      </c>
      <c r="BF389" t="str">
        <f>HYPERLINK("http://dx.doi.org/10.1038/nature13597","http://dx.doi.org/10.1038/nature13597")</f>
        <v>http://dx.doi.org/10.1038/nature13597</v>
      </c>
      <c r="BG389" t="s">
        <v>74</v>
      </c>
      <c r="BH389" t="s">
        <v>74</v>
      </c>
      <c r="BI389">
        <v>15</v>
      </c>
      <c r="BJ389" t="s">
        <v>660</v>
      </c>
      <c r="BK389" t="s">
        <v>102</v>
      </c>
      <c r="BL389" t="s">
        <v>661</v>
      </c>
      <c r="BM389" t="s">
        <v>7624</v>
      </c>
      <c r="BN389">
        <v>25079555</v>
      </c>
      <c r="BO389" t="s">
        <v>74</v>
      </c>
      <c r="BP389" t="s">
        <v>74</v>
      </c>
      <c r="BQ389" t="s">
        <v>74</v>
      </c>
      <c r="BR389" t="s">
        <v>105</v>
      </c>
      <c r="BS389" t="s">
        <v>7625</v>
      </c>
      <c r="BT389" t="str">
        <f>HYPERLINK("https%3A%2F%2Fwww.webofscience.com%2Fwos%2Fwoscc%2Ffull-record%2FWOS:000339566300031","View Full Record in Web of Science")</f>
        <v>View Full Record in Web of Science</v>
      </c>
    </row>
    <row r="390" spans="1:72" x14ac:dyDescent="0.15">
      <c r="A390" t="s">
        <v>72</v>
      </c>
      <c r="B390" t="s">
        <v>7626</v>
      </c>
      <c r="C390" t="s">
        <v>74</v>
      </c>
      <c r="D390" t="s">
        <v>74</v>
      </c>
      <c r="E390" t="s">
        <v>74</v>
      </c>
      <c r="F390" t="s">
        <v>7627</v>
      </c>
      <c r="G390" t="s">
        <v>74</v>
      </c>
      <c r="H390" t="s">
        <v>74</v>
      </c>
      <c r="I390" t="s">
        <v>7628</v>
      </c>
      <c r="J390" t="s">
        <v>1129</v>
      </c>
      <c r="K390" t="s">
        <v>74</v>
      </c>
      <c r="L390" t="s">
        <v>74</v>
      </c>
      <c r="M390" t="s">
        <v>78</v>
      </c>
      <c r="N390" t="s">
        <v>1516</v>
      </c>
      <c r="O390" t="s">
        <v>74</v>
      </c>
      <c r="P390" t="s">
        <v>74</v>
      </c>
      <c r="Q390" t="s">
        <v>74</v>
      </c>
      <c r="R390" t="s">
        <v>74</v>
      </c>
      <c r="S390" t="s">
        <v>74</v>
      </c>
      <c r="T390" t="s">
        <v>74</v>
      </c>
      <c r="U390" t="s">
        <v>74</v>
      </c>
      <c r="V390" t="s">
        <v>74</v>
      </c>
      <c r="W390" t="s">
        <v>7629</v>
      </c>
      <c r="X390" t="s">
        <v>7630</v>
      </c>
      <c r="Y390" t="s">
        <v>7631</v>
      </c>
      <c r="Z390" t="s">
        <v>7632</v>
      </c>
      <c r="AA390" t="s">
        <v>7633</v>
      </c>
      <c r="AB390" t="s">
        <v>7634</v>
      </c>
      <c r="AC390" t="s">
        <v>7635</v>
      </c>
      <c r="AD390" t="s">
        <v>3836</v>
      </c>
      <c r="AE390" t="s">
        <v>74</v>
      </c>
      <c r="AF390" t="s">
        <v>74</v>
      </c>
      <c r="AG390">
        <v>10</v>
      </c>
      <c r="AH390">
        <v>0</v>
      </c>
      <c r="AI390">
        <v>0</v>
      </c>
      <c r="AJ390">
        <v>0</v>
      </c>
      <c r="AK390">
        <v>27</v>
      </c>
      <c r="AL390" t="s">
        <v>653</v>
      </c>
      <c r="AM390" t="s">
        <v>654</v>
      </c>
      <c r="AN390" t="s">
        <v>655</v>
      </c>
      <c r="AO390" t="s">
        <v>1135</v>
      </c>
      <c r="AP390" t="s">
        <v>1136</v>
      </c>
      <c r="AQ390" t="s">
        <v>74</v>
      </c>
      <c r="AR390" t="s">
        <v>1129</v>
      </c>
      <c r="AS390" t="s">
        <v>1137</v>
      </c>
      <c r="AT390" t="s">
        <v>7622</v>
      </c>
      <c r="AU390">
        <v>2014</v>
      </c>
      <c r="AV390">
        <v>511</v>
      </c>
      <c r="AW390">
        <v>7511</v>
      </c>
      <c r="AX390" t="s">
        <v>74</v>
      </c>
      <c r="AY390" t="s">
        <v>74</v>
      </c>
      <c r="AZ390" t="s">
        <v>74</v>
      </c>
      <c r="BA390" t="s">
        <v>74</v>
      </c>
      <c r="BB390">
        <v>536</v>
      </c>
      <c r="BC390">
        <v>537</v>
      </c>
      <c r="BD390" t="s">
        <v>74</v>
      </c>
      <c r="BE390" t="s">
        <v>7636</v>
      </c>
      <c r="BF390" t="str">
        <f>HYPERLINK("http://dx.doi.org/10.1038/511536a","http://dx.doi.org/10.1038/511536a")</f>
        <v>http://dx.doi.org/10.1038/511536a</v>
      </c>
      <c r="BG390" t="s">
        <v>74</v>
      </c>
      <c r="BH390" t="s">
        <v>74</v>
      </c>
      <c r="BI390">
        <v>2</v>
      </c>
      <c r="BJ390" t="s">
        <v>660</v>
      </c>
      <c r="BK390" t="s">
        <v>102</v>
      </c>
      <c r="BL390" t="s">
        <v>661</v>
      </c>
      <c r="BM390" t="s">
        <v>7624</v>
      </c>
      <c r="BN390">
        <v>25079547</v>
      </c>
      <c r="BO390" t="s">
        <v>74</v>
      </c>
      <c r="BP390" t="s">
        <v>74</v>
      </c>
      <c r="BQ390" t="s">
        <v>74</v>
      </c>
      <c r="BR390" t="s">
        <v>105</v>
      </c>
      <c r="BS390" t="s">
        <v>7637</v>
      </c>
      <c r="BT390" t="str">
        <f>HYPERLINK("https%3A%2F%2Fwww.webofscience.com%2Fwos%2Fwoscc%2Ffull-record%2FWOS:000339566300019","View Full Record in Web of Science")</f>
        <v>View Full Record in Web of Science</v>
      </c>
    </row>
    <row r="391" spans="1:72" x14ac:dyDescent="0.15">
      <c r="A391" t="s">
        <v>72</v>
      </c>
      <c r="B391" t="s">
        <v>7638</v>
      </c>
      <c r="C391" t="s">
        <v>74</v>
      </c>
      <c r="D391" t="s">
        <v>74</v>
      </c>
      <c r="E391" t="s">
        <v>74</v>
      </c>
      <c r="F391" t="s">
        <v>7639</v>
      </c>
      <c r="G391" t="s">
        <v>74</v>
      </c>
      <c r="H391" t="s">
        <v>74</v>
      </c>
      <c r="I391" t="s">
        <v>7640</v>
      </c>
      <c r="J391" t="s">
        <v>1083</v>
      </c>
      <c r="K391" t="s">
        <v>74</v>
      </c>
      <c r="L391" t="s">
        <v>74</v>
      </c>
      <c r="M391" t="s">
        <v>78</v>
      </c>
      <c r="N391" t="s">
        <v>79</v>
      </c>
      <c r="O391" t="s">
        <v>74</v>
      </c>
      <c r="P391" t="s">
        <v>74</v>
      </c>
      <c r="Q391" t="s">
        <v>74</v>
      </c>
      <c r="R391" t="s">
        <v>74</v>
      </c>
      <c r="S391" t="s">
        <v>74</v>
      </c>
      <c r="T391" t="s">
        <v>74</v>
      </c>
      <c r="U391" t="s">
        <v>7641</v>
      </c>
      <c r="V391" t="s">
        <v>7642</v>
      </c>
      <c r="W391" t="s">
        <v>7643</v>
      </c>
      <c r="X391" t="s">
        <v>7644</v>
      </c>
      <c r="Y391" t="s">
        <v>7645</v>
      </c>
      <c r="Z391" t="s">
        <v>7646</v>
      </c>
      <c r="AA391" t="s">
        <v>7647</v>
      </c>
      <c r="AB391" t="s">
        <v>7648</v>
      </c>
      <c r="AC391" t="s">
        <v>7649</v>
      </c>
      <c r="AD391" t="s">
        <v>7650</v>
      </c>
      <c r="AE391" t="s">
        <v>7651</v>
      </c>
      <c r="AF391" t="s">
        <v>74</v>
      </c>
      <c r="AG391">
        <v>67</v>
      </c>
      <c r="AH391">
        <v>29</v>
      </c>
      <c r="AI391">
        <v>34</v>
      </c>
      <c r="AJ391">
        <v>0</v>
      </c>
      <c r="AK391">
        <v>46</v>
      </c>
      <c r="AL391" t="s">
        <v>1090</v>
      </c>
      <c r="AM391" t="s">
        <v>1091</v>
      </c>
      <c r="AN391" t="s">
        <v>1092</v>
      </c>
      <c r="AO391" t="s">
        <v>1093</v>
      </c>
      <c r="AP391" t="s">
        <v>74</v>
      </c>
      <c r="AQ391" t="s">
        <v>74</v>
      </c>
      <c r="AR391" t="s">
        <v>1083</v>
      </c>
      <c r="AS391" t="s">
        <v>1094</v>
      </c>
      <c r="AT391" t="s">
        <v>7652</v>
      </c>
      <c r="AU391">
        <v>2014</v>
      </c>
      <c r="AV391">
        <v>9</v>
      </c>
      <c r="AW391">
        <v>7</v>
      </c>
      <c r="AX391" t="s">
        <v>74</v>
      </c>
      <c r="AY391" t="s">
        <v>74</v>
      </c>
      <c r="AZ391" t="s">
        <v>74</v>
      </c>
      <c r="BA391" t="s">
        <v>74</v>
      </c>
      <c r="BB391" t="s">
        <v>74</v>
      </c>
      <c r="BC391" t="s">
        <v>74</v>
      </c>
      <c r="BD391" t="s">
        <v>7653</v>
      </c>
      <c r="BE391" t="s">
        <v>7654</v>
      </c>
      <c r="BF391" t="str">
        <f>HYPERLINK("http://dx.doi.org/10.1371/journal.pone.0103642","http://dx.doi.org/10.1371/journal.pone.0103642")</f>
        <v>http://dx.doi.org/10.1371/journal.pone.0103642</v>
      </c>
      <c r="BG391" t="s">
        <v>74</v>
      </c>
      <c r="BH391" t="s">
        <v>74</v>
      </c>
      <c r="BI391">
        <v>10</v>
      </c>
      <c r="BJ391" t="s">
        <v>660</v>
      </c>
      <c r="BK391" t="s">
        <v>102</v>
      </c>
      <c r="BL391" t="s">
        <v>661</v>
      </c>
      <c r="BM391" t="s">
        <v>7655</v>
      </c>
      <c r="BN391">
        <v>25072936</v>
      </c>
      <c r="BO391" t="s">
        <v>7656</v>
      </c>
      <c r="BP391" t="s">
        <v>74</v>
      </c>
      <c r="BQ391" t="s">
        <v>74</v>
      </c>
      <c r="BR391" t="s">
        <v>105</v>
      </c>
      <c r="BS391" t="s">
        <v>7657</v>
      </c>
      <c r="BT391" t="str">
        <f>HYPERLINK("https%3A%2F%2Fwww.webofscience.com%2Fwos%2Fwoscc%2Ffull-record%2FWOS:000341307600076","View Full Record in Web of Science")</f>
        <v>View Full Record in Web of Science</v>
      </c>
    </row>
    <row r="392" spans="1:72" x14ac:dyDescent="0.15">
      <c r="A392" t="s">
        <v>72</v>
      </c>
      <c r="B392" t="s">
        <v>7658</v>
      </c>
      <c r="C392" t="s">
        <v>74</v>
      </c>
      <c r="D392" t="s">
        <v>74</v>
      </c>
      <c r="E392" t="s">
        <v>74</v>
      </c>
      <c r="F392" t="s">
        <v>7659</v>
      </c>
      <c r="G392" t="s">
        <v>74</v>
      </c>
      <c r="H392" t="s">
        <v>74</v>
      </c>
      <c r="I392" t="s">
        <v>7660</v>
      </c>
      <c r="J392" t="s">
        <v>1236</v>
      </c>
      <c r="K392" t="s">
        <v>74</v>
      </c>
      <c r="L392" t="s">
        <v>74</v>
      </c>
      <c r="M392" t="s">
        <v>78</v>
      </c>
      <c r="N392" t="s">
        <v>79</v>
      </c>
      <c r="O392" t="s">
        <v>74</v>
      </c>
      <c r="P392" t="s">
        <v>74</v>
      </c>
      <c r="Q392" t="s">
        <v>74</v>
      </c>
      <c r="R392" t="s">
        <v>74</v>
      </c>
      <c r="S392" t="s">
        <v>74</v>
      </c>
      <c r="T392" t="s">
        <v>7661</v>
      </c>
      <c r="U392" t="s">
        <v>7662</v>
      </c>
      <c r="V392" t="s">
        <v>7663</v>
      </c>
      <c r="W392" t="s">
        <v>7664</v>
      </c>
      <c r="X392" t="s">
        <v>7665</v>
      </c>
      <c r="Y392" t="s">
        <v>7666</v>
      </c>
      <c r="Z392" t="s">
        <v>7667</v>
      </c>
      <c r="AA392" t="s">
        <v>74</v>
      </c>
      <c r="AB392" t="s">
        <v>74</v>
      </c>
      <c r="AC392" t="s">
        <v>74</v>
      </c>
      <c r="AD392" t="s">
        <v>74</v>
      </c>
      <c r="AE392" t="s">
        <v>74</v>
      </c>
      <c r="AF392" t="s">
        <v>74</v>
      </c>
      <c r="AG392">
        <v>40</v>
      </c>
      <c r="AH392">
        <v>10</v>
      </c>
      <c r="AI392">
        <v>12</v>
      </c>
      <c r="AJ392">
        <v>0</v>
      </c>
      <c r="AK392">
        <v>7</v>
      </c>
      <c r="AL392" t="s">
        <v>1246</v>
      </c>
      <c r="AM392" t="s">
        <v>1247</v>
      </c>
      <c r="AN392" t="s">
        <v>1248</v>
      </c>
      <c r="AO392" t="s">
        <v>1249</v>
      </c>
      <c r="AP392" t="s">
        <v>1250</v>
      </c>
      <c r="AQ392" t="s">
        <v>74</v>
      </c>
      <c r="AR392" t="s">
        <v>1236</v>
      </c>
      <c r="AS392" t="s">
        <v>1251</v>
      </c>
      <c r="AT392" t="s">
        <v>7652</v>
      </c>
      <c r="AU392">
        <v>2014</v>
      </c>
      <c r="AV392">
        <v>3841</v>
      </c>
      <c r="AW392">
        <v>4</v>
      </c>
      <c r="AX392" t="s">
        <v>74</v>
      </c>
      <c r="AY392" t="s">
        <v>74</v>
      </c>
      <c r="AZ392" t="s">
        <v>74</v>
      </c>
      <c r="BA392" t="s">
        <v>74</v>
      </c>
      <c r="BB392">
        <v>573</v>
      </c>
      <c r="BC392">
        <v>591</v>
      </c>
      <c r="BD392" t="s">
        <v>74</v>
      </c>
      <c r="BE392" t="s">
        <v>7668</v>
      </c>
      <c r="BF392" t="str">
        <f>HYPERLINK("http://dx.doi.org/10.11646/zootaxa.3841.4.7","http://dx.doi.org/10.11646/zootaxa.3841.4.7")</f>
        <v>http://dx.doi.org/10.11646/zootaxa.3841.4.7</v>
      </c>
      <c r="BG392" t="s">
        <v>74</v>
      </c>
      <c r="BH392" t="s">
        <v>74</v>
      </c>
      <c r="BI392">
        <v>19</v>
      </c>
      <c r="BJ392" t="s">
        <v>1254</v>
      </c>
      <c r="BK392" t="s">
        <v>102</v>
      </c>
      <c r="BL392" t="s">
        <v>1254</v>
      </c>
      <c r="BM392" t="s">
        <v>7669</v>
      </c>
      <c r="BN392">
        <v>25082058</v>
      </c>
      <c r="BO392" t="s">
        <v>179</v>
      </c>
      <c r="BP392" t="s">
        <v>74</v>
      </c>
      <c r="BQ392" t="s">
        <v>74</v>
      </c>
      <c r="BR392" t="s">
        <v>105</v>
      </c>
      <c r="BS392" t="s">
        <v>7670</v>
      </c>
      <c r="BT392" t="str">
        <f>HYPERLINK("https%3A%2F%2Fwww.webofscience.com%2Fwos%2Fwoscc%2Ffull-record%2FWOS:000339488900007","View Full Record in Web of Science")</f>
        <v>View Full Record in Web of Science</v>
      </c>
    </row>
    <row r="393" spans="1:72" x14ac:dyDescent="0.15">
      <c r="A393" t="s">
        <v>72</v>
      </c>
      <c r="B393" t="s">
        <v>7671</v>
      </c>
      <c r="C393" t="s">
        <v>74</v>
      </c>
      <c r="D393" t="s">
        <v>74</v>
      </c>
      <c r="E393" t="s">
        <v>74</v>
      </c>
      <c r="F393" t="s">
        <v>7672</v>
      </c>
      <c r="G393" t="s">
        <v>74</v>
      </c>
      <c r="H393" t="s">
        <v>74</v>
      </c>
      <c r="I393" t="s">
        <v>7673</v>
      </c>
      <c r="J393" t="s">
        <v>1083</v>
      </c>
      <c r="K393" t="s">
        <v>74</v>
      </c>
      <c r="L393" t="s">
        <v>74</v>
      </c>
      <c r="M393" t="s">
        <v>78</v>
      </c>
      <c r="N393" t="s">
        <v>79</v>
      </c>
      <c r="O393" t="s">
        <v>74</v>
      </c>
      <c r="P393" t="s">
        <v>74</v>
      </c>
      <c r="Q393" t="s">
        <v>74</v>
      </c>
      <c r="R393" t="s">
        <v>74</v>
      </c>
      <c r="S393" t="s">
        <v>74</v>
      </c>
      <c r="T393" t="s">
        <v>74</v>
      </c>
      <c r="U393" t="s">
        <v>7674</v>
      </c>
      <c r="V393" t="s">
        <v>7675</v>
      </c>
      <c r="W393" t="s">
        <v>7676</v>
      </c>
      <c r="X393" t="s">
        <v>7677</v>
      </c>
      <c r="Y393" t="s">
        <v>7678</v>
      </c>
      <c r="Z393" t="s">
        <v>7679</v>
      </c>
      <c r="AA393" t="s">
        <v>7680</v>
      </c>
      <c r="AB393" t="s">
        <v>7681</v>
      </c>
      <c r="AC393" t="s">
        <v>7682</v>
      </c>
      <c r="AD393" t="s">
        <v>7683</v>
      </c>
      <c r="AE393" t="s">
        <v>7684</v>
      </c>
      <c r="AF393" t="s">
        <v>74</v>
      </c>
      <c r="AG393">
        <v>59</v>
      </c>
      <c r="AH393">
        <v>41</v>
      </c>
      <c r="AI393">
        <v>48</v>
      </c>
      <c r="AJ393">
        <v>0</v>
      </c>
      <c r="AK393">
        <v>43</v>
      </c>
      <c r="AL393" t="s">
        <v>1090</v>
      </c>
      <c r="AM393" t="s">
        <v>1091</v>
      </c>
      <c r="AN393" t="s">
        <v>1092</v>
      </c>
      <c r="AO393" t="s">
        <v>1093</v>
      </c>
      <c r="AP393" t="s">
        <v>74</v>
      </c>
      <c r="AQ393" t="s">
        <v>74</v>
      </c>
      <c r="AR393" t="s">
        <v>1083</v>
      </c>
      <c r="AS393" t="s">
        <v>1094</v>
      </c>
      <c r="AT393" t="s">
        <v>7652</v>
      </c>
      <c r="AU393">
        <v>2014</v>
      </c>
      <c r="AV393">
        <v>9</v>
      </c>
      <c r="AW393">
        <v>7</v>
      </c>
      <c r="AX393" t="s">
        <v>74</v>
      </c>
      <c r="AY393" t="s">
        <v>74</v>
      </c>
      <c r="AZ393" t="s">
        <v>74</v>
      </c>
      <c r="BA393" t="s">
        <v>74</v>
      </c>
      <c r="BB393" t="s">
        <v>74</v>
      </c>
      <c r="BC393" t="s">
        <v>74</v>
      </c>
      <c r="BD393" t="s">
        <v>7685</v>
      </c>
      <c r="BE393" t="s">
        <v>7686</v>
      </c>
      <c r="BF393" t="str">
        <f>HYPERLINK("http://dx.doi.org/10.1371/journal.pone.0102827","http://dx.doi.org/10.1371/journal.pone.0102827")</f>
        <v>http://dx.doi.org/10.1371/journal.pone.0102827</v>
      </c>
      <c r="BG393" t="s">
        <v>74</v>
      </c>
      <c r="BH393" t="s">
        <v>74</v>
      </c>
      <c r="BI393">
        <v>10</v>
      </c>
      <c r="BJ393" t="s">
        <v>660</v>
      </c>
      <c r="BK393" t="s">
        <v>102</v>
      </c>
      <c r="BL393" t="s">
        <v>661</v>
      </c>
      <c r="BM393" t="s">
        <v>7655</v>
      </c>
      <c r="BN393">
        <v>25072880</v>
      </c>
      <c r="BO393" t="s">
        <v>1231</v>
      </c>
      <c r="BP393" t="s">
        <v>74</v>
      </c>
      <c r="BQ393" t="s">
        <v>74</v>
      </c>
      <c r="BR393" t="s">
        <v>105</v>
      </c>
      <c r="BS393" t="s">
        <v>7687</v>
      </c>
      <c r="BT393" t="str">
        <f>HYPERLINK("https%3A%2F%2Fwww.webofscience.com%2Fwos%2Fwoscc%2Ffull-record%2FWOS:000341307600016","View Full Record in Web of Science")</f>
        <v>View Full Record in Web of Science</v>
      </c>
    </row>
    <row r="394" spans="1:72" x14ac:dyDescent="0.15">
      <c r="A394" t="s">
        <v>72</v>
      </c>
      <c r="B394" t="s">
        <v>7688</v>
      </c>
      <c r="C394" t="s">
        <v>74</v>
      </c>
      <c r="D394" t="s">
        <v>74</v>
      </c>
      <c r="E394" t="s">
        <v>74</v>
      </c>
      <c r="F394" t="s">
        <v>7689</v>
      </c>
      <c r="G394" t="s">
        <v>74</v>
      </c>
      <c r="H394" t="s">
        <v>74</v>
      </c>
      <c r="I394" t="s">
        <v>7690</v>
      </c>
      <c r="J394" t="s">
        <v>1018</v>
      </c>
      <c r="K394" t="s">
        <v>74</v>
      </c>
      <c r="L394" t="s">
        <v>74</v>
      </c>
      <c r="M394" t="s">
        <v>78</v>
      </c>
      <c r="N394" t="s">
        <v>79</v>
      </c>
      <c r="O394" t="s">
        <v>74</v>
      </c>
      <c r="P394" t="s">
        <v>74</v>
      </c>
      <c r="Q394" t="s">
        <v>74</v>
      </c>
      <c r="R394" t="s">
        <v>74</v>
      </c>
      <c r="S394" t="s">
        <v>74</v>
      </c>
      <c r="T394" t="s">
        <v>74</v>
      </c>
      <c r="U394" t="s">
        <v>7691</v>
      </c>
      <c r="V394" t="s">
        <v>7692</v>
      </c>
      <c r="W394" t="s">
        <v>7693</v>
      </c>
      <c r="X394" t="s">
        <v>7694</v>
      </c>
      <c r="Y394" t="s">
        <v>7695</v>
      </c>
      <c r="Z394" t="s">
        <v>7696</v>
      </c>
      <c r="AA394" t="s">
        <v>7697</v>
      </c>
      <c r="AB394" t="s">
        <v>7698</v>
      </c>
      <c r="AC394" t="s">
        <v>74</v>
      </c>
      <c r="AD394" t="s">
        <v>74</v>
      </c>
      <c r="AE394" t="s">
        <v>74</v>
      </c>
      <c r="AF394" t="s">
        <v>74</v>
      </c>
      <c r="AG394">
        <v>18</v>
      </c>
      <c r="AH394">
        <v>11</v>
      </c>
      <c r="AI394">
        <v>12</v>
      </c>
      <c r="AJ394">
        <v>0</v>
      </c>
      <c r="AK394">
        <v>12</v>
      </c>
      <c r="AL394" t="s">
        <v>331</v>
      </c>
      <c r="AM394" t="s">
        <v>332</v>
      </c>
      <c r="AN394" t="s">
        <v>333</v>
      </c>
      <c r="AO394" t="s">
        <v>1030</v>
      </c>
      <c r="AP394" t="s">
        <v>1031</v>
      </c>
      <c r="AQ394" t="s">
        <v>74</v>
      </c>
      <c r="AR394" t="s">
        <v>1032</v>
      </c>
      <c r="AS394" t="s">
        <v>1033</v>
      </c>
      <c r="AT394" t="s">
        <v>7699</v>
      </c>
      <c r="AU394">
        <v>2014</v>
      </c>
      <c r="AV394">
        <v>41</v>
      </c>
      <c r="AW394">
        <v>14</v>
      </c>
      <c r="AX394" t="s">
        <v>74</v>
      </c>
      <c r="AY394" t="s">
        <v>74</v>
      </c>
      <c r="AZ394" t="s">
        <v>74</v>
      </c>
      <c r="BA394" t="s">
        <v>74</v>
      </c>
      <c r="BB394">
        <v>5233</v>
      </c>
      <c r="BC394">
        <v>5238</v>
      </c>
      <c r="BD394" t="s">
        <v>74</v>
      </c>
      <c r="BE394" t="s">
        <v>7700</v>
      </c>
      <c r="BF394" t="str">
        <f>HYPERLINK("http://dx.doi.org/10.1002/2014GL060777","http://dx.doi.org/10.1002/2014GL060777")</f>
        <v>http://dx.doi.org/10.1002/2014GL060777</v>
      </c>
      <c r="BG394" t="s">
        <v>74</v>
      </c>
      <c r="BH394" t="s">
        <v>74</v>
      </c>
      <c r="BI394">
        <v>6</v>
      </c>
      <c r="BJ394" t="s">
        <v>685</v>
      </c>
      <c r="BK394" t="s">
        <v>102</v>
      </c>
      <c r="BL394" t="s">
        <v>686</v>
      </c>
      <c r="BM394" t="s">
        <v>7701</v>
      </c>
      <c r="BN394" t="s">
        <v>74</v>
      </c>
      <c r="BO394" t="s">
        <v>341</v>
      </c>
      <c r="BP394" t="s">
        <v>74</v>
      </c>
      <c r="BQ394" t="s">
        <v>74</v>
      </c>
      <c r="BR394" t="s">
        <v>105</v>
      </c>
      <c r="BS394" t="s">
        <v>7702</v>
      </c>
      <c r="BT394" t="str">
        <f>HYPERLINK("https%3A%2F%2Fwww.webofscience.com%2Fwos%2Fwoscc%2Ffull-record%2FWOS:000342846100011","View Full Record in Web of Science")</f>
        <v>View Full Record in Web of Science</v>
      </c>
    </row>
    <row r="395" spans="1:72" x14ac:dyDescent="0.15">
      <c r="A395" t="s">
        <v>72</v>
      </c>
      <c r="B395" t="s">
        <v>7703</v>
      </c>
      <c r="C395" t="s">
        <v>74</v>
      </c>
      <c r="D395" t="s">
        <v>74</v>
      </c>
      <c r="E395" t="s">
        <v>74</v>
      </c>
      <c r="F395" t="s">
        <v>7704</v>
      </c>
      <c r="G395" t="s">
        <v>74</v>
      </c>
      <c r="H395" t="s">
        <v>74</v>
      </c>
      <c r="I395" t="s">
        <v>7705</v>
      </c>
      <c r="J395" t="s">
        <v>1018</v>
      </c>
      <c r="K395" t="s">
        <v>74</v>
      </c>
      <c r="L395" t="s">
        <v>74</v>
      </c>
      <c r="M395" t="s">
        <v>78</v>
      </c>
      <c r="N395" t="s">
        <v>79</v>
      </c>
      <c r="O395" t="s">
        <v>74</v>
      </c>
      <c r="P395" t="s">
        <v>74</v>
      </c>
      <c r="Q395" t="s">
        <v>74</v>
      </c>
      <c r="R395" t="s">
        <v>74</v>
      </c>
      <c r="S395" t="s">
        <v>74</v>
      </c>
      <c r="T395" t="s">
        <v>74</v>
      </c>
      <c r="U395" t="s">
        <v>7706</v>
      </c>
      <c r="V395" t="s">
        <v>7707</v>
      </c>
      <c r="W395" t="s">
        <v>7708</v>
      </c>
      <c r="X395" t="s">
        <v>7709</v>
      </c>
      <c r="Y395" t="s">
        <v>7710</v>
      </c>
      <c r="Z395" t="s">
        <v>7711</v>
      </c>
      <c r="AA395" t="s">
        <v>7712</v>
      </c>
      <c r="AB395" t="s">
        <v>7713</v>
      </c>
      <c r="AC395" t="s">
        <v>74</v>
      </c>
      <c r="AD395" t="s">
        <v>74</v>
      </c>
      <c r="AE395" t="s">
        <v>74</v>
      </c>
      <c r="AF395" t="s">
        <v>74</v>
      </c>
      <c r="AG395">
        <v>38</v>
      </c>
      <c r="AH395">
        <v>52</v>
      </c>
      <c r="AI395">
        <v>58</v>
      </c>
      <c r="AJ395">
        <v>2</v>
      </c>
      <c r="AK395">
        <v>44</v>
      </c>
      <c r="AL395" t="s">
        <v>331</v>
      </c>
      <c r="AM395" t="s">
        <v>332</v>
      </c>
      <c r="AN395" t="s">
        <v>333</v>
      </c>
      <c r="AO395" t="s">
        <v>1030</v>
      </c>
      <c r="AP395" t="s">
        <v>1031</v>
      </c>
      <c r="AQ395" t="s">
        <v>74</v>
      </c>
      <c r="AR395" t="s">
        <v>1032</v>
      </c>
      <c r="AS395" t="s">
        <v>1033</v>
      </c>
      <c r="AT395" t="s">
        <v>7699</v>
      </c>
      <c r="AU395">
        <v>2014</v>
      </c>
      <c r="AV395">
        <v>41</v>
      </c>
      <c r="AW395">
        <v>14</v>
      </c>
      <c r="AX395" t="s">
        <v>74</v>
      </c>
      <c r="AY395" t="s">
        <v>74</v>
      </c>
      <c r="AZ395" t="s">
        <v>74</v>
      </c>
      <c r="BA395" t="s">
        <v>74</v>
      </c>
      <c r="BB395">
        <v>5037</v>
      </c>
      <c r="BC395">
        <v>5045</v>
      </c>
      <c r="BD395" t="s">
        <v>74</v>
      </c>
      <c r="BE395" t="s">
        <v>7714</v>
      </c>
      <c r="BF395" t="str">
        <f>HYPERLINK("http://dx.doi.org/10.1002/2014GL060365","http://dx.doi.org/10.1002/2014GL060365")</f>
        <v>http://dx.doi.org/10.1002/2014GL060365</v>
      </c>
      <c r="BG395" t="s">
        <v>74</v>
      </c>
      <c r="BH395" t="s">
        <v>74</v>
      </c>
      <c r="BI395">
        <v>9</v>
      </c>
      <c r="BJ395" t="s">
        <v>685</v>
      </c>
      <c r="BK395" t="s">
        <v>102</v>
      </c>
      <c r="BL395" t="s">
        <v>686</v>
      </c>
      <c r="BM395" t="s">
        <v>7715</v>
      </c>
      <c r="BN395" t="s">
        <v>74</v>
      </c>
      <c r="BO395" t="s">
        <v>7716</v>
      </c>
      <c r="BP395" t="s">
        <v>74</v>
      </c>
      <c r="BQ395" t="s">
        <v>74</v>
      </c>
      <c r="BR395" t="s">
        <v>105</v>
      </c>
      <c r="BS395" t="s">
        <v>7717</v>
      </c>
      <c r="BT395" t="str">
        <f>HYPERLINK("https%3A%2F%2Fwww.webofscience.com%2Fwos%2Fwoscc%2Ffull-record%2FWOS:000340536000030","View Full Record in Web of Science")</f>
        <v>View Full Record in Web of Science</v>
      </c>
    </row>
    <row r="396" spans="1:72" x14ac:dyDescent="0.15">
      <c r="A396" t="s">
        <v>72</v>
      </c>
      <c r="B396" t="s">
        <v>7718</v>
      </c>
      <c r="C396" t="s">
        <v>74</v>
      </c>
      <c r="D396" t="s">
        <v>74</v>
      </c>
      <c r="E396" t="s">
        <v>74</v>
      </c>
      <c r="F396" t="s">
        <v>7719</v>
      </c>
      <c r="G396" t="s">
        <v>74</v>
      </c>
      <c r="H396" t="s">
        <v>74</v>
      </c>
      <c r="I396" t="s">
        <v>7720</v>
      </c>
      <c r="J396" t="s">
        <v>1018</v>
      </c>
      <c r="K396" t="s">
        <v>74</v>
      </c>
      <c r="L396" t="s">
        <v>74</v>
      </c>
      <c r="M396" t="s">
        <v>78</v>
      </c>
      <c r="N396" t="s">
        <v>79</v>
      </c>
      <c r="O396" t="s">
        <v>74</v>
      </c>
      <c r="P396" t="s">
        <v>74</v>
      </c>
      <c r="Q396" t="s">
        <v>74</v>
      </c>
      <c r="R396" t="s">
        <v>74</v>
      </c>
      <c r="S396" t="s">
        <v>74</v>
      </c>
      <c r="T396" t="s">
        <v>74</v>
      </c>
      <c r="U396" t="s">
        <v>7721</v>
      </c>
      <c r="V396" t="s">
        <v>7722</v>
      </c>
      <c r="W396" t="s">
        <v>7723</v>
      </c>
      <c r="X396" t="s">
        <v>7724</v>
      </c>
      <c r="Y396" t="s">
        <v>7725</v>
      </c>
      <c r="Z396" t="s">
        <v>7726</v>
      </c>
      <c r="AA396" t="s">
        <v>7727</v>
      </c>
      <c r="AB396" t="s">
        <v>7728</v>
      </c>
      <c r="AC396" t="s">
        <v>7729</v>
      </c>
      <c r="AD396" t="s">
        <v>7730</v>
      </c>
      <c r="AE396" t="s">
        <v>7731</v>
      </c>
      <c r="AF396" t="s">
        <v>74</v>
      </c>
      <c r="AG396">
        <v>19</v>
      </c>
      <c r="AH396">
        <v>40</v>
      </c>
      <c r="AI396">
        <v>43</v>
      </c>
      <c r="AJ396">
        <v>1</v>
      </c>
      <c r="AK396">
        <v>32</v>
      </c>
      <c r="AL396" t="s">
        <v>331</v>
      </c>
      <c r="AM396" t="s">
        <v>332</v>
      </c>
      <c r="AN396" t="s">
        <v>333</v>
      </c>
      <c r="AO396" t="s">
        <v>1030</v>
      </c>
      <c r="AP396" t="s">
        <v>1031</v>
      </c>
      <c r="AQ396" t="s">
        <v>74</v>
      </c>
      <c r="AR396" t="s">
        <v>1032</v>
      </c>
      <c r="AS396" t="s">
        <v>1033</v>
      </c>
      <c r="AT396" t="s">
        <v>7699</v>
      </c>
      <c r="AU396">
        <v>2014</v>
      </c>
      <c r="AV396">
        <v>41</v>
      </c>
      <c r="AW396">
        <v>14</v>
      </c>
      <c r="AX396" t="s">
        <v>74</v>
      </c>
      <c r="AY396" t="s">
        <v>74</v>
      </c>
      <c r="AZ396" t="s">
        <v>74</v>
      </c>
      <c r="BA396" t="s">
        <v>74</v>
      </c>
      <c r="BB396">
        <v>5060</v>
      </c>
      <c r="BC396">
        <v>5067</v>
      </c>
      <c r="BD396" t="s">
        <v>74</v>
      </c>
      <c r="BE396" t="s">
        <v>7732</v>
      </c>
      <c r="BF396" t="str">
        <f>HYPERLINK("http://dx.doi.org/10.1002/2014GL060593","http://dx.doi.org/10.1002/2014GL060593")</f>
        <v>http://dx.doi.org/10.1002/2014GL060593</v>
      </c>
      <c r="BG396" t="s">
        <v>74</v>
      </c>
      <c r="BH396" t="s">
        <v>74</v>
      </c>
      <c r="BI396">
        <v>8</v>
      </c>
      <c r="BJ396" t="s">
        <v>685</v>
      </c>
      <c r="BK396" t="s">
        <v>102</v>
      </c>
      <c r="BL396" t="s">
        <v>686</v>
      </c>
      <c r="BM396" t="s">
        <v>7715</v>
      </c>
      <c r="BN396" t="s">
        <v>74</v>
      </c>
      <c r="BO396" t="s">
        <v>1969</v>
      </c>
      <c r="BP396" t="s">
        <v>74</v>
      </c>
      <c r="BQ396" t="s">
        <v>74</v>
      </c>
      <c r="BR396" t="s">
        <v>105</v>
      </c>
      <c r="BS396" t="s">
        <v>7733</v>
      </c>
      <c r="BT396" t="str">
        <f>HYPERLINK("https%3A%2F%2Fwww.webofscience.com%2Fwos%2Fwoscc%2Ffull-record%2FWOS:000340536000033","View Full Record in Web of Science")</f>
        <v>View Full Record in Web of Science</v>
      </c>
    </row>
    <row r="397" spans="1:72" x14ac:dyDescent="0.15">
      <c r="A397" t="s">
        <v>72</v>
      </c>
      <c r="B397" t="s">
        <v>7734</v>
      </c>
      <c r="C397" t="s">
        <v>74</v>
      </c>
      <c r="D397" t="s">
        <v>74</v>
      </c>
      <c r="E397" t="s">
        <v>74</v>
      </c>
      <c r="F397" t="s">
        <v>7735</v>
      </c>
      <c r="G397" t="s">
        <v>74</v>
      </c>
      <c r="H397" t="s">
        <v>74</v>
      </c>
      <c r="I397" t="s">
        <v>7736</v>
      </c>
      <c r="J397" t="s">
        <v>1018</v>
      </c>
      <c r="K397" t="s">
        <v>74</v>
      </c>
      <c r="L397" t="s">
        <v>74</v>
      </c>
      <c r="M397" t="s">
        <v>78</v>
      </c>
      <c r="N397" t="s">
        <v>79</v>
      </c>
      <c r="O397" t="s">
        <v>74</v>
      </c>
      <c r="P397" t="s">
        <v>74</v>
      </c>
      <c r="Q397" t="s">
        <v>74</v>
      </c>
      <c r="R397" t="s">
        <v>74</v>
      </c>
      <c r="S397" t="s">
        <v>74</v>
      </c>
      <c r="T397" t="s">
        <v>74</v>
      </c>
      <c r="U397" t="s">
        <v>7737</v>
      </c>
      <c r="V397" t="s">
        <v>7738</v>
      </c>
      <c r="W397" t="s">
        <v>7739</v>
      </c>
      <c r="X397" t="s">
        <v>7740</v>
      </c>
      <c r="Y397" t="s">
        <v>7741</v>
      </c>
      <c r="Z397" t="s">
        <v>7742</v>
      </c>
      <c r="AA397" t="s">
        <v>7743</v>
      </c>
      <c r="AB397" t="s">
        <v>7744</v>
      </c>
      <c r="AC397" t="s">
        <v>7745</v>
      </c>
      <c r="AD397" t="s">
        <v>7746</v>
      </c>
      <c r="AE397" t="s">
        <v>7747</v>
      </c>
      <c r="AF397" t="s">
        <v>74</v>
      </c>
      <c r="AG397">
        <v>24</v>
      </c>
      <c r="AH397">
        <v>122</v>
      </c>
      <c r="AI397">
        <v>130</v>
      </c>
      <c r="AJ397">
        <v>1</v>
      </c>
      <c r="AK397">
        <v>18</v>
      </c>
      <c r="AL397" t="s">
        <v>331</v>
      </c>
      <c r="AM397" t="s">
        <v>332</v>
      </c>
      <c r="AN397" t="s">
        <v>333</v>
      </c>
      <c r="AO397" t="s">
        <v>1030</v>
      </c>
      <c r="AP397" t="s">
        <v>1031</v>
      </c>
      <c r="AQ397" t="s">
        <v>74</v>
      </c>
      <c r="AR397" t="s">
        <v>1032</v>
      </c>
      <c r="AS397" t="s">
        <v>1033</v>
      </c>
      <c r="AT397" t="s">
        <v>7699</v>
      </c>
      <c r="AU397">
        <v>2014</v>
      </c>
      <c r="AV397">
        <v>41</v>
      </c>
      <c r="AW397">
        <v>14</v>
      </c>
      <c r="AX397" t="s">
        <v>74</v>
      </c>
      <c r="AY397" t="s">
        <v>74</v>
      </c>
      <c r="AZ397" t="s">
        <v>74</v>
      </c>
      <c r="BA397" t="s">
        <v>74</v>
      </c>
      <c r="BB397">
        <v>5046</v>
      </c>
      <c r="BC397">
        <v>5051</v>
      </c>
      <c r="BD397" t="s">
        <v>74</v>
      </c>
      <c r="BE397" t="s">
        <v>7748</v>
      </c>
      <c r="BF397" t="str">
        <f>HYPERLINK("http://dx.doi.org/10.1002/2014GL060809","http://dx.doi.org/10.1002/2014GL060809")</f>
        <v>http://dx.doi.org/10.1002/2014GL060809</v>
      </c>
      <c r="BG397" t="s">
        <v>74</v>
      </c>
      <c r="BH397" t="s">
        <v>74</v>
      </c>
      <c r="BI397">
        <v>6</v>
      </c>
      <c r="BJ397" t="s">
        <v>685</v>
      </c>
      <c r="BK397" t="s">
        <v>102</v>
      </c>
      <c r="BL397" t="s">
        <v>686</v>
      </c>
      <c r="BM397" t="s">
        <v>7715</v>
      </c>
      <c r="BN397" t="s">
        <v>74</v>
      </c>
      <c r="BO397" t="s">
        <v>2037</v>
      </c>
      <c r="BP397" t="s">
        <v>74</v>
      </c>
      <c r="BQ397" t="s">
        <v>74</v>
      </c>
      <c r="BR397" t="s">
        <v>105</v>
      </c>
      <c r="BS397" t="s">
        <v>7749</v>
      </c>
      <c r="BT397" t="str">
        <f>HYPERLINK("https%3A%2F%2Fwww.webofscience.com%2Fwos%2Fwoscc%2Ffull-record%2FWOS:000340536000031","View Full Record in Web of Science")</f>
        <v>View Full Record in Web of Science</v>
      </c>
    </row>
    <row r="398" spans="1:72" x14ac:dyDescent="0.15">
      <c r="A398" t="s">
        <v>72</v>
      </c>
      <c r="B398" t="s">
        <v>7750</v>
      </c>
      <c r="C398" t="s">
        <v>74</v>
      </c>
      <c r="D398" t="s">
        <v>74</v>
      </c>
      <c r="E398" t="s">
        <v>74</v>
      </c>
      <c r="F398" t="s">
        <v>7751</v>
      </c>
      <c r="G398" t="s">
        <v>74</v>
      </c>
      <c r="H398" t="s">
        <v>74</v>
      </c>
      <c r="I398" t="s">
        <v>7752</v>
      </c>
      <c r="J398" t="s">
        <v>967</v>
      </c>
      <c r="K398" t="s">
        <v>74</v>
      </c>
      <c r="L398" t="s">
        <v>74</v>
      </c>
      <c r="M398" t="s">
        <v>78</v>
      </c>
      <c r="N398" t="s">
        <v>79</v>
      </c>
      <c r="O398" t="s">
        <v>74</v>
      </c>
      <c r="P398" t="s">
        <v>74</v>
      </c>
      <c r="Q398" t="s">
        <v>74</v>
      </c>
      <c r="R398" t="s">
        <v>74</v>
      </c>
      <c r="S398" t="s">
        <v>74</v>
      </c>
      <c r="T398" t="s">
        <v>74</v>
      </c>
      <c r="U398" t="s">
        <v>7753</v>
      </c>
      <c r="V398" t="s">
        <v>7754</v>
      </c>
      <c r="W398" t="s">
        <v>7755</v>
      </c>
      <c r="X398" t="s">
        <v>7756</v>
      </c>
      <c r="Y398" t="s">
        <v>7757</v>
      </c>
      <c r="Z398" t="s">
        <v>7758</v>
      </c>
      <c r="AA398" t="s">
        <v>7759</v>
      </c>
      <c r="AB398" t="s">
        <v>7760</v>
      </c>
      <c r="AC398" t="s">
        <v>7761</v>
      </c>
      <c r="AD398" t="s">
        <v>7762</v>
      </c>
      <c r="AE398" t="s">
        <v>7763</v>
      </c>
      <c r="AF398" t="s">
        <v>74</v>
      </c>
      <c r="AG398">
        <v>32</v>
      </c>
      <c r="AH398">
        <v>52</v>
      </c>
      <c r="AI398">
        <v>52</v>
      </c>
      <c r="AJ398">
        <v>3</v>
      </c>
      <c r="AK398">
        <v>63</v>
      </c>
      <c r="AL398" t="s">
        <v>979</v>
      </c>
      <c r="AM398" t="s">
        <v>980</v>
      </c>
      <c r="AN398" t="s">
        <v>981</v>
      </c>
      <c r="AO398" t="s">
        <v>982</v>
      </c>
      <c r="AP398" t="s">
        <v>74</v>
      </c>
      <c r="AQ398" t="s">
        <v>74</v>
      </c>
      <c r="AR398" t="s">
        <v>983</v>
      </c>
      <c r="AS398" t="s">
        <v>984</v>
      </c>
      <c r="AT398" t="s">
        <v>7699</v>
      </c>
      <c r="AU398">
        <v>2014</v>
      </c>
      <c r="AV398">
        <v>4</v>
      </c>
      <c r="AW398" t="s">
        <v>74</v>
      </c>
      <c r="AX398" t="s">
        <v>74</v>
      </c>
      <c r="AY398" t="s">
        <v>74</v>
      </c>
      <c r="AZ398" t="s">
        <v>74</v>
      </c>
      <c r="BA398" t="s">
        <v>74</v>
      </c>
      <c r="BB398" t="s">
        <v>74</v>
      </c>
      <c r="BC398" t="s">
        <v>74</v>
      </c>
      <c r="BD398">
        <v>5848</v>
      </c>
      <c r="BE398" t="s">
        <v>7764</v>
      </c>
      <c r="BF398" t="str">
        <f>HYPERLINK("http://dx.doi.org/10.1038/srep05848","http://dx.doi.org/10.1038/srep05848")</f>
        <v>http://dx.doi.org/10.1038/srep05848</v>
      </c>
      <c r="BG398" t="s">
        <v>74</v>
      </c>
      <c r="BH398" t="s">
        <v>74</v>
      </c>
      <c r="BI398">
        <v>5</v>
      </c>
      <c r="BJ398" t="s">
        <v>660</v>
      </c>
      <c r="BK398" t="s">
        <v>102</v>
      </c>
      <c r="BL398" t="s">
        <v>661</v>
      </c>
      <c r="BM398" t="s">
        <v>7765</v>
      </c>
      <c r="BN398" t="s">
        <v>74</v>
      </c>
      <c r="BO398" t="s">
        <v>7766</v>
      </c>
      <c r="BP398" t="s">
        <v>74</v>
      </c>
      <c r="BQ398" t="s">
        <v>74</v>
      </c>
      <c r="BR398" t="s">
        <v>105</v>
      </c>
      <c r="BS398" t="s">
        <v>7767</v>
      </c>
      <c r="BT398" t="str">
        <f>HYPERLINK("https%3A%2F%2Fwww.webofscience.com%2Fwos%2Fwoscc%2Ffull-record%2FWOS:000339511300001","View Full Record in Web of Science")</f>
        <v>View Full Record in Web of Science</v>
      </c>
    </row>
    <row r="399" spans="1:72" x14ac:dyDescent="0.15">
      <c r="A399" t="s">
        <v>72</v>
      </c>
      <c r="B399" t="s">
        <v>7768</v>
      </c>
      <c r="C399" t="s">
        <v>74</v>
      </c>
      <c r="D399" t="s">
        <v>74</v>
      </c>
      <c r="E399" t="s">
        <v>74</v>
      </c>
      <c r="F399" t="s">
        <v>7769</v>
      </c>
      <c r="G399" t="s">
        <v>74</v>
      </c>
      <c r="H399" t="s">
        <v>74</v>
      </c>
      <c r="I399" t="s">
        <v>7770</v>
      </c>
      <c r="J399" t="s">
        <v>4474</v>
      </c>
      <c r="K399" t="s">
        <v>74</v>
      </c>
      <c r="L399" t="s">
        <v>74</v>
      </c>
      <c r="M399" t="s">
        <v>78</v>
      </c>
      <c r="N399" t="s">
        <v>79</v>
      </c>
      <c r="O399" t="s">
        <v>74</v>
      </c>
      <c r="P399" t="s">
        <v>74</v>
      </c>
      <c r="Q399" t="s">
        <v>74</v>
      </c>
      <c r="R399" t="s">
        <v>74</v>
      </c>
      <c r="S399" t="s">
        <v>74</v>
      </c>
      <c r="T399" t="s">
        <v>74</v>
      </c>
      <c r="U399" t="s">
        <v>7771</v>
      </c>
      <c r="V399" t="s">
        <v>7772</v>
      </c>
      <c r="W399" t="s">
        <v>7773</v>
      </c>
      <c r="X399" t="s">
        <v>7774</v>
      </c>
      <c r="Y399" t="s">
        <v>7775</v>
      </c>
      <c r="Z399" t="s">
        <v>7776</v>
      </c>
      <c r="AA399" t="s">
        <v>7777</v>
      </c>
      <c r="AB399" t="s">
        <v>7778</v>
      </c>
      <c r="AC399" t="s">
        <v>7779</v>
      </c>
      <c r="AD399" t="s">
        <v>7780</v>
      </c>
      <c r="AE399" t="s">
        <v>7781</v>
      </c>
      <c r="AF399" t="s">
        <v>74</v>
      </c>
      <c r="AG399">
        <v>84</v>
      </c>
      <c r="AH399">
        <v>61</v>
      </c>
      <c r="AI399">
        <v>68</v>
      </c>
      <c r="AJ399">
        <v>2</v>
      </c>
      <c r="AK399">
        <v>47</v>
      </c>
      <c r="AL399" t="s">
        <v>331</v>
      </c>
      <c r="AM399" t="s">
        <v>332</v>
      </c>
      <c r="AN399" t="s">
        <v>333</v>
      </c>
      <c r="AO399" t="s">
        <v>4485</v>
      </c>
      <c r="AP399" t="s">
        <v>4486</v>
      </c>
      <c r="AQ399" t="s">
        <v>74</v>
      </c>
      <c r="AR399" t="s">
        <v>4487</v>
      </c>
      <c r="AS399" t="s">
        <v>4488</v>
      </c>
      <c r="AT399" t="s">
        <v>7782</v>
      </c>
      <c r="AU399">
        <v>2014</v>
      </c>
      <c r="AV399">
        <v>119</v>
      </c>
      <c r="AW399">
        <v>14</v>
      </c>
      <c r="AX399" t="s">
        <v>74</v>
      </c>
      <c r="AY399" t="s">
        <v>74</v>
      </c>
      <c r="AZ399" t="s">
        <v>74</v>
      </c>
      <c r="BA399" t="s">
        <v>74</v>
      </c>
      <c r="BB399">
        <v>8741</v>
      </c>
      <c r="BC399">
        <v>8763</v>
      </c>
      <c r="BD399" t="s">
        <v>74</v>
      </c>
      <c r="BE399" t="s">
        <v>7783</v>
      </c>
      <c r="BF399" t="str">
        <f>HYPERLINK("http://dx.doi.org/10.1002/2014JD021770","http://dx.doi.org/10.1002/2014JD021770")</f>
        <v>http://dx.doi.org/10.1002/2014JD021770</v>
      </c>
      <c r="BG399" t="s">
        <v>74</v>
      </c>
      <c r="BH399" t="s">
        <v>74</v>
      </c>
      <c r="BI399">
        <v>23</v>
      </c>
      <c r="BJ399" t="s">
        <v>177</v>
      </c>
      <c r="BK399" t="s">
        <v>102</v>
      </c>
      <c r="BL399" t="s">
        <v>177</v>
      </c>
      <c r="BM399" t="s">
        <v>7784</v>
      </c>
      <c r="BN399" t="s">
        <v>74</v>
      </c>
      <c r="BO399" t="s">
        <v>179</v>
      </c>
      <c r="BP399" t="s">
        <v>74</v>
      </c>
      <c r="BQ399" t="s">
        <v>74</v>
      </c>
      <c r="BR399" t="s">
        <v>105</v>
      </c>
      <c r="BS399" t="s">
        <v>7785</v>
      </c>
      <c r="BT399" t="str">
        <f>HYPERLINK("https%3A%2F%2Fwww.webofscience.com%2Fwos%2Fwoscc%2Ffull-record%2FWOS:000340402800014","View Full Record in Web of Science")</f>
        <v>View Full Record in Web of Science</v>
      </c>
    </row>
    <row r="400" spans="1:72" x14ac:dyDescent="0.15">
      <c r="A400" t="s">
        <v>72</v>
      </c>
      <c r="B400" t="s">
        <v>7786</v>
      </c>
      <c r="C400" t="s">
        <v>74</v>
      </c>
      <c r="D400" t="s">
        <v>74</v>
      </c>
      <c r="E400" t="s">
        <v>74</v>
      </c>
      <c r="F400" t="s">
        <v>7787</v>
      </c>
      <c r="G400" t="s">
        <v>74</v>
      </c>
      <c r="H400" t="s">
        <v>74</v>
      </c>
      <c r="I400" t="s">
        <v>7788</v>
      </c>
      <c r="J400" t="s">
        <v>4474</v>
      </c>
      <c r="K400" t="s">
        <v>74</v>
      </c>
      <c r="L400" t="s">
        <v>74</v>
      </c>
      <c r="M400" t="s">
        <v>78</v>
      </c>
      <c r="N400" t="s">
        <v>79</v>
      </c>
      <c r="O400" t="s">
        <v>74</v>
      </c>
      <c r="P400" t="s">
        <v>74</v>
      </c>
      <c r="Q400" t="s">
        <v>74</v>
      </c>
      <c r="R400" t="s">
        <v>74</v>
      </c>
      <c r="S400" t="s">
        <v>74</v>
      </c>
      <c r="T400" t="s">
        <v>74</v>
      </c>
      <c r="U400" t="s">
        <v>7789</v>
      </c>
      <c r="V400" t="s">
        <v>7790</v>
      </c>
      <c r="W400" t="s">
        <v>7791</v>
      </c>
      <c r="X400" t="s">
        <v>7792</v>
      </c>
      <c r="Y400" t="s">
        <v>7793</v>
      </c>
      <c r="Z400" t="s">
        <v>7794</v>
      </c>
      <c r="AA400" t="s">
        <v>7795</v>
      </c>
      <c r="AB400" t="s">
        <v>7796</v>
      </c>
      <c r="AC400" t="s">
        <v>7797</v>
      </c>
      <c r="AD400" t="s">
        <v>7798</v>
      </c>
      <c r="AE400" t="s">
        <v>7799</v>
      </c>
      <c r="AF400" t="s">
        <v>74</v>
      </c>
      <c r="AG400">
        <v>70</v>
      </c>
      <c r="AH400">
        <v>27</v>
      </c>
      <c r="AI400">
        <v>28</v>
      </c>
      <c r="AJ400">
        <v>0</v>
      </c>
      <c r="AK400">
        <v>56</v>
      </c>
      <c r="AL400" t="s">
        <v>331</v>
      </c>
      <c r="AM400" t="s">
        <v>332</v>
      </c>
      <c r="AN400" t="s">
        <v>333</v>
      </c>
      <c r="AO400" t="s">
        <v>4485</v>
      </c>
      <c r="AP400" t="s">
        <v>4486</v>
      </c>
      <c r="AQ400" t="s">
        <v>74</v>
      </c>
      <c r="AR400" t="s">
        <v>4487</v>
      </c>
      <c r="AS400" t="s">
        <v>4488</v>
      </c>
      <c r="AT400" t="s">
        <v>7782</v>
      </c>
      <c r="AU400">
        <v>2014</v>
      </c>
      <c r="AV400">
        <v>119</v>
      </c>
      <c r="AW400">
        <v>14</v>
      </c>
      <c r="AX400" t="s">
        <v>74</v>
      </c>
      <c r="AY400" t="s">
        <v>74</v>
      </c>
      <c r="AZ400" t="s">
        <v>74</v>
      </c>
      <c r="BA400" t="s">
        <v>74</v>
      </c>
      <c r="BB400">
        <v>9168</v>
      </c>
      <c r="BC400">
        <v>9182</v>
      </c>
      <c r="BD400" t="s">
        <v>74</v>
      </c>
      <c r="BE400" t="s">
        <v>7800</v>
      </c>
      <c r="BF400" t="str">
        <f>HYPERLINK("http://dx.doi.org/10.1002/2013JD020720","http://dx.doi.org/10.1002/2013JD020720")</f>
        <v>http://dx.doi.org/10.1002/2013JD020720</v>
      </c>
      <c r="BG400" t="s">
        <v>74</v>
      </c>
      <c r="BH400" t="s">
        <v>74</v>
      </c>
      <c r="BI400">
        <v>15</v>
      </c>
      <c r="BJ400" t="s">
        <v>177</v>
      </c>
      <c r="BK400" t="s">
        <v>102</v>
      </c>
      <c r="BL400" t="s">
        <v>177</v>
      </c>
      <c r="BM400" t="s">
        <v>7784</v>
      </c>
      <c r="BN400" t="s">
        <v>74</v>
      </c>
      <c r="BO400" t="s">
        <v>1053</v>
      </c>
      <c r="BP400" t="s">
        <v>74</v>
      </c>
      <c r="BQ400" t="s">
        <v>74</v>
      </c>
      <c r="BR400" t="s">
        <v>105</v>
      </c>
      <c r="BS400" t="s">
        <v>7801</v>
      </c>
      <c r="BT400" t="str">
        <f>HYPERLINK("https%3A%2F%2Fwww.webofscience.com%2Fwos%2Fwoscc%2Ffull-record%2FWOS:000340402800037","View Full Record in Web of Science")</f>
        <v>View Full Record in Web of Science</v>
      </c>
    </row>
    <row r="401" spans="1:72" x14ac:dyDescent="0.15">
      <c r="A401" t="s">
        <v>72</v>
      </c>
      <c r="B401" t="s">
        <v>7802</v>
      </c>
      <c r="C401" t="s">
        <v>74</v>
      </c>
      <c r="D401" t="s">
        <v>74</v>
      </c>
      <c r="E401" t="s">
        <v>74</v>
      </c>
      <c r="F401" t="s">
        <v>7803</v>
      </c>
      <c r="G401" t="s">
        <v>74</v>
      </c>
      <c r="H401" t="s">
        <v>74</v>
      </c>
      <c r="I401" t="s">
        <v>7804</v>
      </c>
      <c r="J401" t="s">
        <v>1104</v>
      </c>
      <c r="K401" t="s">
        <v>74</v>
      </c>
      <c r="L401" t="s">
        <v>74</v>
      </c>
      <c r="M401" t="s">
        <v>78</v>
      </c>
      <c r="N401" t="s">
        <v>79</v>
      </c>
      <c r="O401" t="s">
        <v>74</v>
      </c>
      <c r="P401" t="s">
        <v>74</v>
      </c>
      <c r="Q401" t="s">
        <v>74</v>
      </c>
      <c r="R401" t="s">
        <v>74</v>
      </c>
      <c r="S401" t="s">
        <v>74</v>
      </c>
      <c r="T401" t="s">
        <v>7805</v>
      </c>
      <c r="U401" t="s">
        <v>7806</v>
      </c>
      <c r="V401" t="s">
        <v>7807</v>
      </c>
      <c r="W401" t="s">
        <v>7808</v>
      </c>
      <c r="X401" t="s">
        <v>7809</v>
      </c>
      <c r="Y401" t="s">
        <v>7810</v>
      </c>
      <c r="Z401" t="s">
        <v>7811</v>
      </c>
      <c r="AA401" t="s">
        <v>7812</v>
      </c>
      <c r="AB401" t="s">
        <v>7813</v>
      </c>
      <c r="AC401" t="s">
        <v>7814</v>
      </c>
      <c r="AD401" t="s">
        <v>7815</v>
      </c>
      <c r="AE401" t="s">
        <v>7816</v>
      </c>
      <c r="AF401" t="s">
        <v>74</v>
      </c>
      <c r="AG401">
        <v>23</v>
      </c>
      <c r="AH401">
        <v>3</v>
      </c>
      <c r="AI401">
        <v>4</v>
      </c>
      <c r="AJ401">
        <v>0</v>
      </c>
      <c r="AK401">
        <v>12</v>
      </c>
      <c r="AL401" t="s">
        <v>1117</v>
      </c>
      <c r="AM401" t="s">
        <v>1118</v>
      </c>
      <c r="AN401" t="s">
        <v>1119</v>
      </c>
      <c r="AO401" t="s">
        <v>1120</v>
      </c>
      <c r="AP401" t="s">
        <v>74</v>
      </c>
      <c r="AQ401" t="s">
        <v>74</v>
      </c>
      <c r="AR401" t="s">
        <v>1121</v>
      </c>
      <c r="AS401" t="s">
        <v>1122</v>
      </c>
      <c r="AT401" t="s">
        <v>7817</v>
      </c>
      <c r="AU401">
        <v>2014</v>
      </c>
      <c r="AV401">
        <v>107</v>
      </c>
      <c r="AW401">
        <v>2</v>
      </c>
      <c r="AX401" t="s">
        <v>74</v>
      </c>
      <c r="AY401" t="s">
        <v>74</v>
      </c>
      <c r="AZ401" t="s">
        <v>74</v>
      </c>
      <c r="BA401" t="s">
        <v>74</v>
      </c>
      <c r="BB401">
        <v>273</v>
      </c>
      <c r="BC401">
        <v>277</v>
      </c>
      <c r="BD401" t="s">
        <v>74</v>
      </c>
      <c r="BE401" t="s">
        <v>74</v>
      </c>
      <c r="BF401" t="s">
        <v>74</v>
      </c>
      <c r="BG401" t="s">
        <v>74</v>
      </c>
      <c r="BH401" t="s">
        <v>74</v>
      </c>
      <c r="BI401">
        <v>5</v>
      </c>
      <c r="BJ401" t="s">
        <v>660</v>
      </c>
      <c r="BK401" t="s">
        <v>102</v>
      </c>
      <c r="BL401" t="s">
        <v>661</v>
      </c>
      <c r="BM401" t="s">
        <v>7818</v>
      </c>
      <c r="BN401" t="s">
        <v>74</v>
      </c>
      <c r="BO401" t="s">
        <v>74</v>
      </c>
      <c r="BP401" t="s">
        <v>74</v>
      </c>
      <c r="BQ401" t="s">
        <v>74</v>
      </c>
      <c r="BR401" t="s">
        <v>105</v>
      </c>
      <c r="BS401" t="s">
        <v>7819</v>
      </c>
      <c r="BT401" t="str">
        <f>HYPERLINK("https%3A%2F%2Fwww.webofscience.com%2Fwos%2Fwoscc%2Ffull-record%2FWOS:000340012000027","View Full Record in Web of Science")</f>
        <v>View Full Record in Web of Science</v>
      </c>
    </row>
    <row r="402" spans="1:72" x14ac:dyDescent="0.15">
      <c r="A402" t="s">
        <v>72</v>
      </c>
      <c r="B402" t="s">
        <v>7820</v>
      </c>
      <c r="C402" t="s">
        <v>74</v>
      </c>
      <c r="D402" t="s">
        <v>74</v>
      </c>
      <c r="E402" t="s">
        <v>74</v>
      </c>
      <c r="F402" t="s">
        <v>7821</v>
      </c>
      <c r="G402" t="s">
        <v>74</v>
      </c>
      <c r="H402" t="s">
        <v>74</v>
      </c>
      <c r="I402" t="s">
        <v>7822</v>
      </c>
      <c r="J402" t="s">
        <v>1129</v>
      </c>
      <c r="K402" t="s">
        <v>74</v>
      </c>
      <c r="L402" t="s">
        <v>74</v>
      </c>
      <c r="M402" t="s">
        <v>78</v>
      </c>
      <c r="N402" t="s">
        <v>79</v>
      </c>
      <c r="O402" t="s">
        <v>74</v>
      </c>
      <c r="P402" t="s">
        <v>74</v>
      </c>
      <c r="Q402" t="s">
        <v>74</v>
      </c>
      <c r="R402" t="s">
        <v>74</v>
      </c>
      <c r="S402" t="s">
        <v>74</v>
      </c>
      <c r="T402" t="s">
        <v>74</v>
      </c>
      <c r="U402" t="s">
        <v>7823</v>
      </c>
      <c r="V402" t="s">
        <v>7824</v>
      </c>
      <c r="W402" t="s">
        <v>7825</v>
      </c>
      <c r="X402" t="s">
        <v>7826</v>
      </c>
      <c r="Y402" t="s">
        <v>7827</v>
      </c>
      <c r="Z402" t="s">
        <v>7828</v>
      </c>
      <c r="AA402" t="s">
        <v>7829</v>
      </c>
      <c r="AB402" t="s">
        <v>7830</v>
      </c>
      <c r="AC402" t="s">
        <v>7831</v>
      </c>
      <c r="AD402" t="s">
        <v>7832</v>
      </c>
      <c r="AE402" t="s">
        <v>7833</v>
      </c>
      <c r="AF402" t="s">
        <v>74</v>
      </c>
      <c r="AG402">
        <v>26</v>
      </c>
      <c r="AH402">
        <v>111</v>
      </c>
      <c r="AI402">
        <v>127</v>
      </c>
      <c r="AJ402">
        <v>0</v>
      </c>
      <c r="AK402">
        <v>154</v>
      </c>
      <c r="AL402" t="s">
        <v>979</v>
      </c>
      <c r="AM402" t="s">
        <v>980</v>
      </c>
      <c r="AN402" t="s">
        <v>981</v>
      </c>
      <c r="AO402" t="s">
        <v>1135</v>
      </c>
      <c r="AP402" t="s">
        <v>1136</v>
      </c>
      <c r="AQ402" t="s">
        <v>74</v>
      </c>
      <c r="AR402" t="s">
        <v>1129</v>
      </c>
      <c r="AS402" t="s">
        <v>1137</v>
      </c>
      <c r="AT402" t="s">
        <v>7834</v>
      </c>
      <c r="AU402">
        <v>2014</v>
      </c>
      <c r="AV402">
        <v>511</v>
      </c>
      <c r="AW402">
        <v>7510</v>
      </c>
      <c r="AX402" t="s">
        <v>74</v>
      </c>
      <c r="AY402" t="s">
        <v>74</v>
      </c>
      <c r="AZ402" t="s">
        <v>74</v>
      </c>
      <c r="BA402" t="s">
        <v>74</v>
      </c>
      <c r="BB402">
        <v>462</v>
      </c>
      <c r="BC402" t="s">
        <v>4545</v>
      </c>
      <c r="BD402" t="s">
        <v>74</v>
      </c>
      <c r="BE402" t="s">
        <v>7835</v>
      </c>
      <c r="BF402" t="str">
        <f>HYPERLINK("http://dx.doi.org/10.1038/nature13542","http://dx.doi.org/10.1038/nature13542")</f>
        <v>http://dx.doi.org/10.1038/nature13542</v>
      </c>
      <c r="BG402" t="s">
        <v>74</v>
      </c>
      <c r="BH402" t="s">
        <v>74</v>
      </c>
      <c r="BI402">
        <v>13</v>
      </c>
      <c r="BJ402" t="s">
        <v>660</v>
      </c>
      <c r="BK402" t="s">
        <v>102</v>
      </c>
      <c r="BL402" t="s">
        <v>661</v>
      </c>
      <c r="BM402" t="s">
        <v>7836</v>
      </c>
      <c r="BN402">
        <v>25056064</v>
      </c>
      <c r="BO402" t="s">
        <v>74</v>
      </c>
      <c r="BP402" t="s">
        <v>74</v>
      </c>
      <c r="BQ402" t="s">
        <v>74</v>
      </c>
      <c r="BR402" t="s">
        <v>105</v>
      </c>
      <c r="BS402" t="s">
        <v>7837</v>
      </c>
      <c r="BT402" t="str">
        <f>HYPERLINK("https%3A%2F%2Fwww.webofscience.com%2Fwos%2Fwoscc%2Ffull-record%2FWOS:000339335700045","View Full Record in Web of Science")</f>
        <v>View Full Record in Web of Science</v>
      </c>
    </row>
    <row r="403" spans="1:72" x14ac:dyDescent="0.15">
      <c r="A403" t="s">
        <v>72</v>
      </c>
      <c r="B403" t="s">
        <v>7838</v>
      </c>
      <c r="C403" t="s">
        <v>74</v>
      </c>
      <c r="D403" t="s">
        <v>74</v>
      </c>
      <c r="E403" t="s">
        <v>74</v>
      </c>
      <c r="F403" t="s">
        <v>7839</v>
      </c>
      <c r="G403" t="s">
        <v>74</v>
      </c>
      <c r="H403" t="s">
        <v>74</v>
      </c>
      <c r="I403" t="s">
        <v>7840</v>
      </c>
      <c r="J403" t="s">
        <v>1083</v>
      </c>
      <c r="K403" t="s">
        <v>74</v>
      </c>
      <c r="L403" t="s">
        <v>74</v>
      </c>
      <c r="M403" t="s">
        <v>78</v>
      </c>
      <c r="N403" t="s">
        <v>79</v>
      </c>
      <c r="O403" t="s">
        <v>74</v>
      </c>
      <c r="P403" t="s">
        <v>74</v>
      </c>
      <c r="Q403" t="s">
        <v>74</v>
      </c>
      <c r="R403" t="s">
        <v>74</v>
      </c>
      <c r="S403" t="s">
        <v>74</v>
      </c>
      <c r="T403" t="s">
        <v>74</v>
      </c>
      <c r="U403" t="s">
        <v>7841</v>
      </c>
      <c r="V403" t="s">
        <v>7842</v>
      </c>
      <c r="W403" t="s">
        <v>7843</v>
      </c>
      <c r="X403" t="s">
        <v>7844</v>
      </c>
      <c r="Y403" t="s">
        <v>7845</v>
      </c>
      <c r="Z403" t="s">
        <v>7846</v>
      </c>
      <c r="AA403" t="s">
        <v>7847</v>
      </c>
      <c r="AB403" t="s">
        <v>7848</v>
      </c>
      <c r="AC403" t="s">
        <v>7849</v>
      </c>
      <c r="AD403" t="s">
        <v>7850</v>
      </c>
      <c r="AE403" t="s">
        <v>7851</v>
      </c>
      <c r="AF403" t="s">
        <v>74</v>
      </c>
      <c r="AG403">
        <v>103</v>
      </c>
      <c r="AH403">
        <v>29</v>
      </c>
      <c r="AI403">
        <v>30</v>
      </c>
      <c r="AJ403">
        <v>1</v>
      </c>
      <c r="AK403">
        <v>23</v>
      </c>
      <c r="AL403" t="s">
        <v>1090</v>
      </c>
      <c r="AM403" t="s">
        <v>1091</v>
      </c>
      <c r="AN403" t="s">
        <v>1092</v>
      </c>
      <c r="AO403" t="s">
        <v>1093</v>
      </c>
      <c r="AP403" t="s">
        <v>74</v>
      </c>
      <c r="AQ403" t="s">
        <v>74</v>
      </c>
      <c r="AR403" t="s">
        <v>1083</v>
      </c>
      <c r="AS403" t="s">
        <v>1094</v>
      </c>
      <c r="AT403" t="s">
        <v>7852</v>
      </c>
      <c r="AU403">
        <v>2014</v>
      </c>
      <c r="AV403">
        <v>9</v>
      </c>
      <c r="AW403">
        <v>7</v>
      </c>
      <c r="AX403" t="s">
        <v>74</v>
      </c>
      <c r="AY403" t="s">
        <v>74</v>
      </c>
      <c r="AZ403" t="s">
        <v>74</v>
      </c>
      <c r="BA403" t="s">
        <v>74</v>
      </c>
      <c r="BB403" t="s">
        <v>74</v>
      </c>
      <c r="BC403" t="s">
        <v>74</v>
      </c>
      <c r="BD403" t="s">
        <v>7853</v>
      </c>
      <c r="BE403" t="s">
        <v>7854</v>
      </c>
      <c r="BF403" t="str">
        <f>HYPERLINK("http://dx.doi.org/10.1371/journal.pone.0103195","http://dx.doi.org/10.1371/journal.pone.0103195")</f>
        <v>http://dx.doi.org/10.1371/journal.pone.0103195</v>
      </c>
      <c r="BG403" t="s">
        <v>74</v>
      </c>
      <c r="BH403" t="s">
        <v>74</v>
      </c>
      <c r="BI403">
        <v>17</v>
      </c>
      <c r="BJ403" t="s">
        <v>660</v>
      </c>
      <c r="BK403" t="s">
        <v>102</v>
      </c>
      <c r="BL403" t="s">
        <v>661</v>
      </c>
      <c r="BM403" t="s">
        <v>7855</v>
      </c>
      <c r="BN403">
        <v>25051333</v>
      </c>
      <c r="BO403" t="s">
        <v>1189</v>
      </c>
      <c r="BP403" t="s">
        <v>74</v>
      </c>
      <c r="BQ403" t="s">
        <v>74</v>
      </c>
      <c r="BR403" t="s">
        <v>105</v>
      </c>
      <c r="BS403" t="s">
        <v>7856</v>
      </c>
      <c r="BT403" t="str">
        <f>HYPERLINK("https%3A%2F%2Fwww.webofscience.com%2Fwos%2Fwoscc%2Ffull-record%2FWOS:000339551100096","View Full Record in Web of Science")</f>
        <v>View Full Record in Web of Science</v>
      </c>
    </row>
    <row r="404" spans="1:72" x14ac:dyDescent="0.15">
      <c r="A404" t="s">
        <v>72</v>
      </c>
      <c r="B404" t="s">
        <v>7857</v>
      </c>
      <c r="C404" t="s">
        <v>74</v>
      </c>
      <c r="D404" t="s">
        <v>74</v>
      </c>
      <c r="E404" t="s">
        <v>74</v>
      </c>
      <c r="F404" t="s">
        <v>7858</v>
      </c>
      <c r="G404" t="s">
        <v>74</v>
      </c>
      <c r="H404" t="s">
        <v>74</v>
      </c>
      <c r="I404" t="s">
        <v>7859</v>
      </c>
      <c r="J404" t="s">
        <v>7860</v>
      </c>
      <c r="K404" t="s">
        <v>74</v>
      </c>
      <c r="L404" t="s">
        <v>74</v>
      </c>
      <c r="M404" t="s">
        <v>78</v>
      </c>
      <c r="N404" t="s">
        <v>79</v>
      </c>
      <c r="O404" t="s">
        <v>74</v>
      </c>
      <c r="P404" t="s">
        <v>74</v>
      </c>
      <c r="Q404" t="s">
        <v>74</v>
      </c>
      <c r="R404" t="s">
        <v>74</v>
      </c>
      <c r="S404" t="s">
        <v>74</v>
      </c>
      <c r="T404" t="s">
        <v>7861</v>
      </c>
      <c r="U404" t="s">
        <v>7862</v>
      </c>
      <c r="V404" t="s">
        <v>7863</v>
      </c>
      <c r="W404" t="s">
        <v>7864</v>
      </c>
      <c r="X404" t="s">
        <v>7865</v>
      </c>
      <c r="Y404" t="s">
        <v>7866</v>
      </c>
      <c r="Z404" t="s">
        <v>7867</v>
      </c>
      <c r="AA404" t="s">
        <v>7868</v>
      </c>
      <c r="AB404" t="s">
        <v>7869</v>
      </c>
      <c r="AC404" t="s">
        <v>7870</v>
      </c>
      <c r="AD404" t="s">
        <v>7871</v>
      </c>
      <c r="AE404" t="s">
        <v>7872</v>
      </c>
      <c r="AF404" t="s">
        <v>74</v>
      </c>
      <c r="AG404">
        <v>36</v>
      </c>
      <c r="AH404">
        <v>55</v>
      </c>
      <c r="AI404">
        <v>63</v>
      </c>
      <c r="AJ404">
        <v>4</v>
      </c>
      <c r="AK404">
        <v>91</v>
      </c>
      <c r="AL404" t="s">
        <v>1070</v>
      </c>
      <c r="AM404" t="s">
        <v>654</v>
      </c>
      <c r="AN404" t="s">
        <v>1071</v>
      </c>
      <c r="AO404" t="s">
        <v>7873</v>
      </c>
      <c r="AP404" t="s">
        <v>7874</v>
      </c>
      <c r="AQ404" t="s">
        <v>74</v>
      </c>
      <c r="AR404" t="s">
        <v>7875</v>
      </c>
      <c r="AS404" t="s">
        <v>7876</v>
      </c>
      <c r="AT404" t="s">
        <v>7852</v>
      </c>
      <c r="AU404">
        <v>2014</v>
      </c>
      <c r="AV404">
        <v>281</v>
      </c>
      <c r="AW404">
        <v>1787</v>
      </c>
      <c r="AX404" t="s">
        <v>74</v>
      </c>
      <c r="AY404" t="s">
        <v>74</v>
      </c>
      <c r="AZ404" t="s">
        <v>74</v>
      </c>
      <c r="BA404" t="s">
        <v>74</v>
      </c>
      <c r="BB404" t="s">
        <v>74</v>
      </c>
      <c r="BC404" t="s">
        <v>74</v>
      </c>
      <c r="BD404">
        <v>20140893</v>
      </c>
      <c r="BE404" t="s">
        <v>7877</v>
      </c>
      <c r="BF404" t="str">
        <f>HYPERLINK("http://dx.doi.org/10.1098/rspb.2014.0893","http://dx.doi.org/10.1098/rspb.2014.0893")</f>
        <v>http://dx.doi.org/10.1098/rspb.2014.0893</v>
      </c>
      <c r="BG404" t="s">
        <v>74</v>
      </c>
      <c r="BH404" t="s">
        <v>74</v>
      </c>
      <c r="BI404">
        <v>7</v>
      </c>
      <c r="BJ404" t="s">
        <v>3368</v>
      </c>
      <c r="BK404" t="s">
        <v>102</v>
      </c>
      <c r="BL404" t="s">
        <v>3369</v>
      </c>
      <c r="BM404" t="s">
        <v>7878</v>
      </c>
      <c r="BN404">
        <v>24920475</v>
      </c>
      <c r="BO404" t="s">
        <v>1053</v>
      </c>
      <c r="BP404" t="s">
        <v>74</v>
      </c>
      <c r="BQ404" t="s">
        <v>74</v>
      </c>
      <c r="BR404" t="s">
        <v>105</v>
      </c>
      <c r="BS404" t="s">
        <v>7879</v>
      </c>
      <c r="BT404" t="str">
        <f>HYPERLINK("https%3A%2F%2Fwww.webofscience.com%2Fwos%2Fwoscc%2Ffull-record%2FWOS:000338335800030","View Full Record in Web of Science")</f>
        <v>View Full Record in Web of Science</v>
      </c>
    </row>
    <row r="405" spans="1:72" x14ac:dyDescent="0.15">
      <c r="A405" t="s">
        <v>72</v>
      </c>
      <c r="B405" t="s">
        <v>7880</v>
      </c>
      <c r="C405" t="s">
        <v>74</v>
      </c>
      <c r="D405" t="s">
        <v>74</v>
      </c>
      <c r="E405" t="s">
        <v>74</v>
      </c>
      <c r="F405" t="s">
        <v>7881</v>
      </c>
      <c r="G405" t="s">
        <v>74</v>
      </c>
      <c r="H405" t="s">
        <v>74</v>
      </c>
      <c r="I405" t="s">
        <v>7882</v>
      </c>
      <c r="J405" t="s">
        <v>7860</v>
      </c>
      <c r="K405" t="s">
        <v>74</v>
      </c>
      <c r="L405" t="s">
        <v>74</v>
      </c>
      <c r="M405" t="s">
        <v>78</v>
      </c>
      <c r="N405" t="s">
        <v>79</v>
      </c>
      <c r="O405" t="s">
        <v>74</v>
      </c>
      <c r="P405" t="s">
        <v>74</v>
      </c>
      <c r="Q405" t="s">
        <v>74</v>
      </c>
      <c r="R405" t="s">
        <v>74</v>
      </c>
      <c r="S405" t="s">
        <v>74</v>
      </c>
      <c r="T405" t="s">
        <v>7883</v>
      </c>
      <c r="U405" t="s">
        <v>7884</v>
      </c>
      <c r="V405" t="s">
        <v>7885</v>
      </c>
      <c r="W405" t="s">
        <v>7886</v>
      </c>
      <c r="X405" t="s">
        <v>7887</v>
      </c>
      <c r="Y405" t="s">
        <v>7888</v>
      </c>
      <c r="Z405" t="s">
        <v>7889</v>
      </c>
      <c r="AA405" t="s">
        <v>7890</v>
      </c>
      <c r="AB405" t="s">
        <v>7891</v>
      </c>
      <c r="AC405" t="s">
        <v>7892</v>
      </c>
      <c r="AD405" t="s">
        <v>7893</v>
      </c>
      <c r="AE405" t="s">
        <v>7894</v>
      </c>
      <c r="AF405" t="s">
        <v>74</v>
      </c>
      <c r="AG405">
        <v>52</v>
      </c>
      <c r="AH405">
        <v>43</v>
      </c>
      <c r="AI405">
        <v>50</v>
      </c>
      <c r="AJ405">
        <v>0</v>
      </c>
      <c r="AK405">
        <v>89</v>
      </c>
      <c r="AL405" t="s">
        <v>1070</v>
      </c>
      <c r="AM405" t="s">
        <v>654</v>
      </c>
      <c r="AN405" t="s">
        <v>1071</v>
      </c>
      <c r="AO405" t="s">
        <v>7873</v>
      </c>
      <c r="AP405" t="s">
        <v>7874</v>
      </c>
      <c r="AQ405" t="s">
        <v>74</v>
      </c>
      <c r="AR405" t="s">
        <v>7875</v>
      </c>
      <c r="AS405" t="s">
        <v>7876</v>
      </c>
      <c r="AT405" t="s">
        <v>7852</v>
      </c>
      <c r="AU405">
        <v>2014</v>
      </c>
      <c r="AV405">
        <v>281</v>
      </c>
      <c r="AW405">
        <v>1787</v>
      </c>
      <c r="AX405" t="s">
        <v>74</v>
      </c>
      <c r="AY405" t="s">
        <v>74</v>
      </c>
      <c r="AZ405" t="s">
        <v>74</v>
      </c>
      <c r="BA405" t="s">
        <v>74</v>
      </c>
      <c r="BB405" t="s">
        <v>74</v>
      </c>
      <c r="BC405" t="s">
        <v>74</v>
      </c>
      <c r="BD405">
        <v>20140528</v>
      </c>
      <c r="BE405" t="s">
        <v>7895</v>
      </c>
      <c r="BF405" t="str">
        <f>HYPERLINK("http://dx.doi.org/10.1098/rspb.2014.0528","http://dx.doi.org/10.1098/rspb.2014.0528")</f>
        <v>http://dx.doi.org/10.1098/rspb.2014.0528</v>
      </c>
      <c r="BG405" t="s">
        <v>74</v>
      </c>
      <c r="BH405" t="s">
        <v>74</v>
      </c>
      <c r="BI405">
        <v>8</v>
      </c>
      <c r="BJ405" t="s">
        <v>3368</v>
      </c>
      <c r="BK405" t="s">
        <v>102</v>
      </c>
      <c r="BL405" t="s">
        <v>3369</v>
      </c>
      <c r="BM405" t="s">
        <v>7878</v>
      </c>
      <c r="BN405">
        <v>24920481</v>
      </c>
      <c r="BO405" t="s">
        <v>1053</v>
      </c>
      <c r="BP405" t="s">
        <v>74</v>
      </c>
      <c r="BQ405" t="s">
        <v>74</v>
      </c>
      <c r="BR405" t="s">
        <v>105</v>
      </c>
      <c r="BS405" t="s">
        <v>7896</v>
      </c>
      <c r="BT405" t="str">
        <f>HYPERLINK("https%3A%2F%2Fwww.webofscience.com%2Fwos%2Fwoscc%2Ffull-record%2FWOS:000338335800015","View Full Record in Web of Science")</f>
        <v>View Full Record in Web of Science</v>
      </c>
    </row>
    <row r="406" spans="1:72" x14ac:dyDescent="0.15">
      <c r="A406" t="s">
        <v>72</v>
      </c>
      <c r="B406" t="s">
        <v>7897</v>
      </c>
      <c r="C406" t="s">
        <v>74</v>
      </c>
      <c r="D406" t="s">
        <v>74</v>
      </c>
      <c r="E406" t="s">
        <v>74</v>
      </c>
      <c r="F406" t="s">
        <v>7898</v>
      </c>
      <c r="G406" t="s">
        <v>74</v>
      </c>
      <c r="H406" t="s">
        <v>74</v>
      </c>
      <c r="I406" t="s">
        <v>7899</v>
      </c>
      <c r="J406" t="s">
        <v>1083</v>
      </c>
      <c r="K406" t="s">
        <v>74</v>
      </c>
      <c r="L406" t="s">
        <v>74</v>
      </c>
      <c r="M406" t="s">
        <v>78</v>
      </c>
      <c r="N406" t="s">
        <v>79</v>
      </c>
      <c r="O406" t="s">
        <v>74</v>
      </c>
      <c r="P406" t="s">
        <v>74</v>
      </c>
      <c r="Q406" t="s">
        <v>74</v>
      </c>
      <c r="R406" t="s">
        <v>74</v>
      </c>
      <c r="S406" t="s">
        <v>74</v>
      </c>
      <c r="T406" t="s">
        <v>74</v>
      </c>
      <c r="U406" t="s">
        <v>7900</v>
      </c>
      <c r="V406" t="s">
        <v>7901</v>
      </c>
      <c r="W406" t="s">
        <v>7902</v>
      </c>
      <c r="X406" t="s">
        <v>7903</v>
      </c>
      <c r="Y406" t="s">
        <v>7904</v>
      </c>
      <c r="Z406" t="s">
        <v>7905</v>
      </c>
      <c r="AA406" t="s">
        <v>7906</v>
      </c>
      <c r="AB406" t="s">
        <v>7907</v>
      </c>
      <c r="AC406" t="s">
        <v>7908</v>
      </c>
      <c r="AD406" t="s">
        <v>7908</v>
      </c>
      <c r="AE406" t="s">
        <v>7909</v>
      </c>
      <c r="AF406" t="s">
        <v>74</v>
      </c>
      <c r="AG406">
        <v>139</v>
      </c>
      <c r="AH406">
        <v>47</v>
      </c>
      <c r="AI406">
        <v>48</v>
      </c>
      <c r="AJ406">
        <v>1</v>
      </c>
      <c r="AK406">
        <v>46</v>
      </c>
      <c r="AL406" t="s">
        <v>1090</v>
      </c>
      <c r="AM406" t="s">
        <v>1091</v>
      </c>
      <c r="AN406" t="s">
        <v>1092</v>
      </c>
      <c r="AO406" t="s">
        <v>1093</v>
      </c>
      <c r="AP406" t="s">
        <v>74</v>
      </c>
      <c r="AQ406" t="s">
        <v>74</v>
      </c>
      <c r="AR406" t="s">
        <v>1083</v>
      </c>
      <c r="AS406" t="s">
        <v>1094</v>
      </c>
      <c r="AT406" t="s">
        <v>7910</v>
      </c>
      <c r="AU406">
        <v>2014</v>
      </c>
      <c r="AV406">
        <v>9</v>
      </c>
      <c r="AW406">
        <v>7</v>
      </c>
      <c r="AX406" t="s">
        <v>74</v>
      </c>
      <c r="AY406" t="s">
        <v>74</v>
      </c>
      <c r="AZ406" t="s">
        <v>74</v>
      </c>
      <c r="BA406" t="s">
        <v>74</v>
      </c>
      <c r="BB406" t="s">
        <v>74</v>
      </c>
      <c r="BC406" t="s">
        <v>74</v>
      </c>
      <c r="BD406" t="s">
        <v>7911</v>
      </c>
      <c r="BE406" t="s">
        <v>7912</v>
      </c>
      <c r="BF406" t="str">
        <f>HYPERLINK("http://dx.doi.org/10.1371/journal.pone.0100551","http://dx.doi.org/10.1371/journal.pone.0100551")</f>
        <v>http://dx.doi.org/10.1371/journal.pone.0100551</v>
      </c>
      <c r="BG406" t="s">
        <v>74</v>
      </c>
      <c r="BH406" t="s">
        <v>74</v>
      </c>
      <c r="BI406">
        <v>16</v>
      </c>
      <c r="BJ406" t="s">
        <v>660</v>
      </c>
      <c r="BK406" t="s">
        <v>102</v>
      </c>
      <c r="BL406" t="s">
        <v>661</v>
      </c>
      <c r="BM406" t="s">
        <v>7913</v>
      </c>
      <c r="BN406">
        <v>25032993</v>
      </c>
      <c r="BO406" t="s">
        <v>7914</v>
      </c>
      <c r="BP406" t="s">
        <v>74</v>
      </c>
      <c r="BQ406" t="s">
        <v>74</v>
      </c>
      <c r="BR406" t="s">
        <v>105</v>
      </c>
      <c r="BS406" t="s">
        <v>7915</v>
      </c>
      <c r="BT406" t="str">
        <f>HYPERLINK("https%3A%2F%2Fwww.webofscience.com%2Fwos%2Fwoscc%2Ffull-record%2FWOS:000339418300009","View Full Record in Web of Science")</f>
        <v>View Full Record in Web of Science</v>
      </c>
    </row>
    <row r="407" spans="1:72" x14ac:dyDescent="0.15">
      <c r="A407" t="s">
        <v>72</v>
      </c>
      <c r="B407" t="s">
        <v>7916</v>
      </c>
      <c r="C407" t="s">
        <v>74</v>
      </c>
      <c r="D407" t="s">
        <v>74</v>
      </c>
      <c r="E407" t="s">
        <v>74</v>
      </c>
      <c r="F407" t="s">
        <v>7917</v>
      </c>
      <c r="G407" t="s">
        <v>74</v>
      </c>
      <c r="H407" t="s">
        <v>74</v>
      </c>
      <c r="I407" t="s">
        <v>7918</v>
      </c>
      <c r="J407" t="s">
        <v>1144</v>
      </c>
      <c r="K407" t="s">
        <v>74</v>
      </c>
      <c r="L407" t="s">
        <v>74</v>
      </c>
      <c r="M407" t="s">
        <v>78</v>
      </c>
      <c r="N407" t="s">
        <v>79</v>
      </c>
      <c r="O407" t="s">
        <v>74</v>
      </c>
      <c r="P407" t="s">
        <v>74</v>
      </c>
      <c r="Q407" t="s">
        <v>74</v>
      </c>
      <c r="R407" t="s">
        <v>74</v>
      </c>
      <c r="S407" t="s">
        <v>74</v>
      </c>
      <c r="T407" t="s">
        <v>7919</v>
      </c>
      <c r="U407" t="s">
        <v>7920</v>
      </c>
      <c r="V407" t="s">
        <v>7921</v>
      </c>
      <c r="W407" t="s">
        <v>7922</v>
      </c>
      <c r="X407" t="s">
        <v>7923</v>
      </c>
      <c r="Y407" t="s">
        <v>7924</v>
      </c>
      <c r="Z407" t="s">
        <v>7925</v>
      </c>
      <c r="AA407" t="s">
        <v>7926</v>
      </c>
      <c r="AB407" t="s">
        <v>7927</v>
      </c>
      <c r="AC407" t="s">
        <v>7928</v>
      </c>
      <c r="AD407" t="s">
        <v>7929</v>
      </c>
      <c r="AE407" t="s">
        <v>7930</v>
      </c>
      <c r="AF407" t="s">
        <v>74</v>
      </c>
      <c r="AG407">
        <v>67</v>
      </c>
      <c r="AH407">
        <v>14</v>
      </c>
      <c r="AI407">
        <v>14</v>
      </c>
      <c r="AJ407">
        <v>0</v>
      </c>
      <c r="AK407">
        <v>17</v>
      </c>
      <c r="AL407" t="s">
        <v>1156</v>
      </c>
      <c r="AM407" t="s">
        <v>1157</v>
      </c>
      <c r="AN407" t="s">
        <v>1158</v>
      </c>
      <c r="AO407" t="s">
        <v>1159</v>
      </c>
      <c r="AP407" t="s">
        <v>1160</v>
      </c>
      <c r="AQ407" t="s">
        <v>74</v>
      </c>
      <c r="AR407" t="s">
        <v>1161</v>
      </c>
      <c r="AS407" t="s">
        <v>1162</v>
      </c>
      <c r="AT407" t="s">
        <v>7910</v>
      </c>
      <c r="AU407">
        <v>2014</v>
      </c>
      <c r="AV407">
        <v>507</v>
      </c>
      <c r="AW407" t="s">
        <v>74</v>
      </c>
      <c r="AX407" t="s">
        <v>74</v>
      </c>
      <c r="AY407" t="s">
        <v>74</v>
      </c>
      <c r="AZ407" t="s">
        <v>74</v>
      </c>
      <c r="BA407" t="s">
        <v>74</v>
      </c>
      <c r="BB407">
        <v>169</v>
      </c>
      <c r="BC407">
        <v>180</v>
      </c>
      <c r="BD407" t="s">
        <v>74</v>
      </c>
      <c r="BE407" t="s">
        <v>7931</v>
      </c>
      <c r="BF407" t="str">
        <f>HYPERLINK("http://dx.doi.org/10.3354/meps10826","http://dx.doi.org/10.3354/meps10826")</f>
        <v>http://dx.doi.org/10.3354/meps10826</v>
      </c>
      <c r="BG407" t="s">
        <v>74</v>
      </c>
      <c r="BH407" t="s">
        <v>74</v>
      </c>
      <c r="BI407">
        <v>12</v>
      </c>
      <c r="BJ407" t="s">
        <v>1165</v>
      </c>
      <c r="BK407" t="s">
        <v>102</v>
      </c>
      <c r="BL407" t="s">
        <v>1166</v>
      </c>
      <c r="BM407" t="s">
        <v>7932</v>
      </c>
      <c r="BN407" t="s">
        <v>74</v>
      </c>
      <c r="BO407" t="s">
        <v>179</v>
      </c>
      <c r="BP407" t="s">
        <v>74</v>
      </c>
      <c r="BQ407" t="s">
        <v>74</v>
      </c>
      <c r="BR407" t="s">
        <v>105</v>
      </c>
      <c r="BS407" t="s">
        <v>7933</v>
      </c>
      <c r="BT407" t="str">
        <f>HYPERLINK("https%3A%2F%2Fwww.webofscience.com%2Fwos%2Fwoscc%2Ffull-record%2FWOS:000340982100013","View Full Record in Web of Science")</f>
        <v>View Full Record in Web of Science</v>
      </c>
    </row>
    <row r="408" spans="1:72" x14ac:dyDescent="0.15">
      <c r="A408" t="s">
        <v>72</v>
      </c>
      <c r="B408" t="s">
        <v>7934</v>
      </c>
      <c r="C408" t="s">
        <v>74</v>
      </c>
      <c r="D408" t="s">
        <v>74</v>
      </c>
      <c r="E408" t="s">
        <v>74</v>
      </c>
      <c r="F408" t="s">
        <v>7935</v>
      </c>
      <c r="G408" t="s">
        <v>74</v>
      </c>
      <c r="H408" t="s">
        <v>74</v>
      </c>
      <c r="I408" t="s">
        <v>7936</v>
      </c>
      <c r="J408" t="s">
        <v>4474</v>
      </c>
      <c r="K408" t="s">
        <v>74</v>
      </c>
      <c r="L408" t="s">
        <v>74</v>
      </c>
      <c r="M408" t="s">
        <v>78</v>
      </c>
      <c r="N408" t="s">
        <v>79</v>
      </c>
      <c r="O408" t="s">
        <v>74</v>
      </c>
      <c r="P408" t="s">
        <v>74</v>
      </c>
      <c r="Q408" t="s">
        <v>74</v>
      </c>
      <c r="R408" t="s">
        <v>74</v>
      </c>
      <c r="S408" t="s">
        <v>74</v>
      </c>
      <c r="T408" t="s">
        <v>74</v>
      </c>
      <c r="U408" t="s">
        <v>7937</v>
      </c>
      <c r="V408" t="s">
        <v>7938</v>
      </c>
      <c r="W408" t="s">
        <v>7939</v>
      </c>
      <c r="X408" t="s">
        <v>7940</v>
      </c>
      <c r="Y408" t="s">
        <v>7941</v>
      </c>
      <c r="Z408" t="s">
        <v>7942</v>
      </c>
      <c r="AA408" t="s">
        <v>7943</v>
      </c>
      <c r="AB408" t="s">
        <v>7944</v>
      </c>
      <c r="AC408" t="s">
        <v>7945</v>
      </c>
      <c r="AD408" t="s">
        <v>7945</v>
      </c>
      <c r="AE408" t="s">
        <v>7946</v>
      </c>
      <c r="AF408" t="s">
        <v>74</v>
      </c>
      <c r="AG408">
        <v>86</v>
      </c>
      <c r="AH408">
        <v>17</v>
      </c>
      <c r="AI408">
        <v>17</v>
      </c>
      <c r="AJ408">
        <v>1</v>
      </c>
      <c r="AK408">
        <v>22</v>
      </c>
      <c r="AL408" t="s">
        <v>331</v>
      </c>
      <c r="AM408" t="s">
        <v>332</v>
      </c>
      <c r="AN408" t="s">
        <v>333</v>
      </c>
      <c r="AO408" t="s">
        <v>4485</v>
      </c>
      <c r="AP408" t="s">
        <v>4486</v>
      </c>
      <c r="AQ408" t="s">
        <v>74</v>
      </c>
      <c r="AR408" t="s">
        <v>4487</v>
      </c>
      <c r="AS408" t="s">
        <v>4488</v>
      </c>
      <c r="AT408" t="s">
        <v>7947</v>
      </c>
      <c r="AU408">
        <v>2014</v>
      </c>
      <c r="AV408">
        <v>119</v>
      </c>
      <c r="AW408">
        <v>13</v>
      </c>
      <c r="AX408" t="s">
        <v>74</v>
      </c>
      <c r="AY408" t="s">
        <v>74</v>
      </c>
      <c r="AZ408" t="s">
        <v>74</v>
      </c>
      <c r="BA408" t="s">
        <v>74</v>
      </c>
      <c r="BB408" t="s">
        <v>74</v>
      </c>
      <c r="BC408" t="s">
        <v>74</v>
      </c>
      <c r="BD408" t="s">
        <v>7948</v>
      </c>
      <c r="BE408" t="s">
        <v>7949</v>
      </c>
      <c r="BF408" t="str">
        <f>HYPERLINK("http://dx.doi.org/10.1002/2014JD021918","http://dx.doi.org/10.1002/2014JD021918")</f>
        <v>http://dx.doi.org/10.1002/2014JD021918</v>
      </c>
      <c r="BG408" t="s">
        <v>74</v>
      </c>
      <c r="BH408" t="s">
        <v>74</v>
      </c>
      <c r="BI408">
        <v>18</v>
      </c>
      <c r="BJ408" t="s">
        <v>177</v>
      </c>
      <c r="BK408" t="s">
        <v>102</v>
      </c>
      <c r="BL408" t="s">
        <v>177</v>
      </c>
      <c r="BM408" t="s">
        <v>7950</v>
      </c>
      <c r="BN408" t="s">
        <v>74</v>
      </c>
      <c r="BO408" t="s">
        <v>74</v>
      </c>
      <c r="BP408" t="s">
        <v>74</v>
      </c>
      <c r="BQ408" t="s">
        <v>74</v>
      </c>
      <c r="BR408" t="s">
        <v>105</v>
      </c>
      <c r="BS408" t="s">
        <v>7951</v>
      </c>
      <c r="BT408" t="str">
        <f>HYPERLINK("https%3A%2F%2Fwww.webofscience.com%2Fwos%2Fwoscc%2Ffull-record%2FWOS:000340408000018","View Full Record in Web of Science")</f>
        <v>View Full Record in Web of Science</v>
      </c>
    </row>
    <row r="409" spans="1:72" x14ac:dyDescent="0.15">
      <c r="A409" t="s">
        <v>72</v>
      </c>
      <c r="B409" t="s">
        <v>7952</v>
      </c>
      <c r="C409" t="s">
        <v>74</v>
      </c>
      <c r="D409" t="s">
        <v>74</v>
      </c>
      <c r="E409" t="s">
        <v>74</v>
      </c>
      <c r="F409" t="s">
        <v>7953</v>
      </c>
      <c r="G409" t="s">
        <v>74</v>
      </c>
      <c r="H409" t="s">
        <v>74</v>
      </c>
      <c r="I409" t="s">
        <v>7954</v>
      </c>
      <c r="J409" t="s">
        <v>1018</v>
      </c>
      <c r="K409" t="s">
        <v>74</v>
      </c>
      <c r="L409" t="s">
        <v>74</v>
      </c>
      <c r="M409" t="s">
        <v>78</v>
      </c>
      <c r="N409" t="s">
        <v>79</v>
      </c>
      <c r="O409" t="s">
        <v>74</v>
      </c>
      <c r="P409" t="s">
        <v>74</v>
      </c>
      <c r="Q409" t="s">
        <v>74</v>
      </c>
      <c r="R409" t="s">
        <v>74</v>
      </c>
      <c r="S409" t="s">
        <v>74</v>
      </c>
      <c r="T409" t="s">
        <v>74</v>
      </c>
      <c r="U409" t="s">
        <v>7955</v>
      </c>
      <c r="V409" t="s">
        <v>7956</v>
      </c>
      <c r="W409" t="s">
        <v>7957</v>
      </c>
      <c r="X409" t="s">
        <v>7958</v>
      </c>
      <c r="Y409" t="s">
        <v>7959</v>
      </c>
      <c r="Z409" t="s">
        <v>7960</v>
      </c>
      <c r="AA409" t="s">
        <v>7961</v>
      </c>
      <c r="AB409" t="s">
        <v>7962</v>
      </c>
      <c r="AC409" t="s">
        <v>7963</v>
      </c>
      <c r="AD409" t="s">
        <v>7964</v>
      </c>
      <c r="AE409" t="s">
        <v>7965</v>
      </c>
      <c r="AF409" t="s">
        <v>74</v>
      </c>
      <c r="AG409">
        <v>47</v>
      </c>
      <c r="AH409">
        <v>162</v>
      </c>
      <c r="AI409">
        <v>184</v>
      </c>
      <c r="AJ409">
        <v>5</v>
      </c>
      <c r="AK409">
        <v>53</v>
      </c>
      <c r="AL409" t="s">
        <v>331</v>
      </c>
      <c r="AM409" t="s">
        <v>332</v>
      </c>
      <c r="AN409" t="s">
        <v>333</v>
      </c>
      <c r="AO409" t="s">
        <v>1030</v>
      </c>
      <c r="AP409" t="s">
        <v>1031</v>
      </c>
      <c r="AQ409" t="s">
        <v>74</v>
      </c>
      <c r="AR409" t="s">
        <v>1032</v>
      </c>
      <c r="AS409" t="s">
        <v>1033</v>
      </c>
      <c r="AT409" t="s">
        <v>7947</v>
      </c>
      <c r="AU409">
        <v>2014</v>
      </c>
      <c r="AV409">
        <v>41</v>
      </c>
      <c r="AW409">
        <v>13</v>
      </c>
      <c r="AX409" t="s">
        <v>74</v>
      </c>
      <c r="AY409" t="s">
        <v>74</v>
      </c>
      <c r="AZ409" t="s">
        <v>74</v>
      </c>
      <c r="BA409" t="s">
        <v>74</v>
      </c>
      <c r="BB409">
        <v>4601</v>
      </c>
      <c r="BC409">
        <v>4610</v>
      </c>
      <c r="BD409" t="s">
        <v>74</v>
      </c>
      <c r="BE409" t="s">
        <v>7966</v>
      </c>
      <c r="BF409" t="str">
        <f>HYPERLINK("http://dx.doi.org/10.1002/2014GL060613","http://dx.doi.org/10.1002/2014GL060613")</f>
        <v>http://dx.doi.org/10.1002/2014GL060613</v>
      </c>
      <c r="BG409" t="s">
        <v>74</v>
      </c>
      <c r="BH409" t="s">
        <v>74</v>
      </c>
      <c r="BI409">
        <v>10</v>
      </c>
      <c r="BJ409" t="s">
        <v>685</v>
      </c>
      <c r="BK409" t="s">
        <v>102</v>
      </c>
      <c r="BL409" t="s">
        <v>686</v>
      </c>
      <c r="BM409" t="s">
        <v>7967</v>
      </c>
      <c r="BN409" t="s">
        <v>74</v>
      </c>
      <c r="BO409" t="s">
        <v>1053</v>
      </c>
      <c r="BP409" t="s">
        <v>74</v>
      </c>
      <c r="BQ409" t="s">
        <v>74</v>
      </c>
      <c r="BR409" t="s">
        <v>105</v>
      </c>
      <c r="BS409" t="s">
        <v>7968</v>
      </c>
      <c r="BT409" t="str">
        <f>HYPERLINK("https%3A%2F%2Fwww.webofscience.com%2Fwos%2Fwoscc%2Ffull-record%2FWOS:000340295300026","View Full Record in Web of Science")</f>
        <v>View Full Record in Web of Science</v>
      </c>
    </row>
    <row r="410" spans="1:72" x14ac:dyDescent="0.15">
      <c r="A410" t="s">
        <v>72</v>
      </c>
      <c r="B410" t="s">
        <v>7969</v>
      </c>
      <c r="C410" t="s">
        <v>74</v>
      </c>
      <c r="D410" t="s">
        <v>74</v>
      </c>
      <c r="E410" t="s">
        <v>74</v>
      </c>
      <c r="F410" t="s">
        <v>7970</v>
      </c>
      <c r="G410" t="s">
        <v>74</v>
      </c>
      <c r="H410" t="s">
        <v>74</v>
      </c>
      <c r="I410" t="s">
        <v>7971</v>
      </c>
      <c r="J410" t="s">
        <v>4474</v>
      </c>
      <c r="K410" t="s">
        <v>74</v>
      </c>
      <c r="L410" t="s">
        <v>74</v>
      </c>
      <c r="M410" t="s">
        <v>78</v>
      </c>
      <c r="N410" t="s">
        <v>79</v>
      </c>
      <c r="O410" t="s">
        <v>74</v>
      </c>
      <c r="P410" t="s">
        <v>74</v>
      </c>
      <c r="Q410" t="s">
        <v>74</v>
      </c>
      <c r="R410" t="s">
        <v>74</v>
      </c>
      <c r="S410" t="s">
        <v>74</v>
      </c>
      <c r="T410" t="s">
        <v>74</v>
      </c>
      <c r="U410" t="s">
        <v>7972</v>
      </c>
      <c r="V410" t="s">
        <v>7973</v>
      </c>
      <c r="W410" t="s">
        <v>7974</v>
      </c>
      <c r="X410" t="s">
        <v>7975</v>
      </c>
      <c r="Y410" t="s">
        <v>7976</v>
      </c>
      <c r="Z410" t="s">
        <v>7977</v>
      </c>
      <c r="AA410" t="s">
        <v>74</v>
      </c>
      <c r="AB410" t="s">
        <v>7978</v>
      </c>
      <c r="AC410" t="s">
        <v>7979</v>
      </c>
      <c r="AD410" t="s">
        <v>7980</v>
      </c>
      <c r="AE410" t="s">
        <v>7981</v>
      </c>
      <c r="AF410" t="s">
        <v>74</v>
      </c>
      <c r="AG410">
        <v>57</v>
      </c>
      <c r="AH410">
        <v>16</v>
      </c>
      <c r="AI410">
        <v>19</v>
      </c>
      <c r="AJ410">
        <v>2</v>
      </c>
      <c r="AK410">
        <v>28</v>
      </c>
      <c r="AL410" t="s">
        <v>331</v>
      </c>
      <c r="AM410" t="s">
        <v>332</v>
      </c>
      <c r="AN410" t="s">
        <v>333</v>
      </c>
      <c r="AO410" t="s">
        <v>4485</v>
      </c>
      <c r="AP410" t="s">
        <v>4486</v>
      </c>
      <c r="AQ410" t="s">
        <v>74</v>
      </c>
      <c r="AR410" t="s">
        <v>4487</v>
      </c>
      <c r="AS410" t="s">
        <v>4488</v>
      </c>
      <c r="AT410" t="s">
        <v>7947</v>
      </c>
      <c r="AU410">
        <v>2014</v>
      </c>
      <c r="AV410">
        <v>119</v>
      </c>
      <c r="AW410">
        <v>13</v>
      </c>
      <c r="AX410" t="s">
        <v>74</v>
      </c>
      <c r="AY410" t="s">
        <v>74</v>
      </c>
      <c r="AZ410" t="s">
        <v>74</v>
      </c>
      <c r="BA410" t="s">
        <v>74</v>
      </c>
      <c r="BB410" t="s">
        <v>74</v>
      </c>
      <c r="BC410" t="s">
        <v>74</v>
      </c>
      <c r="BD410" t="s">
        <v>7982</v>
      </c>
      <c r="BE410" t="s">
        <v>7983</v>
      </c>
      <c r="BF410" t="str">
        <f>HYPERLINK("http://dx.doi.org/10.1002/2014JD021618","http://dx.doi.org/10.1002/2014JD021618")</f>
        <v>http://dx.doi.org/10.1002/2014JD021618</v>
      </c>
      <c r="BG410" t="s">
        <v>74</v>
      </c>
      <c r="BH410" t="s">
        <v>74</v>
      </c>
      <c r="BI410">
        <v>15</v>
      </c>
      <c r="BJ410" t="s">
        <v>177</v>
      </c>
      <c r="BK410" t="s">
        <v>102</v>
      </c>
      <c r="BL410" t="s">
        <v>177</v>
      </c>
      <c r="BM410" t="s">
        <v>7950</v>
      </c>
      <c r="BN410" t="s">
        <v>74</v>
      </c>
      <c r="BO410" t="s">
        <v>1274</v>
      </c>
      <c r="BP410" t="s">
        <v>74</v>
      </c>
      <c r="BQ410" t="s">
        <v>74</v>
      </c>
      <c r="BR410" t="s">
        <v>105</v>
      </c>
      <c r="BS410" t="s">
        <v>7984</v>
      </c>
      <c r="BT410" t="str">
        <f>HYPERLINK("https%3A%2F%2Fwww.webofscience.com%2Fwos%2Fwoscc%2Ffull-record%2FWOS:000340408000042","View Full Record in Web of Science")</f>
        <v>View Full Record in Web of Science</v>
      </c>
    </row>
    <row r="411" spans="1:72" x14ac:dyDescent="0.15">
      <c r="A411" t="s">
        <v>72</v>
      </c>
      <c r="B411" t="s">
        <v>7985</v>
      </c>
      <c r="C411" t="s">
        <v>74</v>
      </c>
      <c r="D411" t="s">
        <v>74</v>
      </c>
      <c r="E411" t="s">
        <v>74</v>
      </c>
      <c r="F411" t="s">
        <v>7986</v>
      </c>
      <c r="G411" t="s">
        <v>74</v>
      </c>
      <c r="H411" t="s">
        <v>74</v>
      </c>
      <c r="I411" t="s">
        <v>7987</v>
      </c>
      <c r="J411" t="s">
        <v>7988</v>
      </c>
      <c r="K411" t="s">
        <v>74</v>
      </c>
      <c r="L411" t="s">
        <v>74</v>
      </c>
      <c r="M411" t="s">
        <v>78</v>
      </c>
      <c r="N411" t="s">
        <v>79</v>
      </c>
      <c r="O411" t="s">
        <v>74</v>
      </c>
      <c r="P411" t="s">
        <v>74</v>
      </c>
      <c r="Q411" t="s">
        <v>74</v>
      </c>
      <c r="R411" t="s">
        <v>74</v>
      </c>
      <c r="S411" t="s">
        <v>74</v>
      </c>
      <c r="T411" t="s">
        <v>74</v>
      </c>
      <c r="U411" t="s">
        <v>7989</v>
      </c>
      <c r="V411" t="s">
        <v>7990</v>
      </c>
      <c r="W411" t="s">
        <v>7991</v>
      </c>
      <c r="X411" t="s">
        <v>7992</v>
      </c>
      <c r="Y411" t="s">
        <v>7993</v>
      </c>
      <c r="Z411" t="s">
        <v>7994</v>
      </c>
      <c r="AA411" t="s">
        <v>7995</v>
      </c>
      <c r="AB411" t="s">
        <v>74</v>
      </c>
      <c r="AC411" t="s">
        <v>7996</v>
      </c>
      <c r="AD411" t="s">
        <v>7997</v>
      </c>
      <c r="AE411" t="s">
        <v>7998</v>
      </c>
      <c r="AF411" t="s">
        <v>74</v>
      </c>
      <c r="AG411">
        <v>66</v>
      </c>
      <c r="AH411">
        <v>11</v>
      </c>
      <c r="AI411">
        <v>12</v>
      </c>
      <c r="AJ411">
        <v>5</v>
      </c>
      <c r="AK411">
        <v>102</v>
      </c>
      <c r="AL411" t="s">
        <v>7999</v>
      </c>
      <c r="AM411" t="s">
        <v>332</v>
      </c>
      <c r="AN411" t="s">
        <v>8000</v>
      </c>
      <c r="AO411" t="s">
        <v>8001</v>
      </c>
      <c r="AP411" t="s">
        <v>8002</v>
      </c>
      <c r="AQ411" t="s">
        <v>74</v>
      </c>
      <c r="AR411" t="s">
        <v>8003</v>
      </c>
      <c r="AS411" t="s">
        <v>8004</v>
      </c>
      <c r="AT411" t="s">
        <v>8005</v>
      </c>
      <c r="AU411">
        <v>2014</v>
      </c>
      <c r="AV411">
        <v>48</v>
      </c>
      <c r="AW411">
        <v>14</v>
      </c>
      <c r="AX411" t="s">
        <v>74</v>
      </c>
      <c r="AY411" t="s">
        <v>74</v>
      </c>
      <c r="AZ411" t="s">
        <v>74</v>
      </c>
      <c r="BA411" t="s">
        <v>74</v>
      </c>
      <c r="BB411">
        <v>7738</v>
      </c>
      <c r="BC411">
        <v>7746</v>
      </c>
      <c r="BD411" t="s">
        <v>74</v>
      </c>
      <c r="BE411" t="s">
        <v>8006</v>
      </c>
      <c r="BF411" t="str">
        <f>HYPERLINK("http://dx.doi.org/10.1021/es404866z","http://dx.doi.org/10.1021/es404866z")</f>
        <v>http://dx.doi.org/10.1021/es404866z</v>
      </c>
      <c r="BG411" t="s">
        <v>74</v>
      </c>
      <c r="BH411" t="s">
        <v>74</v>
      </c>
      <c r="BI411">
        <v>9</v>
      </c>
      <c r="BJ411" t="s">
        <v>8007</v>
      </c>
      <c r="BK411" t="s">
        <v>102</v>
      </c>
      <c r="BL411" t="s">
        <v>8008</v>
      </c>
      <c r="BM411" t="s">
        <v>8009</v>
      </c>
      <c r="BN411">
        <v>24922067</v>
      </c>
      <c r="BO411" t="s">
        <v>74</v>
      </c>
      <c r="BP411" t="s">
        <v>74</v>
      </c>
      <c r="BQ411" t="s">
        <v>74</v>
      </c>
      <c r="BR411" t="s">
        <v>105</v>
      </c>
      <c r="BS411" t="s">
        <v>8010</v>
      </c>
      <c r="BT411" t="str">
        <f>HYPERLINK("https%3A%2F%2Fwww.webofscience.com%2Fwos%2Fwoscc%2Ffull-record%2FWOS:000339227500010","View Full Record in Web of Science")</f>
        <v>View Full Record in Web of Science</v>
      </c>
    </row>
    <row r="412" spans="1:72" x14ac:dyDescent="0.15">
      <c r="A412" t="s">
        <v>72</v>
      </c>
      <c r="B412" t="s">
        <v>8011</v>
      </c>
      <c r="C412" t="s">
        <v>74</v>
      </c>
      <c r="D412" t="s">
        <v>74</v>
      </c>
      <c r="E412" t="s">
        <v>74</v>
      </c>
      <c r="F412" t="s">
        <v>8012</v>
      </c>
      <c r="G412" t="s">
        <v>74</v>
      </c>
      <c r="H412" t="s">
        <v>74</v>
      </c>
      <c r="I412" t="s">
        <v>8013</v>
      </c>
      <c r="J412" t="s">
        <v>1329</v>
      </c>
      <c r="K412" t="s">
        <v>74</v>
      </c>
      <c r="L412" t="s">
        <v>74</v>
      </c>
      <c r="M412" t="s">
        <v>78</v>
      </c>
      <c r="N412" t="s">
        <v>79</v>
      </c>
      <c r="O412" t="s">
        <v>74</v>
      </c>
      <c r="P412" t="s">
        <v>74</v>
      </c>
      <c r="Q412" t="s">
        <v>74</v>
      </c>
      <c r="R412" t="s">
        <v>74</v>
      </c>
      <c r="S412" t="s">
        <v>74</v>
      </c>
      <c r="T412" t="s">
        <v>74</v>
      </c>
      <c r="U412" t="s">
        <v>8014</v>
      </c>
      <c r="V412" t="s">
        <v>8015</v>
      </c>
      <c r="W412" t="s">
        <v>8016</v>
      </c>
      <c r="X412" t="s">
        <v>8017</v>
      </c>
      <c r="Y412" t="s">
        <v>8018</v>
      </c>
      <c r="Z412" t="s">
        <v>8019</v>
      </c>
      <c r="AA412" t="s">
        <v>8020</v>
      </c>
      <c r="AB412" t="s">
        <v>8021</v>
      </c>
      <c r="AC412" t="s">
        <v>8022</v>
      </c>
      <c r="AD412" t="s">
        <v>8023</v>
      </c>
      <c r="AE412" t="s">
        <v>8024</v>
      </c>
      <c r="AF412" t="s">
        <v>74</v>
      </c>
      <c r="AG412">
        <v>88</v>
      </c>
      <c r="AH412">
        <v>105</v>
      </c>
      <c r="AI412">
        <v>111</v>
      </c>
      <c r="AJ412">
        <v>0</v>
      </c>
      <c r="AK412">
        <v>53</v>
      </c>
      <c r="AL412" t="s">
        <v>250</v>
      </c>
      <c r="AM412" t="s">
        <v>251</v>
      </c>
      <c r="AN412" t="s">
        <v>252</v>
      </c>
      <c r="AO412" t="s">
        <v>1341</v>
      </c>
      <c r="AP412" t="s">
        <v>1342</v>
      </c>
      <c r="AQ412" t="s">
        <v>74</v>
      </c>
      <c r="AR412" t="s">
        <v>1343</v>
      </c>
      <c r="AS412" t="s">
        <v>1344</v>
      </c>
      <c r="AT412" t="s">
        <v>8005</v>
      </c>
      <c r="AU412">
        <v>2014</v>
      </c>
      <c r="AV412">
        <v>137</v>
      </c>
      <c r="AW412" t="s">
        <v>74</v>
      </c>
      <c r="AX412" t="s">
        <v>74</v>
      </c>
      <c r="AY412" t="s">
        <v>74</v>
      </c>
      <c r="AZ412" t="s">
        <v>74</v>
      </c>
      <c r="BA412" t="s">
        <v>74</v>
      </c>
      <c r="BB412">
        <v>93</v>
      </c>
      <c r="BC412">
        <v>112</v>
      </c>
      <c r="BD412" t="s">
        <v>74</v>
      </c>
      <c r="BE412" t="s">
        <v>8025</v>
      </c>
      <c r="BF412" t="str">
        <f>HYPERLINK("http://dx.doi.org/10.1016/j.gca.2014.03.034","http://dx.doi.org/10.1016/j.gca.2014.03.034")</f>
        <v>http://dx.doi.org/10.1016/j.gca.2014.03.034</v>
      </c>
      <c r="BG412" t="s">
        <v>74</v>
      </c>
      <c r="BH412" t="s">
        <v>74</v>
      </c>
      <c r="BI412">
        <v>20</v>
      </c>
      <c r="BJ412" t="s">
        <v>425</v>
      </c>
      <c r="BK412" t="s">
        <v>102</v>
      </c>
      <c r="BL412" t="s">
        <v>425</v>
      </c>
      <c r="BM412" t="s">
        <v>8026</v>
      </c>
      <c r="BN412" t="s">
        <v>74</v>
      </c>
      <c r="BO412" t="s">
        <v>74</v>
      </c>
      <c r="BP412" t="s">
        <v>74</v>
      </c>
      <c r="BQ412" t="s">
        <v>74</v>
      </c>
      <c r="BR412" t="s">
        <v>105</v>
      </c>
      <c r="BS412" t="s">
        <v>8027</v>
      </c>
      <c r="BT412" t="str">
        <f>HYPERLINK("https%3A%2F%2Fwww.webofscience.com%2Fwos%2Fwoscc%2Ffull-record%2FWOS:000338424000007","View Full Record in Web of Science")</f>
        <v>View Full Record in Web of Science</v>
      </c>
    </row>
    <row r="413" spans="1:72" x14ac:dyDescent="0.15">
      <c r="A413" t="s">
        <v>72</v>
      </c>
      <c r="B413" t="s">
        <v>8028</v>
      </c>
      <c r="C413" t="s">
        <v>74</v>
      </c>
      <c r="D413" t="s">
        <v>74</v>
      </c>
      <c r="E413" t="s">
        <v>74</v>
      </c>
      <c r="F413" t="s">
        <v>8029</v>
      </c>
      <c r="G413" t="s">
        <v>74</v>
      </c>
      <c r="H413" t="s">
        <v>74</v>
      </c>
      <c r="I413" t="s">
        <v>8030</v>
      </c>
      <c r="J413" t="s">
        <v>992</v>
      </c>
      <c r="K413" t="s">
        <v>74</v>
      </c>
      <c r="L413" t="s">
        <v>74</v>
      </c>
      <c r="M413" t="s">
        <v>78</v>
      </c>
      <c r="N413" t="s">
        <v>79</v>
      </c>
      <c r="O413" t="s">
        <v>74</v>
      </c>
      <c r="P413" t="s">
        <v>74</v>
      </c>
      <c r="Q413" t="s">
        <v>74</v>
      </c>
      <c r="R413" t="s">
        <v>74</v>
      </c>
      <c r="S413" t="s">
        <v>74</v>
      </c>
      <c r="T413" t="s">
        <v>8031</v>
      </c>
      <c r="U413" t="s">
        <v>8032</v>
      </c>
      <c r="V413" t="s">
        <v>8033</v>
      </c>
      <c r="W413" t="s">
        <v>8034</v>
      </c>
      <c r="X413" t="s">
        <v>8035</v>
      </c>
      <c r="Y413" t="s">
        <v>8036</v>
      </c>
      <c r="Z413" t="s">
        <v>8037</v>
      </c>
      <c r="AA413" t="s">
        <v>8038</v>
      </c>
      <c r="AB413" t="s">
        <v>8039</v>
      </c>
      <c r="AC413" t="s">
        <v>74</v>
      </c>
      <c r="AD413" t="s">
        <v>74</v>
      </c>
      <c r="AE413" t="s">
        <v>74</v>
      </c>
      <c r="AF413" t="s">
        <v>74</v>
      </c>
      <c r="AG413">
        <v>50</v>
      </c>
      <c r="AH413">
        <v>29</v>
      </c>
      <c r="AI413">
        <v>38</v>
      </c>
      <c r="AJ413">
        <v>3</v>
      </c>
      <c r="AK413">
        <v>39</v>
      </c>
      <c r="AL413" t="s">
        <v>1005</v>
      </c>
      <c r="AM413" t="s">
        <v>1006</v>
      </c>
      <c r="AN413" t="s">
        <v>1007</v>
      </c>
      <c r="AO413" t="s">
        <v>1008</v>
      </c>
      <c r="AP413" t="s">
        <v>74</v>
      </c>
      <c r="AQ413" t="s">
        <v>74</v>
      </c>
      <c r="AR413" t="s">
        <v>1009</v>
      </c>
      <c r="AS413" t="s">
        <v>1010</v>
      </c>
      <c r="AT413" t="s">
        <v>8005</v>
      </c>
      <c r="AU413">
        <v>2014</v>
      </c>
      <c r="AV413">
        <v>5</v>
      </c>
      <c r="AW413" t="s">
        <v>74</v>
      </c>
      <c r="AX413" t="s">
        <v>74</v>
      </c>
      <c r="AY413" t="s">
        <v>74</v>
      </c>
      <c r="AZ413" t="s">
        <v>74</v>
      </c>
      <c r="BA413" t="s">
        <v>74</v>
      </c>
      <c r="BB413" t="s">
        <v>74</v>
      </c>
      <c r="BC413" t="s">
        <v>74</v>
      </c>
      <c r="BD413">
        <v>345</v>
      </c>
      <c r="BE413" t="s">
        <v>8040</v>
      </c>
      <c r="BF413" t="str">
        <f>HYPERLINK("http://dx.doi.org/10.3389/fmicb.2014.00345","http://dx.doi.org/10.3389/fmicb.2014.00345")</f>
        <v>http://dx.doi.org/10.3389/fmicb.2014.00345</v>
      </c>
      <c r="BG413" t="s">
        <v>74</v>
      </c>
      <c r="BH413" t="s">
        <v>74</v>
      </c>
      <c r="BI413">
        <v>10</v>
      </c>
      <c r="BJ413" t="s">
        <v>1012</v>
      </c>
      <c r="BK413" t="s">
        <v>102</v>
      </c>
      <c r="BL413" t="s">
        <v>1012</v>
      </c>
      <c r="BM413" t="s">
        <v>8041</v>
      </c>
      <c r="BN413">
        <v>25076941</v>
      </c>
      <c r="BO413" t="s">
        <v>206</v>
      </c>
      <c r="BP413" t="s">
        <v>74</v>
      </c>
      <c r="BQ413" t="s">
        <v>74</v>
      </c>
      <c r="BR413" t="s">
        <v>105</v>
      </c>
      <c r="BS413" t="s">
        <v>8042</v>
      </c>
      <c r="BT413" t="str">
        <f>HYPERLINK("https%3A%2F%2Fwww.webofscience.com%2Fwos%2Fwoscc%2Ffull-record%2FWOS:000339061900001","View Full Record in Web of Science")</f>
        <v>View Full Record in Web of Science</v>
      </c>
    </row>
    <row r="414" spans="1:72" x14ac:dyDescent="0.15">
      <c r="A414" t="s">
        <v>72</v>
      </c>
      <c r="B414" t="s">
        <v>8043</v>
      </c>
      <c r="C414" t="s">
        <v>74</v>
      </c>
      <c r="D414" t="s">
        <v>74</v>
      </c>
      <c r="E414" t="s">
        <v>74</v>
      </c>
      <c r="F414" t="s">
        <v>8044</v>
      </c>
      <c r="G414" t="s">
        <v>74</v>
      </c>
      <c r="H414" t="s">
        <v>74</v>
      </c>
      <c r="I414" t="s">
        <v>8045</v>
      </c>
      <c r="J414" t="s">
        <v>1329</v>
      </c>
      <c r="K414" t="s">
        <v>74</v>
      </c>
      <c r="L414" t="s">
        <v>74</v>
      </c>
      <c r="M414" t="s">
        <v>78</v>
      </c>
      <c r="N414" t="s">
        <v>79</v>
      </c>
      <c r="O414" t="s">
        <v>74</v>
      </c>
      <c r="P414" t="s">
        <v>74</v>
      </c>
      <c r="Q414" t="s">
        <v>74</v>
      </c>
      <c r="R414" t="s">
        <v>74</v>
      </c>
      <c r="S414" t="s">
        <v>74</v>
      </c>
      <c r="T414" t="s">
        <v>74</v>
      </c>
      <c r="U414" t="s">
        <v>8046</v>
      </c>
      <c r="V414" t="s">
        <v>8047</v>
      </c>
      <c r="W414" t="s">
        <v>8048</v>
      </c>
      <c r="X414" t="s">
        <v>8049</v>
      </c>
      <c r="Y414" t="s">
        <v>8050</v>
      </c>
      <c r="Z414" t="s">
        <v>8051</v>
      </c>
      <c r="AA414" t="s">
        <v>8052</v>
      </c>
      <c r="AB414" t="s">
        <v>8053</v>
      </c>
      <c r="AC414" t="s">
        <v>8054</v>
      </c>
      <c r="AD414" t="s">
        <v>8055</v>
      </c>
      <c r="AE414" t="s">
        <v>8056</v>
      </c>
      <c r="AF414" t="s">
        <v>74</v>
      </c>
      <c r="AG414">
        <v>64</v>
      </c>
      <c r="AH414">
        <v>30</v>
      </c>
      <c r="AI414">
        <v>32</v>
      </c>
      <c r="AJ414">
        <v>2</v>
      </c>
      <c r="AK414">
        <v>59</v>
      </c>
      <c r="AL414" t="s">
        <v>250</v>
      </c>
      <c r="AM414" t="s">
        <v>251</v>
      </c>
      <c r="AN414" t="s">
        <v>252</v>
      </c>
      <c r="AO414" t="s">
        <v>1341</v>
      </c>
      <c r="AP414" t="s">
        <v>1342</v>
      </c>
      <c r="AQ414" t="s">
        <v>74</v>
      </c>
      <c r="AR414" t="s">
        <v>1343</v>
      </c>
      <c r="AS414" t="s">
        <v>1344</v>
      </c>
      <c r="AT414" t="s">
        <v>8005</v>
      </c>
      <c r="AU414">
        <v>2014</v>
      </c>
      <c r="AV414">
        <v>137</v>
      </c>
      <c r="AW414" t="s">
        <v>74</v>
      </c>
      <c r="AX414" t="s">
        <v>74</v>
      </c>
      <c r="AY414" t="s">
        <v>74</v>
      </c>
      <c r="AZ414" t="s">
        <v>74</v>
      </c>
      <c r="BA414" t="s">
        <v>74</v>
      </c>
      <c r="BB414">
        <v>64</v>
      </c>
      <c r="BC414">
        <v>80</v>
      </c>
      <c r="BD414" t="s">
        <v>74</v>
      </c>
      <c r="BE414" t="s">
        <v>8057</v>
      </c>
      <c r="BF414" t="str">
        <f>HYPERLINK("http://dx.doi.org/10.1016/j.gca.2014.04.003","http://dx.doi.org/10.1016/j.gca.2014.04.003")</f>
        <v>http://dx.doi.org/10.1016/j.gca.2014.04.003</v>
      </c>
      <c r="BG414" t="s">
        <v>74</v>
      </c>
      <c r="BH414" t="s">
        <v>74</v>
      </c>
      <c r="BI414">
        <v>17</v>
      </c>
      <c r="BJ414" t="s">
        <v>425</v>
      </c>
      <c r="BK414" t="s">
        <v>102</v>
      </c>
      <c r="BL414" t="s">
        <v>425</v>
      </c>
      <c r="BM414" t="s">
        <v>8026</v>
      </c>
      <c r="BN414" t="s">
        <v>74</v>
      </c>
      <c r="BO414" t="s">
        <v>359</v>
      </c>
      <c r="BP414" t="s">
        <v>74</v>
      </c>
      <c r="BQ414" t="s">
        <v>74</v>
      </c>
      <c r="BR414" t="s">
        <v>105</v>
      </c>
      <c r="BS414" t="s">
        <v>8058</v>
      </c>
      <c r="BT414" t="str">
        <f>HYPERLINK("https%3A%2F%2Fwww.webofscience.com%2Fwos%2Fwoscc%2Ffull-record%2FWOS:000338424000005","View Full Record in Web of Science")</f>
        <v>View Full Record in Web of Science</v>
      </c>
    </row>
    <row r="415" spans="1:72" x14ac:dyDescent="0.15">
      <c r="A415" t="s">
        <v>72</v>
      </c>
      <c r="B415" t="s">
        <v>8059</v>
      </c>
      <c r="C415" t="s">
        <v>74</v>
      </c>
      <c r="D415" t="s">
        <v>74</v>
      </c>
      <c r="E415" t="s">
        <v>74</v>
      </c>
      <c r="F415" t="s">
        <v>8060</v>
      </c>
      <c r="G415" t="s">
        <v>74</v>
      </c>
      <c r="H415" t="s">
        <v>74</v>
      </c>
      <c r="I415" t="s">
        <v>8061</v>
      </c>
      <c r="J415" t="s">
        <v>8062</v>
      </c>
      <c r="K415" t="s">
        <v>74</v>
      </c>
      <c r="L415" t="s">
        <v>74</v>
      </c>
      <c r="M415" t="s">
        <v>78</v>
      </c>
      <c r="N415" t="s">
        <v>79</v>
      </c>
      <c r="O415" t="s">
        <v>74</v>
      </c>
      <c r="P415" t="s">
        <v>74</v>
      </c>
      <c r="Q415" t="s">
        <v>74</v>
      </c>
      <c r="R415" t="s">
        <v>74</v>
      </c>
      <c r="S415" t="s">
        <v>74</v>
      </c>
      <c r="T415" t="s">
        <v>8063</v>
      </c>
      <c r="U415" t="s">
        <v>8064</v>
      </c>
      <c r="V415" t="s">
        <v>8065</v>
      </c>
      <c r="W415" t="s">
        <v>8066</v>
      </c>
      <c r="X415" t="s">
        <v>8067</v>
      </c>
      <c r="Y415" t="s">
        <v>8068</v>
      </c>
      <c r="Z415" t="s">
        <v>8069</v>
      </c>
      <c r="AA415" t="s">
        <v>8070</v>
      </c>
      <c r="AB415" t="s">
        <v>8071</v>
      </c>
      <c r="AC415" t="s">
        <v>74</v>
      </c>
      <c r="AD415" t="s">
        <v>74</v>
      </c>
      <c r="AE415" t="s">
        <v>74</v>
      </c>
      <c r="AF415" t="s">
        <v>74</v>
      </c>
      <c r="AG415">
        <v>76</v>
      </c>
      <c r="AH415">
        <v>10</v>
      </c>
      <c r="AI415">
        <v>12</v>
      </c>
      <c r="AJ415">
        <v>1</v>
      </c>
      <c r="AK415">
        <v>72</v>
      </c>
      <c r="AL415" t="s">
        <v>753</v>
      </c>
      <c r="AM415" t="s">
        <v>124</v>
      </c>
      <c r="AN415" t="s">
        <v>754</v>
      </c>
      <c r="AO415" t="s">
        <v>8072</v>
      </c>
      <c r="AP415" t="s">
        <v>8073</v>
      </c>
      <c r="AQ415" t="s">
        <v>74</v>
      </c>
      <c r="AR415" t="s">
        <v>8074</v>
      </c>
      <c r="AS415" t="s">
        <v>8075</v>
      </c>
      <c r="AT415" t="s">
        <v>8005</v>
      </c>
      <c r="AU415">
        <v>2014</v>
      </c>
      <c r="AV415">
        <v>487</v>
      </c>
      <c r="AW415" t="s">
        <v>74</v>
      </c>
      <c r="AX415" t="s">
        <v>74</v>
      </c>
      <c r="AY415" t="s">
        <v>74</v>
      </c>
      <c r="AZ415" t="s">
        <v>74</v>
      </c>
      <c r="BA415" t="s">
        <v>74</v>
      </c>
      <c r="BB415">
        <v>407</v>
      </c>
      <c r="BC415">
        <v>419</v>
      </c>
      <c r="BD415" t="s">
        <v>74</v>
      </c>
      <c r="BE415" t="s">
        <v>8076</v>
      </c>
      <c r="BF415" t="str">
        <f>HYPERLINK("http://dx.doi.org/10.1016/j.scitotenv.2014.03.120","http://dx.doi.org/10.1016/j.scitotenv.2014.03.120")</f>
        <v>http://dx.doi.org/10.1016/j.scitotenv.2014.03.120</v>
      </c>
      <c r="BG415" t="s">
        <v>74</v>
      </c>
      <c r="BH415" t="s">
        <v>74</v>
      </c>
      <c r="BI415">
        <v>13</v>
      </c>
      <c r="BJ415" t="s">
        <v>4397</v>
      </c>
      <c r="BK415" t="s">
        <v>102</v>
      </c>
      <c r="BL415" t="s">
        <v>2553</v>
      </c>
      <c r="BM415" t="s">
        <v>8077</v>
      </c>
      <c r="BN415">
        <v>24797737</v>
      </c>
      <c r="BO415" t="s">
        <v>74</v>
      </c>
      <c r="BP415" t="s">
        <v>74</v>
      </c>
      <c r="BQ415" t="s">
        <v>74</v>
      </c>
      <c r="BR415" t="s">
        <v>105</v>
      </c>
      <c r="BS415" t="s">
        <v>8078</v>
      </c>
      <c r="BT415" t="str">
        <f>HYPERLINK("https%3A%2F%2Fwww.webofscience.com%2Fwos%2Fwoscc%2Ffull-record%2FWOS:000337259100045","View Full Record in Web of Science")</f>
        <v>View Full Record in Web of Science</v>
      </c>
    </row>
    <row r="416" spans="1:72" x14ac:dyDescent="0.15">
      <c r="A416" t="s">
        <v>72</v>
      </c>
      <c r="B416" t="s">
        <v>8079</v>
      </c>
      <c r="C416" t="s">
        <v>74</v>
      </c>
      <c r="D416" t="s">
        <v>74</v>
      </c>
      <c r="E416" t="s">
        <v>74</v>
      </c>
      <c r="F416" t="s">
        <v>8080</v>
      </c>
      <c r="G416" t="s">
        <v>74</v>
      </c>
      <c r="H416" t="s">
        <v>74</v>
      </c>
      <c r="I416" t="s">
        <v>8081</v>
      </c>
      <c r="J416" t="s">
        <v>1715</v>
      </c>
      <c r="K416" t="s">
        <v>74</v>
      </c>
      <c r="L416" t="s">
        <v>74</v>
      </c>
      <c r="M416" t="s">
        <v>78</v>
      </c>
      <c r="N416" t="s">
        <v>79</v>
      </c>
      <c r="O416" t="s">
        <v>74</v>
      </c>
      <c r="P416" t="s">
        <v>74</v>
      </c>
      <c r="Q416" t="s">
        <v>74</v>
      </c>
      <c r="R416" t="s">
        <v>74</v>
      </c>
      <c r="S416" t="s">
        <v>74</v>
      </c>
      <c r="T416" t="s">
        <v>8082</v>
      </c>
      <c r="U416" t="s">
        <v>8083</v>
      </c>
      <c r="V416" t="s">
        <v>8084</v>
      </c>
      <c r="W416" t="s">
        <v>8085</v>
      </c>
      <c r="X416" t="s">
        <v>8086</v>
      </c>
      <c r="Y416" t="s">
        <v>8087</v>
      </c>
      <c r="Z416" t="s">
        <v>8088</v>
      </c>
      <c r="AA416" t="s">
        <v>8089</v>
      </c>
      <c r="AB416" t="s">
        <v>74</v>
      </c>
      <c r="AC416" t="s">
        <v>8090</v>
      </c>
      <c r="AD416" t="s">
        <v>249</v>
      </c>
      <c r="AE416" t="s">
        <v>74</v>
      </c>
      <c r="AF416" t="s">
        <v>74</v>
      </c>
      <c r="AG416">
        <v>78</v>
      </c>
      <c r="AH416">
        <v>3</v>
      </c>
      <c r="AI416">
        <v>4</v>
      </c>
      <c r="AJ416">
        <v>3</v>
      </c>
      <c r="AK416">
        <v>22</v>
      </c>
      <c r="AL416" t="s">
        <v>123</v>
      </c>
      <c r="AM416" t="s">
        <v>124</v>
      </c>
      <c r="AN416" t="s">
        <v>125</v>
      </c>
      <c r="AO416" t="s">
        <v>1728</v>
      </c>
      <c r="AP416" t="s">
        <v>1729</v>
      </c>
      <c r="AQ416" t="s">
        <v>74</v>
      </c>
      <c r="AR416" t="s">
        <v>1715</v>
      </c>
      <c r="AS416" t="s">
        <v>1730</v>
      </c>
      <c r="AT416" t="s">
        <v>8091</v>
      </c>
      <c r="AU416">
        <v>2014</v>
      </c>
      <c r="AV416">
        <v>627</v>
      </c>
      <c r="AW416" t="s">
        <v>74</v>
      </c>
      <c r="AX416" t="s">
        <v>74</v>
      </c>
      <c r="AY416" t="s">
        <v>74</v>
      </c>
      <c r="AZ416" t="s">
        <v>258</v>
      </c>
      <c r="BA416" t="s">
        <v>74</v>
      </c>
      <c r="BB416">
        <v>38</v>
      </c>
      <c r="BC416">
        <v>47</v>
      </c>
      <c r="BD416" t="s">
        <v>74</v>
      </c>
      <c r="BE416" t="s">
        <v>8092</v>
      </c>
      <c r="BF416" t="str">
        <f>HYPERLINK("http://dx.doi.org/10.1016/j.tecto.2014.04.014","http://dx.doi.org/10.1016/j.tecto.2014.04.014")</f>
        <v>http://dx.doi.org/10.1016/j.tecto.2014.04.014</v>
      </c>
      <c r="BG416" t="s">
        <v>74</v>
      </c>
      <c r="BH416" t="s">
        <v>74</v>
      </c>
      <c r="BI416">
        <v>10</v>
      </c>
      <c r="BJ416" t="s">
        <v>425</v>
      </c>
      <c r="BK416" t="s">
        <v>102</v>
      </c>
      <c r="BL416" t="s">
        <v>425</v>
      </c>
      <c r="BM416" t="s">
        <v>8093</v>
      </c>
      <c r="BN416" t="s">
        <v>74</v>
      </c>
      <c r="BO416" t="s">
        <v>74</v>
      </c>
      <c r="BP416" t="s">
        <v>74</v>
      </c>
      <c r="BQ416" t="s">
        <v>74</v>
      </c>
      <c r="BR416" t="s">
        <v>105</v>
      </c>
      <c r="BS416" t="s">
        <v>8094</v>
      </c>
      <c r="BT416" t="str">
        <f>HYPERLINK("https%3A%2F%2Fwww.webofscience.com%2Fwos%2Fwoscc%2Ffull-record%2FWOS:000339535000005","View Full Record in Web of Science")</f>
        <v>View Full Record in Web of Science</v>
      </c>
    </row>
    <row r="417" spans="1:72" x14ac:dyDescent="0.15">
      <c r="A417" t="s">
        <v>72</v>
      </c>
      <c r="B417" t="s">
        <v>8095</v>
      </c>
      <c r="C417" t="s">
        <v>74</v>
      </c>
      <c r="D417" t="s">
        <v>74</v>
      </c>
      <c r="E417" t="s">
        <v>74</v>
      </c>
      <c r="F417" t="s">
        <v>8096</v>
      </c>
      <c r="G417" t="s">
        <v>74</v>
      </c>
      <c r="H417" t="s">
        <v>74</v>
      </c>
      <c r="I417" t="s">
        <v>8097</v>
      </c>
      <c r="J417" t="s">
        <v>1058</v>
      </c>
      <c r="K417" t="s">
        <v>74</v>
      </c>
      <c r="L417" t="s">
        <v>74</v>
      </c>
      <c r="M417" t="s">
        <v>78</v>
      </c>
      <c r="N417" t="s">
        <v>79</v>
      </c>
      <c r="O417" t="s">
        <v>74</v>
      </c>
      <c r="P417" t="s">
        <v>74</v>
      </c>
      <c r="Q417" t="s">
        <v>74</v>
      </c>
      <c r="R417" t="s">
        <v>74</v>
      </c>
      <c r="S417" t="s">
        <v>74</v>
      </c>
      <c r="T417" t="s">
        <v>8098</v>
      </c>
      <c r="U417" t="s">
        <v>8099</v>
      </c>
      <c r="V417" t="s">
        <v>8100</v>
      </c>
      <c r="W417" t="s">
        <v>8101</v>
      </c>
      <c r="X417" t="s">
        <v>8102</v>
      </c>
      <c r="Y417" t="s">
        <v>8103</v>
      </c>
      <c r="Z417" t="s">
        <v>8104</v>
      </c>
      <c r="AA417" t="s">
        <v>8105</v>
      </c>
      <c r="AB417" t="s">
        <v>8106</v>
      </c>
      <c r="AC417" t="s">
        <v>8107</v>
      </c>
      <c r="AD417" t="s">
        <v>8108</v>
      </c>
      <c r="AE417" t="s">
        <v>8109</v>
      </c>
      <c r="AF417" t="s">
        <v>74</v>
      </c>
      <c r="AG417">
        <v>27</v>
      </c>
      <c r="AH417">
        <v>14</v>
      </c>
      <c r="AI417">
        <v>15</v>
      </c>
      <c r="AJ417">
        <v>1</v>
      </c>
      <c r="AK417">
        <v>19</v>
      </c>
      <c r="AL417" t="s">
        <v>1070</v>
      </c>
      <c r="AM417" t="s">
        <v>654</v>
      </c>
      <c r="AN417" t="s">
        <v>1071</v>
      </c>
      <c r="AO417" t="s">
        <v>1072</v>
      </c>
      <c r="AP417" t="s">
        <v>1073</v>
      </c>
      <c r="AQ417" t="s">
        <v>74</v>
      </c>
      <c r="AR417" t="s">
        <v>1074</v>
      </c>
      <c r="AS417" t="s">
        <v>1075</v>
      </c>
      <c r="AT417" t="s">
        <v>8091</v>
      </c>
      <c r="AU417">
        <v>2014</v>
      </c>
      <c r="AV417">
        <v>372</v>
      </c>
      <c r="AW417">
        <v>2019</v>
      </c>
      <c r="AX417" t="s">
        <v>74</v>
      </c>
      <c r="AY417" t="s">
        <v>74</v>
      </c>
      <c r="AZ417" t="s">
        <v>74</v>
      </c>
      <c r="BA417" t="s">
        <v>74</v>
      </c>
      <c r="BB417" t="s">
        <v>74</v>
      </c>
      <c r="BC417" t="s">
        <v>74</v>
      </c>
      <c r="BD417">
        <v>20130050</v>
      </c>
      <c r="BE417" t="s">
        <v>8110</v>
      </c>
      <c r="BF417" t="str">
        <f>HYPERLINK("http://dx.doi.org/10.1098/rsta.2013.0050","http://dx.doi.org/10.1098/rsta.2013.0050")</f>
        <v>http://dx.doi.org/10.1098/rsta.2013.0050</v>
      </c>
      <c r="BG417" t="s">
        <v>74</v>
      </c>
      <c r="BH417" t="s">
        <v>74</v>
      </c>
      <c r="BI417">
        <v>11</v>
      </c>
      <c r="BJ417" t="s">
        <v>660</v>
      </c>
      <c r="BK417" t="s">
        <v>102</v>
      </c>
      <c r="BL417" t="s">
        <v>661</v>
      </c>
      <c r="BM417" t="s">
        <v>8111</v>
      </c>
      <c r="BN417">
        <v>24891390</v>
      </c>
      <c r="BO417" t="s">
        <v>1053</v>
      </c>
      <c r="BP417" t="s">
        <v>74</v>
      </c>
      <c r="BQ417" t="s">
        <v>74</v>
      </c>
      <c r="BR417" t="s">
        <v>105</v>
      </c>
      <c r="BS417" t="s">
        <v>8112</v>
      </c>
      <c r="BT417" t="str">
        <f>HYPERLINK("https%3A%2F%2Fwww.webofscience.com%2Fwos%2Fwoscc%2Ffull-record%2FWOS:000337366900005","View Full Record in Web of Science")</f>
        <v>View Full Record in Web of Science</v>
      </c>
    </row>
    <row r="418" spans="1:72" x14ac:dyDescent="0.15">
      <c r="A418" t="s">
        <v>72</v>
      </c>
      <c r="B418" t="s">
        <v>8113</v>
      </c>
      <c r="C418" t="s">
        <v>74</v>
      </c>
      <c r="D418" t="s">
        <v>74</v>
      </c>
      <c r="E418" t="s">
        <v>74</v>
      </c>
      <c r="F418" t="s">
        <v>8114</v>
      </c>
      <c r="G418" t="s">
        <v>74</v>
      </c>
      <c r="H418" t="s">
        <v>74</v>
      </c>
      <c r="I418" t="s">
        <v>8115</v>
      </c>
      <c r="J418" t="s">
        <v>1058</v>
      </c>
      <c r="K418" t="s">
        <v>74</v>
      </c>
      <c r="L418" t="s">
        <v>74</v>
      </c>
      <c r="M418" t="s">
        <v>78</v>
      </c>
      <c r="N418" t="s">
        <v>79</v>
      </c>
      <c r="O418" t="s">
        <v>74</v>
      </c>
      <c r="P418" t="s">
        <v>74</v>
      </c>
      <c r="Q418" t="s">
        <v>74</v>
      </c>
      <c r="R418" t="s">
        <v>74</v>
      </c>
      <c r="S418" t="s">
        <v>74</v>
      </c>
      <c r="T418" t="s">
        <v>8116</v>
      </c>
      <c r="U418" t="s">
        <v>8117</v>
      </c>
      <c r="V418" t="s">
        <v>8118</v>
      </c>
      <c r="W418" t="s">
        <v>8119</v>
      </c>
      <c r="X418" t="s">
        <v>8120</v>
      </c>
      <c r="Y418" t="s">
        <v>8121</v>
      </c>
      <c r="Z418" t="s">
        <v>8122</v>
      </c>
      <c r="AA418" t="s">
        <v>8123</v>
      </c>
      <c r="AB418" t="s">
        <v>8124</v>
      </c>
      <c r="AC418" t="s">
        <v>8125</v>
      </c>
      <c r="AD418" t="s">
        <v>8126</v>
      </c>
      <c r="AE418" t="s">
        <v>8127</v>
      </c>
      <c r="AF418" t="s">
        <v>74</v>
      </c>
      <c r="AG418">
        <v>72</v>
      </c>
      <c r="AH418">
        <v>114</v>
      </c>
      <c r="AI418">
        <v>128</v>
      </c>
      <c r="AJ418">
        <v>1</v>
      </c>
      <c r="AK418">
        <v>129</v>
      </c>
      <c r="AL418" t="s">
        <v>1070</v>
      </c>
      <c r="AM418" t="s">
        <v>654</v>
      </c>
      <c r="AN418" t="s">
        <v>1071</v>
      </c>
      <c r="AO418" t="s">
        <v>1072</v>
      </c>
      <c r="AP418" t="s">
        <v>1073</v>
      </c>
      <c r="AQ418" t="s">
        <v>74</v>
      </c>
      <c r="AR418" t="s">
        <v>1074</v>
      </c>
      <c r="AS418" t="s">
        <v>1075</v>
      </c>
      <c r="AT418" t="s">
        <v>8091</v>
      </c>
      <c r="AU418">
        <v>2014</v>
      </c>
      <c r="AV418">
        <v>372</v>
      </c>
      <c r="AW418">
        <v>2019</v>
      </c>
      <c r="AX418" t="s">
        <v>74</v>
      </c>
      <c r="AY418" t="s">
        <v>74</v>
      </c>
      <c r="AZ418" t="s">
        <v>74</v>
      </c>
      <c r="BA418" t="s">
        <v>74</v>
      </c>
      <c r="BB418" t="s">
        <v>74</v>
      </c>
      <c r="BC418" t="s">
        <v>74</v>
      </c>
      <c r="BD418">
        <v>20130040</v>
      </c>
      <c r="BE418" t="s">
        <v>8128</v>
      </c>
      <c r="BF418" t="str">
        <f>HYPERLINK("http://dx.doi.org/10.1098/rsta.2013.0040","http://dx.doi.org/10.1098/rsta.2013.0040")</f>
        <v>http://dx.doi.org/10.1098/rsta.2013.0040</v>
      </c>
      <c r="BG418" t="s">
        <v>74</v>
      </c>
      <c r="BH418" t="s">
        <v>74</v>
      </c>
      <c r="BI418">
        <v>17</v>
      </c>
      <c r="BJ418" t="s">
        <v>660</v>
      </c>
      <c r="BK418" t="s">
        <v>102</v>
      </c>
      <c r="BL418" t="s">
        <v>661</v>
      </c>
      <c r="BM418" t="s">
        <v>8111</v>
      </c>
      <c r="BN418">
        <v>24891392</v>
      </c>
      <c r="BO418" t="s">
        <v>663</v>
      </c>
      <c r="BP418" t="s">
        <v>74</v>
      </c>
      <c r="BQ418" t="s">
        <v>74</v>
      </c>
      <c r="BR418" t="s">
        <v>105</v>
      </c>
      <c r="BS418" t="s">
        <v>8129</v>
      </c>
      <c r="BT418" t="str">
        <f>HYPERLINK("https%3A%2F%2Fwww.webofscience.com%2Fwos%2Fwoscc%2Ffull-record%2FWOS:000337366900001","View Full Record in Web of Science")</f>
        <v>View Full Record in Web of Science</v>
      </c>
    </row>
    <row r="419" spans="1:72" x14ac:dyDescent="0.15">
      <c r="A419" t="s">
        <v>72</v>
      </c>
      <c r="B419" t="s">
        <v>8130</v>
      </c>
      <c r="C419" t="s">
        <v>74</v>
      </c>
      <c r="D419" t="s">
        <v>74</v>
      </c>
      <c r="E419" t="s">
        <v>74</v>
      </c>
      <c r="F419" t="s">
        <v>8131</v>
      </c>
      <c r="G419" t="s">
        <v>74</v>
      </c>
      <c r="H419" t="s">
        <v>74</v>
      </c>
      <c r="I419" t="s">
        <v>8132</v>
      </c>
      <c r="J419" t="s">
        <v>1058</v>
      </c>
      <c r="K419" t="s">
        <v>74</v>
      </c>
      <c r="L419" t="s">
        <v>74</v>
      </c>
      <c r="M419" t="s">
        <v>78</v>
      </c>
      <c r="N419" t="s">
        <v>79</v>
      </c>
      <c r="O419" t="s">
        <v>74</v>
      </c>
      <c r="P419" t="s">
        <v>74</v>
      </c>
      <c r="Q419" t="s">
        <v>74</v>
      </c>
      <c r="R419" t="s">
        <v>74</v>
      </c>
      <c r="S419" t="s">
        <v>74</v>
      </c>
      <c r="T419" t="s">
        <v>8133</v>
      </c>
      <c r="U419" t="s">
        <v>8134</v>
      </c>
      <c r="V419" t="s">
        <v>8135</v>
      </c>
      <c r="W419" t="s">
        <v>8136</v>
      </c>
      <c r="X419" t="s">
        <v>8137</v>
      </c>
      <c r="Y419" t="s">
        <v>8138</v>
      </c>
      <c r="Z419" t="s">
        <v>8139</v>
      </c>
      <c r="AA419" t="s">
        <v>8140</v>
      </c>
      <c r="AB419" t="s">
        <v>8141</v>
      </c>
      <c r="AC419" t="s">
        <v>8142</v>
      </c>
      <c r="AD419" t="s">
        <v>8143</v>
      </c>
      <c r="AE419" t="s">
        <v>8144</v>
      </c>
      <c r="AF419" t="s">
        <v>74</v>
      </c>
      <c r="AG419">
        <v>84</v>
      </c>
      <c r="AH419">
        <v>79</v>
      </c>
      <c r="AI419">
        <v>93</v>
      </c>
      <c r="AJ419">
        <v>1</v>
      </c>
      <c r="AK419">
        <v>59</v>
      </c>
      <c r="AL419" t="s">
        <v>1070</v>
      </c>
      <c r="AM419" t="s">
        <v>654</v>
      </c>
      <c r="AN419" t="s">
        <v>1071</v>
      </c>
      <c r="AO419" t="s">
        <v>1072</v>
      </c>
      <c r="AP419" t="s">
        <v>1073</v>
      </c>
      <c r="AQ419" t="s">
        <v>74</v>
      </c>
      <c r="AR419" t="s">
        <v>1074</v>
      </c>
      <c r="AS419" t="s">
        <v>1075</v>
      </c>
      <c r="AT419" t="s">
        <v>8091</v>
      </c>
      <c r="AU419">
        <v>2014</v>
      </c>
      <c r="AV419">
        <v>372</v>
      </c>
      <c r="AW419">
        <v>2019</v>
      </c>
      <c r="AX419" t="s">
        <v>74</v>
      </c>
      <c r="AY419" t="s">
        <v>74</v>
      </c>
      <c r="AZ419" t="s">
        <v>74</v>
      </c>
      <c r="BA419" t="s">
        <v>74</v>
      </c>
      <c r="BB419" t="s">
        <v>74</v>
      </c>
      <c r="BC419" t="s">
        <v>74</v>
      </c>
      <c r="BD419">
        <v>20130054</v>
      </c>
      <c r="BE419" t="s">
        <v>8145</v>
      </c>
      <c r="BF419" t="str">
        <f>HYPERLINK("http://dx.doi.org/10.1098/rsta.2013.0054","http://dx.doi.org/10.1098/rsta.2013.0054")</f>
        <v>http://dx.doi.org/10.1098/rsta.2013.0054</v>
      </c>
      <c r="BG419" t="s">
        <v>74</v>
      </c>
      <c r="BH419" t="s">
        <v>74</v>
      </c>
      <c r="BI419">
        <v>17</v>
      </c>
      <c r="BJ419" t="s">
        <v>660</v>
      </c>
      <c r="BK419" t="s">
        <v>102</v>
      </c>
      <c r="BL419" t="s">
        <v>661</v>
      </c>
      <c r="BM419" t="s">
        <v>8111</v>
      </c>
      <c r="BN419">
        <v>24891398</v>
      </c>
      <c r="BO419" t="s">
        <v>427</v>
      </c>
      <c r="BP419" t="s">
        <v>74</v>
      </c>
      <c r="BQ419" t="s">
        <v>74</v>
      </c>
      <c r="BR419" t="s">
        <v>105</v>
      </c>
      <c r="BS419" t="s">
        <v>8146</v>
      </c>
      <c r="BT419" t="str">
        <f>HYPERLINK("https%3A%2F%2Fwww.webofscience.com%2Fwos%2Fwoscc%2Ffull-record%2FWOS:000337366900006","View Full Record in Web of Science")</f>
        <v>View Full Record in Web of Science</v>
      </c>
    </row>
    <row r="420" spans="1:72" x14ac:dyDescent="0.15">
      <c r="A420" t="s">
        <v>72</v>
      </c>
      <c r="B420" t="s">
        <v>8147</v>
      </c>
      <c r="C420" t="s">
        <v>74</v>
      </c>
      <c r="D420" t="s">
        <v>74</v>
      </c>
      <c r="E420" t="s">
        <v>74</v>
      </c>
      <c r="F420" t="s">
        <v>8148</v>
      </c>
      <c r="G420" t="s">
        <v>74</v>
      </c>
      <c r="H420" t="s">
        <v>74</v>
      </c>
      <c r="I420" t="s">
        <v>8149</v>
      </c>
      <c r="J420" t="s">
        <v>1058</v>
      </c>
      <c r="K420" t="s">
        <v>74</v>
      </c>
      <c r="L420" t="s">
        <v>74</v>
      </c>
      <c r="M420" t="s">
        <v>78</v>
      </c>
      <c r="N420" t="s">
        <v>79</v>
      </c>
      <c r="O420" t="s">
        <v>74</v>
      </c>
      <c r="P420" t="s">
        <v>74</v>
      </c>
      <c r="Q420" t="s">
        <v>74</v>
      </c>
      <c r="R420" t="s">
        <v>74</v>
      </c>
      <c r="S420" t="s">
        <v>74</v>
      </c>
      <c r="T420" t="s">
        <v>8150</v>
      </c>
      <c r="U420" t="s">
        <v>8151</v>
      </c>
      <c r="V420" t="s">
        <v>8152</v>
      </c>
      <c r="W420" t="s">
        <v>8153</v>
      </c>
      <c r="X420" t="s">
        <v>8154</v>
      </c>
      <c r="Y420" t="s">
        <v>8155</v>
      </c>
      <c r="Z420" t="s">
        <v>8156</v>
      </c>
      <c r="AA420" t="s">
        <v>8157</v>
      </c>
      <c r="AB420" t="s">
        <v>8158</v>
      </c>
      <c r="AC420" t="s">
        <v>8159</v>
      </c>
      <c r="AD420" t="s">
        <v>8160</v>
      </c>
      <c r="AE420" t="s">
        <v>8161</v>
      </c>
      <c r="AF420" t="s">
        <v>74</v>
      </c>
      <c r="AG420">
        <v>96</v>
      </c>
      <c r="AH420">
        <v>12</v>
      </c>
      <c r="AI420">
        <v>13</v>
      </c>
      <c r="AJ420">
        <v>0</v>
      </c>
      <c r="AK420">
        <v>23</v>
      </c>
      <c r="AL420" t="s">
        <v>1070</v>
      </c>
      <c r="AM420" t="s">
        <v>654</v>
      </c>
      <c r="AN420" t="s">
        <v>1071</v>
      </c>
      <c r="AO420" t="s">
        <v>1072</v>
      </c>
      <c r="AP420" t="s">
        <v>1073</v>
      </c>
      <c r="AQ420" t="s">
        <v>74</v>
      </c>
      <c r="AR420" t="s">
        <v>1074</v>
      </c>
      <c r="AS420" t="s">
        <v>1075</v>
      </c>
      <c r="AT420" t="s">
        <v>8091</v>
      </c>
      <c r="AU420">
        <v>2014</v>
      </c>
      <c r="AV420">
        <v>372</v>
      </c>
      <c r="AW420">
        <v>2019</v>
      </c>
      <c r="AX420" t="s">
        <v>74</v>
      </c>
      <c r="AY420" t="s">
        <v>74</v>
      </c>
      <c r="AZ420" t="s">
        <v>74</v>
      </c>
      <c r="BA420" t="s">
        <v>74</v>
      </c>
      <c r="BB420" t="s">
        <v>74</v>
      </c>
      <c r="BC420" t="s">
        <v>74</v>
      </c>
      <c r="BD420">
        <v>20130298</v>
      </c>
      <c r="BE420" t="s">
        <v>8162</v>
      </c>
      <c r="BF420" t="str">
        <f>HYPERLINK("http://dx.doi.org/10.1098/rsta.2013.0298","http://dx.doi.org/10.1098/rsta.2013.0298")</f>
        <v>http://dx.doi.org/10.1098/rsta.2013.0298</v>
      </c>
      <c r="BG420" t="s">
        <v>74</v>
      </c>
      <c r="BH420" t="s">
        <v>74</v>
      </c>
      <c r="BI420">
        <v>20</v>
      </c>
      <c r="BJ420" t="s">
        <v>660</v>
      </c>
      <c r="BK420" t="s">
        <v>102</v>
      </c>
      <c r="BL420" t="s">
        <v>661</v>
      </c>
      <c r="BM420" t="s">
        <v>8111</v>
      </c>
      <c r="BN420">
        <v>24891394</v>
      </c>
      <c r="BO420" t="s">
        <v>4603</v>
      </c>
      <c r="BP420" t="s">
        <v>74</v>
      </c>
      <c r="BQ420" t="s">
        <v>74</v>
      </c>
      <c r="BR420" t="s">
        <v>105</v>
      </c>
      <c r="BS420" t="s">
        <v>8163</v>
      </c>
      <c r="BT420" t="str">
        <f>HYPERLINK("https%3A%2F%2Fwww.webofscience.com%2Fwos%2Fwoscc%2Ffull-record%2FWOS:000337366900012","View Full Record in Web of Science")</f>
        <v>View Full Record in Web of Science</v>
      </c>
    </row>
    <row r="421" spans="1:72" x14ac:dyDescent="0.15">
      <c r="A421" t="s">
        <v>72</v>
      </c>
      <c r="B421" t="s">
        <v>8164</v>
      </c>
      <c r="C421" t="s">
        <v>74</v>
      </c>
      <c r="D421" t="s">
        <v>74</v>
      </c>
      <c r="E421" t="s">
        <v>74</v>
      </c>
      <c r="F421" t="s">
        <v>8165</v>
      </c>
      <c r="G421" t="s">
        <v>74</v>
      </c>
      <c r="H421" t="s">
        <v>74</v>
      </c>
      <c r="I421" t="s">
        <v>8166</v>
      </c>
      <c r="J421" t="s">
        <v>1058</v>
      </c>
      <c r="K421" t="s">
        <v>74</v>
      </c>
      <c r="L421" t="s">
        <v>74</v>
      </c>
      <c r="M421" t="s">
        <v>78</v>
      </c>
      <c r="N421" t="s">
        <v>79</v>
      </c>
      <c r="O421" t="s">
        <v>74</v>
      </c>
      <c r="P421" t="s">
        <v>74</v>
      </c>
      <c r="Q421" t="s">
        <v>74</v>
      </c>
      <c r="R421" t="s">
        <v>74</v>
      </c>
      <c r="S421" t="s">
        <v>74</v>
      </c>
      <c r="T421" t="s">
        <v>8167</v>
      </c>
      <c r="U421" t="s">
        <v>8168</v>
      </c>
      <c r="V421" t="s">
        <v>8169</v>
      </c>
      <c r="W421" t="s">
        <v>8170</v>
      </c>
      <c r="X421" t="s">
        <v>8171</v>
      </c>
      <c r="Y421" t="s">
        <v>8172</v>
      </c>
      <c r="Z421" t="s">
        <v>8173</v>
      </c>
      <c r="AA421" t="s">
        <v>8174</v>
      </c>
      <c r="AB421" t="s">
        <v>8175</v>
      </c>
      <c r="AC421" t="s">
        <v>8176</v>
      </c>
      <c r="AD421" t="s">
        <v>8177</v>
      </c>
      <c r="AE421" t="s">
        <v>8178</v>
      </c>
      <c r="AF421" t="s">
        <v>74</v>
      </c>
      <c r="AG421">
        <v>58</v>
      </c>
      <c r="AH421">
        <v>58</v>
      </c>
      <c r="AI421">
        <v>66</v>
      </c>
      <c r="AJ421">
        <v>4</v>
      </c>
      <c r="AK421">
        <v>60</v>
      </c>
      <c r="AL421" t="s">
        <v>1070</v>
      </c>
      <c r="AM421" t="s">
        <v>654</v>
      </c>
      <c r="AN421" t="s">
        <v>1071</v>
      </c>
      <c r="AO421" t="s">
        <v>1072</v>
      </c>
      <c r="AP421" t="s">
        <v>1073</v>
      </c>
      <c r="AQ421" t="s">
        <v>74</v>
      </c>
      <c r="AR421" t="s">
        <v>1074</v>
      </c>
      <c r="AS421" t="s">
        <v>1075</v>
      </c>
      <c r="AT421" t="s">
        <v>8091</v>
      </c>
      <c r="AU421">
        <v>2014</v>
      </c>
      <c r="AV421">
        <v>372</v>
      </c>
      <c r="AW421">
        <v>2019</v>
      </c>
      <c r="AX421" t="s">
        <v>74</v>
      </c>
      <c r="AY421" t="s">
        <v>74</v>
      </c>
      <c r="AZ421" t="s">
        <v>74</v>
      </c>
      <c r="BA421" t="s">
        <v>74</v>
      </c>
      <c r="BB421" t="s">
        <v>74</v>
      </c>
      <c r="BC421" t="s">
        <v>74</v>
      </c>
      <c r="BD421">
        <v>20130273</v>
      </c>
      <c r="BE421" t="s">
        <v>8179</v>
      </c>
      <c r="BF421" t="str">
        <f>HYPERLINK("http://dx.doi.org/10.1098/rsta.2013.0273","http://dx.doi.org/10.1098/rsta.2013.0273")</f>
        <v>http://dx.doi.org/10.1098/rsta.2013.0273</v>
      </c>
      <c r="BG421" t="s">
        <v>74</v>
      </c>
      <c r="BH421" t="s">
        <v>74</v>
      </c>
      <c r="BI421">
        <v>12</v>
      </c>
      <c r="BJ421" t="s">
        <v>660</v>
      </c>
      <c r="BK421" t="s">
        <v>102</v>
      </c>
      <c r="BL421" t="s">
        <v>661</v>
      </c>
      <c r="BM421" t="s">
        <v>8111</v>
      </c>
      <c r="BN421">
        <v>24891396</v>
      </c>
      <c r="BO421" t="s">
        <v>2647</v>
      </c>
      <c r="BP421" t="s">
        <v>74</v>
      </c>
      <c r="BQ421" t="s">
        <v>74</v>
      </c>
      <c r="BR421" t="s">
        <v>105</v>
      </c>
      <c r="BS421" t="s">
        <v>8180</v>
      </c>
      <c r="BT421" t="str">
        <f>HYPERLINK("https%3A%2F%2Fwww.webofscience.com%2Fwos%2Fwoscc%2Ffull-record%2FWOS:000337366900010","View Full Record in Web of Science")</f>
        <v>View Full Record in Web of Science</v>
      </c>
    </row>
    <row r="422" spans="1:72" x14ac:dyDescent="0.15">
      <c r="A422" t="s">
        <v>72</v>
      </c>
      <c r="B422" t="s">
        <v>8181</v>
      </c>
      <c r="C422" t="s">
        <v>74</v>
      </c>
      <c r="D422" t="s">
        <v>74</v>
      </c>
      <c r="E422" t="s">
        <v>74</v>
      </c>
      <c r="F422" t="s">
        <v>8182</v>
      </c>
      <c r="G422" t="s">
        <v>74</v>
      </c>
      <c r="H422" t="s">
        <v>74</v>
      </c>
      <c r="I422" t="s">
        <v>8183</v>
      </c>
      <c r="J422" t="s">
        <v>1058</v>
      </c>
      <c r="K422" t="s">
        <v>74</v>
      </c>
      <c r="L422" t="s">
        <v>74</v>
      </c>
      <c r="M422" t="s">
        <v>78</v>
      </c>
      <c r="N422" t="s">
        <v>79</v>
      </c>
      <c r="O422" t="s">
        <v>74</v>
      </c>
      <c r="P422" t="s">
        <v>74</v>
      </c>
      <c r="Q422" t="s">
        <v>74</v>
      </c>
      <c r="R422" t="s">
        <v>74</v>
      </c>
      <c r="S422" t="s">
        <v>74</v>
      </c>
      <c r="T422" t="s">
        <v>8184</v>
      </c>
      <c r="U422" t="s">
        <v>8185</v>
      </c>
      <c r="V422" t="s">
        <v>8186</v>
      </c>
      <c r="W422" t="s">
        <v>8187</v>
      </c>
      <c r="X422" t="s">
        <v>8188</v>
      </c>
      <c r="Y422" t="s">
        <v>8189</v>
      </c>
      <c r="Z422" t="s">
        <v>8190</v>
      </c>
      <c r="AA422" t="s">
        <v>8191</v>
      </c>
      <c r="AB422" t="s">
        <v>8192</v>
      </c>
      <c r="AC422" t="s">
        <v>8193</v>
      </c>
      <c r="AD422" t="s">
        <v>8194</v>
      </c>
      <c r="AE422" t="s">
        <v>8195</v>
      </c>
      <c r="AF422" t="s">
        <v>74</v>
      </c>
      <c r="AG422">
        <v>19</v>
      </c>
      <c r="AH422">
        <v>47</v>
      </c>
      <c r="AI422">
        <v>51</v>
      </c>
      <c r="AJ422">
        <v>3</v>
      </c>
      <c r="AK422">
        <v>43</v>
      </c>
      <c r="AL422" t="s">
        <v>1070</v>
      </c>
      <c r="AM422" t="s">
        <v>654</v>
      </c>
      <c r="AN422" t="s">
        <v>1071</v>
      </c>
      <c r="AO422" t="s">
        <v>1072</v>
      </c>
      <c r="AP422" t="s">
        <v>1073</v>
      </c>
      <c r="AQ422" t="s">
        <v>74</v>
      </c>
      <c r="AR422" t="s">
        <v>1074</v>
      </c>
      <c r="AS422" t="s">
        <v>1075</v>
      </c>
      <c r="AT422" t="s">
        <v>8091</v>
      </c>
      <c r="AU422">
        <v>2014</v>
      </c>
      <c r="AV422">
        <v>372</v>
      </c>
      <c r="AW422">
        <v>2019</v>
      </c>
      <c r="AX422" t="s">
        <v>74</v>
      </c>
      <c r="AY422" t="s">
        <v>74</v>
      </c>
      <c r="AZ422" t="s">
        <v>74</v>
      </c>
      <c r="BA422" t="s">
        <v>74</v>
      </c>
      <c r="BB422" t="s">
        <v>74</v>
      </c>
      <c r="BC422" t="s">
        <v>74</v>
      </c>
      <c r="BD422">
        <v>20130047</v>
      </c>
      <c r="BE422" t="s">
        <v>8196</v>
      </c>
      <c r="BF422" t="str">
        <f>HYPERLINK("http://dx.doi.org/10.1098/rsta.2013.0047","http://dx.doi.org/10.1098/rsta.2013.0047")</f>
        <v>http://dx.doi.org/10.1098/rsta.2013.0047</v>
      </c>
      <c r="BG422" t="s">
        <v>74</v>
      </c>
      <c r="BH422" t="s">
        <v>74</v>
      </c>
      <c r="BI422">
        <v>11</v>
      </c>
      <c r="BJ422" t="s">
        <v>660</v>
      </c>
      <c r="BK422" t="s">
        <v>102</v>
      </c>
      <c r="BL422" t="s">
        <v>661</v>
      </c>
      <c r="BM422" t="s">
        <v>8111</v>
      </c>
      <c r="BN422">
        <v>24891389</v>
      </c>
      <c r="BO422" t="s">
        <v>1476</v>
      </c>
      <c r="BP422" t="s">
        <v>74</v>
      </c>
      <c r="BQ422" t="s">
        <v>74</v>
      </c>
      <c r="BR422" t="s">
        <v>105</v>
      </c>
      <c r="BS422" t="s">
        <v>8197</v>
      </c>
      <c r="BT422" t="str">
        <f>HYPERLINK("https%3A%2F%2Fwww.webofscience.com%2Fwos%2Fwoscc%2Ffull-record%2FWOS:000337366900004","View Full Record in Web of Science")</f>
        <v>View Full Record in Web of Science</v>
      </c>
    </row>
    <row r="423" spans="1:72" x14ac:dyDescent="0.15">
      <c r="A423" t="s">
        <v>72</v>
      </c>
      <c r="B423" t="s">
        <v>8198</v>
      </c>
      <c r="C423" t="s">
        <v>74</v>
      </c>
      <c r="D423" t="s">
        <v>74</v>
      </c>
      <c r="E423" t="s">
        <v>74</v>
      </c>
      <c r="F423" t="s">
        <v>8199</v>
      </c>
      <c r="G423" t="s">
        <v>74</v>
      </c>
      <c r="H423" t="s">
        <v>74</v>
      </c>
      <c r="I423" t="s">
        <v>8200</v>
      </c>
      <c r="J423" t="s">
        <v>1058</v>
      </c>
      <c r="K423" t="s">
        <v>74</v>
      </c>
      <c r="L423" t="s">
        <v>74</v>
      </c>
      <c r="M423" t="s">
        <v>78</v>
      </c>
      <c r="N423" t="s">
        <v>185</v>
      </c>
      <c r="O423" t="s">
        <v>74</v>
      </c>
      <c r="P423" t="s">
        <v>74</v>
      </c>
      <c r="Q423" t="s">
        <v>74</v>
      </c>
      <c r="R423" t="s">
        <v>74</v>
      </c>
      <c r="S423" t="s">
        <v>74</v>
      </c>
      <c r="T423" t="s">
        <v>8201</v>
      </c>
      <c r="U423" t="s">
        <v>8202</v>
      </c>
      <c r="V423" t="s">
        <v>8203</v>
      </c>
      <c r="W423" t="s">
        <v>3852</v>
      </c>
      <c r="X423" t="s">
        <v>1022</v>
      </c>
      <c r="Y423" t="s">
        <v>8204</v>
      </c>
      <c r="Z423" t="s">
        <v>8205</v>
      </c>
      <c r="AA423" t="s">
        <v>74</v>
      </c>
      <c r="AB423" t="s">
        <v>74</v>
      </c>
      <c r="AC423" t="s">
        <v>8206</v>
      </c>
      <c r="AD423" t="s">
        <v>3836</v>
      </c>
      <c r="AE423" t="s">
        <v>74</v>
      </c>
      <c r="AF423" t="s">
        <v>74</v>
      </c>
      <c r="AG423">
        <v>72</v>
      </c>
      <c r="AH423">
        <v>112</v>
      </c>
      <c r="AI423">
        <v>112</v>
      </c>
      <c r="AJ423">
        <v>2</v>
      </c>
      <c r="AK423">
        <v>50</v>
      </c>
      <c r="AL423" t="s">
        <v>1070</v>
      </c>
      <c r="AM423" t="s">
        <v>654</v>
      </c>
      <c r="AN423" t="s">
        <v>1071</v>
      </c>
      <c r="AO423" t="s">
        <v>1072</v>
      </c>
      <c r="AP423" t="s">
        <v>1073</v>
      </c>
      <c r="AQ423" t="s">
        <v>74</v>
      </c>
      <c r="AR423" t="s">
        <v>1074</v>
      </c>
      <c r="AS423" t="s">
        <v>1075</v>
      </c>
      <c r="AT423" t="s">
        <v>8091</v>
      </c>
      <c r="AU423">
        <v>2014</v>
      </c>
      <c r="AV423">
        <v>372</v>
      </c>
      <c r="AW423">
        <v>2019</v>
      </c>
      <c r="AX423" t="s">
        <v>74</v>
      </c>
      <c r="AY423" t="s">
        <v>74</v>
      </c>
      <c r="AZ423" t="s">
        <v>74</v>
      </c>
      <c r="BA423" t="s">
        <v>74</v>
      </c>
      <c r="BB423" t="s">
        <v>74</v>
      </c>
      <c r="BC423" t="s">
        <v>74</v>
      </c>
      <c r="BD423">
        <v>20130296</v>
      </c>
      <c r="BE423" t="s">
        <v>8207</v>
      </c>
      <c r="BF423" t="str">
        <f>HYPERLINK("http://dx.doi.org/10.1098/rsta.2013.0296","http://dx.doi.org/10.1098/rsta.2013.0296")</f>
        <v>http://dx.doi.org/10.1098/rsta.2013.0296</v>
      </c>
      <c r="BG423" t="s">
        <v>74</v>
      </c>
      <c r="BH423" t="s">
        <v>74</v>
      </c>
      <c r="BI423">
        <v>22</v>
      </c>
      <c r="BJ423" t="s">
        <v>660</v>
      </c>
      <c r="BK423" t="s">
        <v>102</v>
      </c>
      <c r="BL423" t="s">
        <v>661</v>
      </c>
      <c r="BM423" t="s">
        <v>8111</v>
      </c>
      <c r="BN423">
        <v>24891395</v>
      </c>
      <c r="BO423" t="s">
        <v>1564</v>
      </c>
      <c r="BP423" t="s">
        <v>74</v>
      </c>
      <c r="BQ423" t="s">
        <v>74</v>
      </c>
      <c r="BR423" t="s">
        <v>105</v>
      </c>
      <c r="BS423" t="s">
        <v>8208</v>
      </c>
      <c r="BT423" t="str">
        <f>HYPERLINK("https%3A%2F%2Fwww.webofscience.com%2Fwos%2Fwoscc%2Ffull-record%2FWOS:000337366900011","View Full Record in Web of Science")</f>
        <v>View Full Record in Web of Science</v>
      </c>
    </row>
    <row r="424" spans="1:72" x14ac:dyDescent="0.15">
      <c r="A424" t="s">
        <v>72</v>
      </c>
      <c r="B424" t="s">
        <v>8209</v>
      </c>
      <c r="C424" t="s">
        <v>74</v>
      </c>
      <c r="D424" t="s">
        <v>74</v>
      </c>
      <c r="E424" t="s">
        <v>74</v>
      </c>
      <c r="F424" t="s">
        <v>8210</v>
      </c>
      <c r="G424" t="s">
        <v>74</v>
      </c>
      <c r="H424" t="s">
        <v>74</v>
      </c>
      <c r="I424" t="s">
        <v>8211</v>
      </c>
      <c r="J424" t="s">
        <v>1058</v>
      </c>
      <c r="K424" t="s">
        <v>74</v>
      </c>
      <c r="L424" t="s">
        <v>74</v>
      </c>
      <c r="M424" t="s">
        <v>78</v>
      </c>
      <c r="N424" t="s">
        <v>185</v>
      </c>
      <c r="O424" t="s">
        <v>74</v>
      </c>
      <c r="P424" t="s">
        <v>74</v>
      </c>
      <c r="Q424" t="s">
        <v>74</v>
      </c>
      <c r="R424" t="s">
        <v>74</v>
      </c>
      <c r="S424" t="s">
        <v>74</v>
      </c>
      <c r="T424" t="s">
        <v>8212</v>
      </c>
      <c r="U424" t="s">
        <v>8213</v>
      </c>
      <c r="V424" t="s">
        <v>8214</v>
      </c>
      <c r="W424" t="s">
        <v>8215</v>
      </c>
      <c r="X424" t="s">
        <v>8216</v>
      </c>
      <c r="Y424" t="s">
        <v>8217</v>
      </c>
      <c r="Z424" t="s">
        <v>8218</v>
      </c>
      <c r="AA424" t="s">
        <v>8219</v>
      </c>
      <c r="AB424" t="s">
        <v>8220</v>
      </c>
      <c r="AC424" t="s">
        <v>8221</v>
      </c>
      <c r="AD424" t="s">
        <v>678</v>
      </c>
      <c r="AE424" t="s">
        <v>74</v>
      </c>
      <c r="AF424" t="s">
        <v>74</v>
      </c>
      <c r="AG424">
        <v>43</v>
      </c>
      <c r="AH424">
        <v>17</v>
      </c>
      <c r="AI424">
        <v>17</v>
      </c>
      <c r="AJ424">
        <v>1</v>
      </c>
      <c r="AK424">
        <v>32</v>
      </c>
      <c r="AL424" t="s">
        <v>1070</v>
      </c>
      <c r="AM424" t="s">
        <v>654</v>
      </c>
      <c r="AN424" t="s">
        <v>1071</v>
      </c>
      <c r="AO424" t="s">
        <v>1072</v>
      </c>
      <c r="AP424" t="s">
        <v>1073</v>
      </c>
      <c r="AQ424" t="s">
        <v>74</v>
      </c>
      <c r="AR424" t="s">
        <v>1074</v>
      </c>
      <c r="AS424" t="s">
        <v>1075</v>
      </c>
      <c r="AT424" t="s">
        <v>8091</v>
      </c>
      <c r="AU424">
        <v>2014</v>
      </c>
      <c r="AV424">
        <v>372</v>
      </c>
      <c r="AW424">
        <v>2019</v>
      </c>
      <c r="AX424" t="s">
        <v>74</v>
      </c>
      <c r="AY424" t="s">
        <v>74</v>
      </c>
      <c r="AZ424" t="s">
        <v>74</v>
      </c>
      <c r="BA424" t="s">
        <v>74</v>
      </c>
      <c r="BB424" t="s">
        <v>74</v>
      </c>
      <c r="BC424" t="s">
        <v>74</v>
      </c>
      <c r="BD424">
        <v>20130041</v>
      </c>
      <c r="BE424" t="s">
        <v>8222</v>
      </c>
      <c r="BF424" t="str">
        <f>HYPERLINK("http://dx.doi.org/10.1098/rsta.2013.0041","http://dx.doi.org/10.1098/rsta.2013.0041")</f>
        <v>http://dx.doi.org/10.1098/rsta.2013.0041</v>
      </c>
      <c r="BG424" t="s">
        <v>74</v>
      </c>
      <c r="BH424" t="s">
        <v>74</v>
      </c>
      <c r="BI424">
        <v>11</v>
      </c>
      <c r="BJ424" t="s">
        <v>660</v>
      </c>
      <c r="BK424" t="s">
        <v>102</v>
      </c>
      <c r="BL424" t="s">
        <v>661</v>
      </c>
      <c r="BM424" t="s">
        <v>8111</v>
      </c>
      <c r="BN424">
        <v>24891387</v>
      </c>
      <c r="BO424" t="s">
        <v>341</v>
      </c>
      <c r="BP424" t="s">
        <v>74</v>
      </c>
      <c r="BQ424" t="s">
        <v>74</v>
      </c>
      <c r="BR424" t="s">
        <v>105</v>
      </c>
      <c r="BS424" t="s">
        <v>8223</v>
      </c>
      <c r="BT424" t="str">
        <f>HYPERLINK("https%3A%2F%2Fwww.webofscience.com%2Fwos%2Fwoscc%2Ffull-record%2FWOS:000337366900002","View Full Record in Web of Science")</f>
        <v>View Full Record in Web of Science</v>
      </c>
    </row>
    <row r="425" spans="1:72" x14ac:dyDescent="0.15">
      <c r="A425" t="s">
        <v>72</v>
      </c>
      <c r="B425" t="s">
        <v>8224</v>
      </c>
      <c r="C425" t="s">
        <v>74</v>
      </c>
      <c r="D425" t="s">
        <v>74</v>
      </c>
      <c r="E425" t="s">
        <v>74</v>
      </c>
      <c r="F425" t="s">
        <v>8225</v>
      </c>
      <c r="G425" t="s">
        <v>74</v>
      </c>
      <c r="H425" t="s">
        <v>74</v>
      </c>
      <c r="I425" t="s">
        <v>8226</v>
      </c>
      <c r="J425" t="s">
        <v>1058</v>
      </c>
      <c r="K425" t="s">
        <v>74</v>
      </c>
      <c r="L425" t="s">
        <v>74</v>
      </c>
      <c r="M425" t="s">
        <v>78</v>
      </c>
      <c r="N425" t="s">
        <v>79</v>
      </c>
      <c r="O425" t="s">
        <v>74</v>
      </c>
      <c r="P425" t="s">
        <v>74</v>
      </c>
      <c r="Q425" t="s">
        <v>74</v>
      </c>
      <c r="R425" t="s">
        <v>74</v>
      </c>
      <c r="S425" t="s">
        <v>74</v>
      </c>
      <c r="T425" t="s">
        <v>8227</v>
      </c>
      <c r="U425" t="s">
        <v>8228</v>
      </c>
      <c r="V425" t="s">
        <v>8229</v>
      </c>
      <c r="W425" t="s">
        <v>8230</v>
      </c>
      <c r="X425" t="s">
        <v>8231</v>
      </c>
      <c r="Y425" t="s">
        <v>8232</v>
      </c>
      <c r="Z425" t="s">
        <v>8233</v>
      </c>
      <c r="AA425" t="s">
        <v>8234</v>
      </c>
      <c r="AB425" t="s">
        <v>8235</v>
      </c>
      <c r="AC425" t="s">
        <v>8236</v>
      </c>
      <c r="AD425" t="s">
        <v>8237</v>
      </c>
      <c r="AE425" t="s">
        <v>8238</v>
      </c>
      <c r="AF425" t="s">
        <v>74</v>
      </c>
      <c r="AG425">
        <v>36</v>
      </c>
      <c r="AH425">
        <v>30</v>
      </c>
      <c r="AI425">
        <v>30</v>
      </c>
      <c r="AJ425">
        <v>0</v>
      </c>
      <c r="AK425">
        <v>21</v>
      </c>
      <c r="AL425" t="s">
        <v>1070</v>
      </c>
      <c r="AM425" t="s">
        <v>654</v>
      </c>
      <c r="AN425" t="s">
        <v>1071</v>
      </c>
      <c r="AO425" t="s">
        <v>1072</v>
      </c>
      <c r="AP425" t="s">
        <v>1073</v>
      </c>
      <c r="AQ425" t="s">
        <v>74</v>
      </c>
      <c r="AR425" t="s">
        <v>1074</v>
      </c>
      <c r="AS425" t="s">
        <v>1075</v>
      </c>
      <c r="AT425" t="s">
        <v>8091</v>
      </c>
      <c r="AU425">
        <v>2014</v>
      </c>
      <c r="AV425">
        <v>372</v>
      </c>
      <c r="AW425">
        <v>2019</v>
      </c>
      <c r="AX425" t="s">
        <v>74</v>
      </c>
      <c r="AY425" t="s">
        <v>74</v>
      </c>
      <c r="AZ425" t="s">
        <v>74</v>
      </c>
      <c r="BA425" t="s">
        <v>74</v>
      </c>
      <c r="BB425" t="s">
        <v>74</v>
      </c>
      <c r="BC425" t="s">
        <v>74</v>
      </c>
      <c r="BD425">
        <v>20130056</v>
      </c>
      <c r="BE425" t="s">
        <v>8239</v>
      </c>
      <c r="BF425" t="str">
        <f>HYPERLINK("http://dx.doi.org/10.1098/rsta.2013.0056","http://dx.doi.org/10.1098/rsta.2013.0056")</f>
        <v>http://dx.doi.org/10.1098/rsta.2013.0056</v>
      </c>
      <c r="BG425" t="s">
        <v>74</v>
      </c>
      <c r="BH425" t="s">
        <v>74</v>
      </c>
      <c r="BI425">
        <v>11</v>
      </c>
      <c r="BJ425" t="s">
        <v>660</v>
      </c>
      <c r="BK425" t="s">
        <v>102</v>
      </c>
      <c r="BL425" t="s">
        <v>661</v>
      </c>
      <c r="BM425" t="s">
        <v>8111</v>
      </c>
      <c r="BN425">
        <v>24891391</v>
      </c>
      <c r="BO425" t="s">
        <v>427</v>
      </c>
      <c r="BP425" t="s">
        <v>74</v>
      </c>
      <c r="BQ425" t="s">
        <v>74</v>
      </c>
      <c r="BR425" t="s">
        <v>105</v>
      </c>
      <c r="BS425" t="s">
        <v>8240</v>
      </c>
      <c r="BT425" t="str">
        <f>HYPERLINK("https%3A%2F%2Fwww.webofscience.com%2Fwos%2Fwoscc%2Ffull-record%2FWOS:000337366900007","View Full Record in Web of Science")</f>
        <v>View Full Record in Web of Science</v>
      </c>
    </row>
    <row r="426" spans="1:72" x14ac:dyDescent="0.15">
      <c r="A426" t="s">
        <v>72</v>
      </c>
      <c r="B426" t="s">
        <v>8241</v>
      </c>
      <c r="C426" t="s">
        <v>74</v>
      </c>
      <c r="D426" t="s">
        <v>74</v>
      </c>
      <c r="E426" t="s">
        <v>74</v>
      </c>
      <c r="F426" t="s">
        <v>8242</v>
      </c>
      <c r="G426" t="s">
        <v>74</v>
      </c>
      <c r="H426" t="s">
        <v>74</v>
      </c>
      <c r="I426" t="s">
        <v>8243</v>
      </c>
      <c r="J426" t="s">
        <v>1058</v>
      </c>
      <c r="K426" t="s">
        <v>74</v>
      </c>
      <c r="L426" t="s">
        <v>74</v>
      </c>
      <c r="M426" t="s">
        <v>78</v>
      </c>
      <c r="N426" t="s">
        <v>1516</v>
      </c>
      <c r="O426" t="s">
        <v>74</v>
      </c>
      <c r="P426" t="s">
        <v>74</v>
      </c>
      <c r="Q426" t="s">
        <v>74</v>
      </c>
      <c r="R426" t="s">
        <v>74</v>
      </c>
      <c r="S426" t="s">
        <v>74</v>
      </c>
      <c r="T426" t="s">
        <v>74</v>
      </c>
      <c r="U426" t="s">
        <v>74</v>
      </c>
      <c r="V426" t="s">
        <v>74</v>
      </c>
      <c r="W426" t="s">
        <v>8244</v>
      </c>
      <c r="X426" t="s">
        <v>8245</v>
      </c>
      <c r="Y426" t="s">
        <v>8246</v>
      </c>
      <c r="Z426" t="s">
        <v>8247</v>
      </c>
      <c r="AA426" t="s">
        <v>74</v>
      </c>
      <c r="AB426" t="s">
        <v>8248</v>
      </c>
      <c r="AC426" t="s">
        <v>8249</v>
      </c>
      <c r="AD426" t="s">
        <v>678</v>
      </c>
      <c r="AE426" t="s">
        <v>74</v>
      </c>
      <c r="AF426" t="s">
        <v>74</v>
      </c>
      <c r="AG426">
        <v>12</v>
      </c>
      <c r="AH426">
        <v>7</v>
      </c>
      <c r="AI426">
        <v>7</v>
      </c>
      <c r="AJ426">
        <v>1</v>
      </c>
      <c r="AK426">
        <v>28</v>
      </c>
      <c r="AL426" t="s">
        <v>1070</v>
      </c>
      <c r="AM426" t="s">
        <v>654</v>
      </c>
      <c r="AN426" t="s">
        <v>1071</v>
      </c>
      <c r="AO426" t="s">
        <v>1072</v>
      </c>
      <c r="AP426" t="s">
        <v>1073</v>
      </c>
      <c r="AQ426" t="s">
        <v>74</v>
      </c>
      <c r="AR426" t="s">
        <v>1074</v>
      </c>
      <c r="AS426" t="s">
        <v>1075</v>
      </c>
      <c r="AT426" t="s">
        <v>8091</v>
      </c>
      <c r="AU426">
        <v>2014</v>
      </c>
      <c r="AV426">
        <v>372</v>
      </c>
      <c r="AW426">
        <v>2019</v>
      </c>
      <c r="AX426" t="s">
        <v>74</v>
      </c>
      <c r="AY426" t="s">
        <v>74</v>
      </c>
      <c r="AZ426" t="s">
        <v>74</v>
      </c>
      <c r="BA426" t="s">
        <v>74</v>
      </c>
      <c r="BB426" t="s">
        <v>74</v>
      </c>
      <c r="BC426" t="s">
        <v>74</v>
      </c>
      <c r="BD426">
        <v>20130057</v>
      </c>
      <c r="BE426" t="s">
        <v>8250</v>
      </c>
      <c r="BF426" t="str">
        <f>HYPERLINK("http://dx.doi.org/10.1098/rsta.2013.0057","http://dx.doi.org/10.1098/rsta.2013.0057")</f>
        <v>http://dx.doi.org/10.1098/rsta.2013.0057</v>
      </c>
      <c r="BG426" t="s">
        <v>74</v>
      </c>
      <c r="BH426" t="s">
        <v>74</v>
      </c>
      <c r="BI426">
        <v>4</v>
      </c>
      <c r="BJ426" t="s">
        <v>660</v>
      </c>
      <c r="BK426" t="s">
        <v>102</v>
      </c>
      <c r="BL426" t="s">
        <v>661</v>
      </c>
      <c r="BM426" t="s">
        <v>8111</v>
      </c>
      <c r="BN426">
        <v>24891393</v>
      </c>
      <c r="BO426" t="s">
        <v>4603</v>
      </c>
      <c r="BP426" t="s">
        <v>74</v>
      </c>
      <c r="BQ426" t="s">
        <v>74</v>
      </c>
      <c r="BR426" t="s">
        <v>105</v>
      </c>
      <c r="BS426" t="s">
        <v>8251</v>
      </c>
      <c r="BT426" t="str">
        <f>HYPERLINK("https%3A%2F%2Fwww.webofscience.com%2Fwos%2Fwoscc%2Ffull-record%2FWOS:000337366900008","View Full Record in Web of Science")</f>
        <v>View Full Record in Web of Science</v>
      </c>
    </row>
    <row r="427" spans="1:72" x14ac:dyDescent="0.15">
      <c r="A427" t="s">
        <v>72</v>
      </c>
      <c r="B427" t="s">
        <v>8252</v>
      </c>
      <c r="C427" t="s">
        <v>74</v>
      </c>
      <c r="D427" t="s">
        <v>74</v>
      </c>
      <c r="E427" t="s">
        <v>74</v>
      </c>
      <c r="F427" t="s">
        <v>8253</v>
      </c>
      <c r="G427" t="s">
        <v>74</v>
      </c>
      <c r="H427" t="s">
        <v>74</v>
      </c>
      <c r="I427" t="s">
        <v>8254</v>
      </c>
      <c r="J427" t="s">
        <v>8255</v>
      </c>
      <c r="K427" t="s">
        <v>74</v>
      </c>
      <c r="L427" t="s">
        <v>74</v>
      </c>
      <c r="M427" t="s">
        <v>78</v>
      </c>
      <c r="N427" t="s">
        <v>8256</v>
      </c>
      <c r="O427" t="s">
        <v>8257</v>
      </c>
      <c r="P427" t="s">
        <v>8258</v>
      </c>
      <c r="Q427" t="s">
        <v>8259</v>
      </c>
      <c r="R427" t="s">
        <v>74</v>
      </c>
      <c r="S427" t="s">
        <v>8260</v>
      </c>
      <c r="T427" t="s">
        <v>8261</v>
      </c>
      <c r="U427" t="s">
        <v>8262</v>
      </c>
      <c r="V427" t="s">
        <v>8263</v>
      </c>
      <c r="W427" t="s">
        <v>8264</v>
      </c>
      <c r="X427" t="s">
        <v>8265</v>
      </c>
      <c r="Y427" t="s">
        <v>8266</v>
      </c>
      <c r="Z427" t="s">
        <v>8267</v>
      </c>
      <c r="AA427" t="s">
        <v>8268</v>
      </c>
      <c r="AB427" t="s">
        <v>8269</v>
      </c>
      <c r="AC427" t="s">
        <v>74</v>
      </c>
      <c r="AD427" t="s">
        <v>74</v>
      </c>
      <c r="AE427" t="s">
        <v>74</v>
      </c>
      <c r="AF427" t="s">
        <v>74</v>
      </c>
      <c r="AG427">
        <v>52</v>
      </c>
      <c r="AH427">
        <v>15</v>
      </c>
      <c r="AI427">
        <v>15</v>
      </c>
      <c r="AJ427">
        <v>0</v>
      </c>
      <c r="AK427">
        <v>12</v>
      </c>
      <c r="AL427" t="s">
        <v>8270</v>
      </c>
      <c r="AM427" t="s">
        <v>8271</v>
      </c>
      <c r="AN427" t="s">
        <v>8272</v>
      </c>
      <c r="AO427" t="s">
        <v>8273</v>
      </c>
      <c r="AP427" t="s">
        <v>8274</v>
      </c>
      <c r="AQ427" t="s">
        <v>74</v>
      </c>
      <c r="AR427" t="s">
        <v>8275</v>
      </c>
      <c r="AS427" t="s">
        <v>8276</v>
      </c>
      <c r="AT427" t="s">
        <v>8277</v>
      </c>
      <c r="AU427">
        <v>2014</v>
      </c>
      <c r="AV427">
        <v>127</v>
      </c>
      <c r="AW427">
        <v>1</v>
      </c>
      <c r="AX427" t="s">
        <v>74</v>
      </c>
      <c r="AY427" t="s">
        <v>74</v>
      </c>
      <c r="AZ427" t="s">
        <v>74</v>
      </c>
      <c r="BA427" t="s">
        <v>74</v>
      </c>
      <c r="BB427">
        <v>248</v>
      </c>
      <c r="BC427">
        <v>283</v>
      </c>
      <c r="BD427" t="s">
        <v>74</v>
      </c>
      <c r="BE427" t="s">
        <v>8278</v>
      </c>
      <c r="BF427" t="str">
        <f>HYPERLINK("http://dx.doi.org/10.2988/0006-324X-127.1.248","http://dx.doi.org/10.2988/0006-324X-127.1.248")</f>
        <v>http://dx.doi.org/10.2988/0006-324X-127.1.248</v>
      </c>
      <c r="BG427" t="s">
        <v>74</v>
      </c>
      <c r="BH427" t="s">
        <v>74</v>
      </c>
      <c r="BI427">
        <v>36</v>
      </c>
      <c r="BJ427" t="s">
        <v>1300</v>
      </c>
      <c r="BK427" t="s">
        <v>1795</v>
      </c>
      <c r="BL427" t="s">
        <v>1301</v>
      </c>
      <c r="BM427" t="s">
        <v>8279</v>
      </c>
      <c r="BN427" t="s">
        <v>74</v>
      </c>
      <c r="BO427" t="s">
        <v>74</v>
      </c>
      <c r="BP427" t="s">
        <v>74</v>
      </c>
      <c r="BQ427" t="s">
        <v>74</v>
      </c>
      <c r="BR427" t="s">
        <v>105</v>
      </c>
      <c r="BS427" t="s">
        <v>8280</v>
      </c>
      <c r="BT427" t="str">
        <f>HYPERLINK("https%3A%2F%2Fwww.webofscience.com%2Fwos%2Fwoscc%2Ffull-record%2FWOS:000338912100018","View Full Record in Web of Science")</f>
        <v>View Full Record in Web of Science</v>
      </c>
    </row>
    <row r="428" spans="1:72" x14ac:dyDescent="0.15">
      <c r="A428" t="s">
        <v>72</v>
      </c>
      <c r="B428" t="s">
        <v>8281</v>
      </c>
      <c r="C428" t="s">
        <v>74</v>
      </c>
      <c r="D428" t="s">
        <v>74</v>
      </c>
      <c r="E428" t="s">
        <v>74</v>
      </c>
      <c r="F428" t="s">
        <v>8282</v>
      </c>
      <c r="G428" t="s">
        <v>74</v>
      </c>
      <c r="H428" t="s">
        <v>74</v>
      </c>
      <c r="I428" t="s">
        <v>8283</v>
      </c>
      <c r="J428" t="s">
        <v>8284</v>
      </c>
      <c r="K428" t="s">
        <v>74</v>
      </c>
      <c r="L428" t="s">
        <v>74</v>
      </c>
      <c r="M428" t="s">
        <v>78</v>
      </c>
      <c r="N428" t="s">
        <v>79</v>
      </c>
      <c r="O428" t="s">
        <v>74</v>
      </c>
      <c r="P428" t="s">
        <v>74</v>
      </c>
      <c r="Q428" t="s">
        <v>74</v>
      </c>
      <c r="R428" t="s">
        <v>74</v>
      </c>
      <c r="S428" t="s">
        <v>74</v>
      </c>
      <c r="T428" t="s">
        <v>74</v>
      </c>
      <c r="U428" t="s">
        <v>8285</v>
      </c>
      <c r="V428" t="s">
        <v>8286</v>
      </c>
      <c r="W428" t="s">
        <v>8287</v>
      </c>
      <c r="X428" t="s">
        <v>8288</v>
      </c>
      <c r="Y428" t="s">
        <v>8289</v>
      </c>
      <c r="Z428" t="s">
        <v>8290</v>
      </c>
      <c r="AA428" t="s">
        <v>8291</v>
      </c>
      <c r="AB428" t="s">
        <v>8292</v>
      </c>
      <c r="AC428" t="s">
        <v>8293</v>
      </c>
      <c r="AD428" t="s">
        <v>8294</v>
      </c>
      <c r="AE428" t="s">
        <v>8295</v>
      </c>
      <c r="AF428" t="s">
        <v>74</v>
      </c>
      <c r="AG428">
        <v>48</v>
      </c>
      <c r="AH428">
        <v>26</v>
      </c>
      <c r="AI428">
        <v>27</v>
      </c>
      <c r="AJ428">
        <v>0</v>
      </c>
      <c r="AK428">
        <v>20</v>
      </c>
      <c r="AL428" t="s">
        <v>250</v>
      </c>
      <c r="AM428" t="s">
        <v>251</v>
      </c>
      <c r="AN428" t="s">
        <v>252</v>
      </c>
      <c r="AO428" t="s">
        <v>8296</v>
      </c>
      <c r="AP428" t="s">
        <v>8297</v>
      </c>
      <c r="AQ428" t="s">
        <v>74</v>
      </c>
      <c r="AR428" t="s">
        <v>8298</v>
      </c>
      <c r="AS428" t="s">
        <v>8299</v>
      </c>
      <c r="AT428" t="s">
        <v>8277</v>
      </c>
      <c r="AU428">
        <v>2014</v>
      </c>
      <c r="AV428">
        <v>337</v>
      </c>
      <c r="AW428" t="s">
        <v>74</v>
      </c>
      <c r="AX428" t="s">
        <v>74</v>
      </c>
      <c r="AY428" t="s">
        <v>74</v>
      </c>
      <c r="AZ428" t="s">
        <v>74</v>
      </c>
      <c r="BA428" t="s">
        <v>74</v>
      </c>
      <c r="BB428">
        <v>163</v>
      </c>
      <c r="BC428">
        <v>169</v>
      </c>
      <c r="BD428" t="s">
        <v>74</v>
      </c>
      <c r="BE428" t="s">
        <v>8300</v>
      </c>
      <c r="BF428" t="str">
        <f>HYPERLINK("http://dx.doi.org/10.1016/j.quaint.2013.01.014","http://dx.doi.org/10.1016/j.quaint.2013.01.014")</f>
        <v>http://dx.doi.org/10.1016/j.quaint.2013.01.014</v>
      </c>
      <c r="BG428" t="s">
        <v>74</v>
      </c>
      <c r="BH428" t="s">
        <v>74</v>
      </c>
      <c r="BI428">
        <v>7</v>
      </c>
      <c r="BJ428" t="s">
        <v>1427</v>
      </c>
      <c r="BK428" t="s">
        <v>8301</v>
      </c>
      <c r="BL428" t="s">
        <v>1428</v>
      </c>
      <c r="BM428" t="s">
        <v>8302</v>
      </c>
      <c r="BN428" t="s">
        <v>74</v>
      </c>
      <c r="BO428" t="s">
        <v>74</v>
      </c>
      <c r="BP428" t="s">
        <v>74</v>
      </c>
      <c r="BQ428" t="s">
        <v>74</v>
      </c>
      <c r="BR428" t="s">
        <v>105</v>
      </c>
      <c r="BS428" t="s">
        <v>8303</v>
      </c>
      <c r="BT428" t="str">
        <f>HYPERLINK("https%3A%2F%2Fwww.webofscience.com%2Fwos%2Fwoscc%2Ffull-record%2FWOS:000338977900012","View Full Record in Web of Science")</f>
        <v>View Full Record in Web of Science</v>
      </c>
    </row>
    <row r="429" spans="1:72" x14ac:dyDescent="0.15">
      <c r="A429" t="s">
        <v>72</v>
      </c>
      <c r="B429" t="s">
        <v>8304</v>
      </c>
      <c r="C429" t="s">
        <v>74</v>
      </c>
      <c r="D429" t="s">
        <v>74</v>
      </c>
      <c r="E429" t="s">
        <v>74</v>
      </c>
      <c r="F429" t="s">
        <v>8305</v>
      </c>
      <c r="G429" t="s">
        <v>74</v>
      </c>
      <c r="H429" t="s">
        <v>74</v>
      </c>
      <c r="I429" t="s">
        <v>8306</v>
      </c>
      <c r="J429" t="s">
        <v>7860</v>
      </c>
      <c r="K429" t="s">
        <v>74</v>
      </c>
      <c r="L429" t="s">
        <v>74</v>
      </c>
      <c r="M429" t="s">
        <v>78</v>
      </c>
      <c r="N429" t="s">
        <v>79</v>
      </c>
      <c r="O429" t="s">
        <v>74</v>
      </c>
      <c r="P429" t="s">
        <v>74</v>
      </c>
      <c r="Q429" t="s">
        <v>74</v>
      </c>
      <c r="R429" t="s">
        <v>74</v>
      </c>
      <c r="S429" t="s">
        <v>74</v>
      </c>
      <c r="T429" t="s">
        <v>8307</v>
      </c>
      <c r="U429" t="s">
        <v>8308</v>
      </c>
      <c r="V429" t="s">
        <v>8309</v>
      </c>
      <c r="W429" t="s">
        <v>8310</v>
      </c>
      <c r="X429" t="s">
        <v>8311</v>
      </c>
      <c r="Y429" t="s">
        <v>8312</v>
      </c>
      <c r="Z429" t="s">
        <v>8313</v>
      </c>
      <c r="AA429" t="s">
        <v>8314</v>
      </c>
      <c r="AB429" t="s">
        <v>8315</v>
      </c>
      <c r="AC429" t="s">
        <v>8316</v>
      </c>
      <c r="AD429" t="s">
        <v>8317</v>
      </c>
      <c r="AE429" t="s">
        <v>8318</v>
      </c>
      <c r="AF429" t="s">
        <v>74</v>
      </c>
      <c r="AG429">
        <v>65</v>
      </c>
      <c r="AH429">
        <v>65</v>
      </c>
      <c r="AI429">
        <v>67</v>
      </c>
      <c r="AJ429">
        <v>4</v>
      </c>
      <c r="AK429">
        <v>135</v>
      </c>
      <c r="AL429" t="s">
        <v>1070</v>
      </c>
      <c r="AM429" t="s">
        <v>654</v>
      </c>
      <c r="AN429" t="s">
        <v>1071</v>
      </c>
      <c r="AO429" t="s">
        <v>7873</v>
      </c>
      <c r="AP429" t="s">
        <v>7874</v>
      </c>
      <c r="AQ429" t="s">
        <v>74</v>
      </c>
      <c r="AR429" t="s">
        <v>7875</v>
      </c>
      <c r="AS429" t="s">
        <v>7876</v>
      </c>
      <c r="AT429" t="s">
        <v>8319</v>
      </c>
      <c r="AU429">
        <v>2014</v>
      </c>
      <c r="AV429">
        <v>281</v>
      </c>
      <c r="AW429">
        <v>1786</v>
      </c>
      <c r="AX429" t="s">
        <v>74</v>
      </c>
      <c r="AY429" t="s">
        <v>74</v>
      </c>
      <c r="AZ429" t="s">
        <v>74</v>
      </c>
      <c r="BA429" t="s">
        <v>74</v>
      </c>
      <c r="BB429" t="s">
        <v>74</v>
      </c>
      <c r="BC429" t="s">
        <v>74</v>
      </c>
      <c r="BD429">
        <v>20133222</v>
      </c>
      <c r="BE429" t="s">
        <v>8320</v>
      </c>
      <c r="BF429" t="str">
        <f>HYPERLINK("http://dx.doi.org/10.1098/rspb.2013.3222","http://dx.doi.org/10.1098/rspb.2013.3222")</f>
        <v>http://dx.doi.org/10.1098/rspb.2013.3222</v>
      </c>
      <c r="BG429" t="s">
        <v>74</v>
      </c>
      <c r="BH429" t="s">
        <v>74</v>
      </c>
      <c r="BI429">
        <v>10</v>
      </c>
      <c r="BJ429" t="s">
        <v>3368</v>
      </c>
      <c r="BK429" t="s">
        <v>102</v>
      </c>
      <c r="BL429" t="s">
        <v>3369</v>
      </c>
      <c r="BM429" t="s">
        <v>8321</v>
      </c>
      <c r="BN429">
        <v>24850919</v>
      </c>
      <c r="BO429" t="s">
        <v>7716</v>
      </c>
      <c r="BP429" t="s">
        <v>74</v>
      </c>
      <c r="BQ429" t="s">
        <v>74</v>
      </c>
      <c r="BR429" t="s">
        <v>105</v>
      </c>
      <c r="BS429" t="s">
        <v>8322</v>
      </c>
      <c r="BT429" t="str">
        <f>HYPERLINK("https%3A%2F%2Fwww.webofscience.com%2Fwos%2Fwoscc%2Ffull-record%2FWOS:000336784500007","View Full Record in Web of Science")</f>
        <v>View Full Record in Web of Science</v>
      </c>
    </row>
    <row r="430" spans="1:72" x14ac:dyDescent="0.15">
      <c r="A430" t="s">
        <v>72</v>
      </c>
      <c r="B430" t="s">
        <v>8323</v>
      </c>
      <c r="C430" t="s">
        <v>74</v>
      </c>
      <c r="D430" t="s">
        <v>74</v>
      </c>
      <c r="E430" t="s">
        <v>74</v>
      </c>
      <c r="F430" t="s">
        <v>8324</v>
      </c>
      <c r="G430" t="s">
        <v>74</v>
      </c>
      <c r="H430" t="s">
        <v>74</v>
      </c>
      <c r="I430" t="s">
        <v>8325</v>
      </c>
      <c r="J430" t="s">
        <v>8326</v>
      </c>
      <c r="K430" t="s">
        <v>74</v>
      </c>
      <c r="L430" t="s">
        <v>74</v>
      </c>
      <c r="M430" t="s">
        <v>78</v>
      </c>
      <c r="N430" t="s">
        <v>79</v>
      </c>
      <c r="O430" t="s">
        <v>74</v>
      </c>
      <c r="P430" t="s">
        <v>74</v>
      </c>
      <c r="Q430" t="s">
        <v>74</v>
      </c>
      <c r="R430" t="s">
        <v>74</v>
      </c>
      <c r="S430" t="s">
        <v>74</v>
      </c>
      <c r="T430" t="s">
        <v>8327</v>
      </c>
      <c r="U430" t="s">
        <v>8328</v>
      </c>
      <c r="V430" t="s">
        <v>8329</v>
      </c>
      <c r="W430" t="s">
        <v>8330</v>
      </c>
      <c r="X430" t="s">
        <v>8331</v>
      </c>
      <c r="Y430" t="s">
        <v>8332</v>
      </c>
      <c r="Z430" t="s">
        <v>8333</v>
      </c>
      <c r="AA430" t="s">
        <v>8334</v>
      </c>
      <c r="AB430" t="s">
        <v>8335</v>
      </c>
      <c r="AC430" t="s">
        <v>8336</v>
      </c>
      <c r="AD430" t="s">
        <v>8337</v>
      </c>
      <c r="AE430" t="s">
        <v>8338</v>
      </c>
      <c r="AF430" t="s">
        <v>74</v>
      </c>
      <c r="AG430">
        <v>18</v>
      </c>
      <c r="AH430">
        <v>28</v>
      </c>
      <c r="AI430">
        <v>31</v>
      </c>
      <c r="AJ430">
        <v>1</v>
      </c>
      <c r="AK430">
        <v>24</v>
      </c>
      <c r="AL430" t="s">
        <v>1764</v>
      </c>
      <c r="AM430" t="s">
        <v>1765</v>
      </c>
      <c r="AN430" t="s">
        <v>3608</v>
      </c>
      <c r="AO430" t="s">
        <v>8339</v>
      </c>
      <c r="AP430" t="s">
        <v>8340</v>
      </c>
      <c r="AQ430" t="s">
        <v>74</v>
      </c>
      <c r="AR430" t="s">
        <v>8341</v>
      </c>
      <c r="AS430" t="s">
        <v>8342</v>
      </c>
      <c r="AT430" t="s">
        <v>8343</v>
      </c>
      <c r="AU430">
        <v>2014</v>
      </c>
      <c r="AV430">
        <v>28</v>
      </c>
      <c r="AW430">
        <v>4</v>
      </c>
      <c r="AX430" t="s">
        <v>74</v>
      </c>
      <c r="AY430" t="s">
        <v>74</v>
      </c>
      <c r="AZ430" t="s">
        <v>74</v>
      </c>
      <c r="BA430" t="s">
        <v>74</v>
      </c>
      <c r="BB430">
        <v>721</v>
      </c>
      <c r="BC430">
        <v>727</v>
      </c>
      <c r="BD430" t="s">
        <v>74</v>
      </c>
      <c r="BE430" t="s">
        <v>8344</v>
      </c>
      <c r="BF430" t="str">
        <f>HYPERLINK("http://dx.doi.org/10.1080/13102818.2014.947066","http://dx.doi.org/10.1080/13102818.2014.947066")</f>
        <v>http://dx.doi.org/10.1080/13102818.2014.947066</v>
      </c>
      <c r="BG430" t="s">
        <v>74</v>
      </c>
      <c r="BH430" t="s">
        <v>74</v>
      </c>
      <c r="BI430">
        <v>7</v>
      </c>
      <c r="BJ430" t="s">
        <v>908</v>
      </c>
      <c r="BK430" t="s">
        <v>102</v>
      </c>
      <c r="BL430" t="s">
        <v>908</v>
      </c>
      <c r="BM430" t="s">
        <v>8345</v>
      </c>
      <c r="BN430">
        <v>26019556</v>
      </c>
      <c r="BO430" t="s">
        <v>1274</v>
      </c>
      <c r="BP430" t="s">
        <v>74</v>
      </c>
      <c r="BQ430" t="s">
        <v>74</v>
      </c>
      <c r="BR430" t="s">
        <v>105</v>
      </c>
      <c r="BS430" t="s">
        <v>8346</v>
      </c>
      <c r="BT430" t="str">
        <f>HYPERLINK("https%3A%2F%2Fwww.webofscience.com%2Fwos%2Fwoscc%2Ffull-record%2FWOS:000348934100019","View Full Record in Web of Science")</f>
        <v>View Full Record in Web of Science</v>
      </c>
    </row>
    <row r="431" spans="1:72" x14ac:dyDescent="0.15">
      <c r="A431" t="s">
        <v>72</v>
      </c>
      <c r="B431" t="s">
        <v>8347</v>
      </c>
      <c r="C431" t="s">
        <v>74</v>
      </c>
      <c r="D431" t="s">
        <v>74</v>
      </c>
      <c r="E431" t="s">
        <v>74</v>
      </c>
      <c r="F431" t="s">
        <v>8348</v>
      </c>
      <c r="G431" t="s">
        <v>74</v>
      </c>
      <c r="H431" t="s">
        <v>74</v>
      </c>
      <c r="I431" t="s">
        <v>8349</v>
      </c>
      <c r="J431" t="s">
        <v>8350</v>
      </c>
      <c r="K431" t="s">
        <v>74</v>
      </c>
      <c r="L431" t="s">
        <v>74</v>
      </c>
      <c r="M431" t="s">
        <v>78</v>
      </c>
      <c r="N431" t="s">
        <v>79</v>
      </c>
      <c r="O431" t="s">
        <v>74</v>
      </c>
      <c r="P431" t="s">
        <v>74</v>
      </c>
      <c r="Q431" t="s">
        <v>74</v>
      </c>
      <c r="R431" t="s">
        <v>74</v>
      </c>
      <c r="S431" t="s">
        <v>74</v>
      </c>
      <c r="T431" t="s">
        <v>8351</v>
      </c>
      <c r="U431" t="s">
        <v>8352</v>
      </c>
      <c r="V431" t="s">
        <v>8353</v>
      </c>
      <c r="W431" t="s">
        <v>8354</v>
      </c>
      <c r="X431" t="s">
        <v>8355</v>
      </c>
      <c r="Y431" t="s">
        <v>8356</v>
      </c>
      <c r="Z431" t="s">
        <v>8357</v>
      </c>
      <c r="AA431" t="s">
        <v>74</v>
      </c>
      <c r="AB431" t="s">
        <v>8358</v>
      </c>
      <c r="AC431" t="s">
        <v>8359</v>
      </c>
      <c r="AD431" t="s">
        <v>8360</v>
      </c>
      <c r="AE431" t="s">
        <v>8361</v>
      </c>
      <c r="AF431" t="s">
        <v>74</v>
      </c>
      <c r="AG431">
        <v>60</v>
      </c>
      <c r="AH431">
        <v>7</v>
      </c>
      <c r="AI431">
        <v>9</v>
      </c>
      <c r="AJ431">
        <v>0</v>
      </c>
      <c r="AK431">
        <v>2</v>
      </c>
      <c r="AL431" t="s">
        <v>8362</v>
      </c>
      <c r="AM431" t="s">
        <v>8363</v>
      </c>
      <c r="AN431" t="s">
        <v>8364</v>
      </c>
      <c r="AO431" t="s">
        <v>8365</v>
      </c>
      <c r="AP431" t="s">
        <v>8366</v>
      </c>
      <c r="AQ431" t="s">
        <v>74</v>
      </c>
      <c r="AR431" t="s">
        <v>8350</v>
      </c>
      <c r="AS431" t="s">
        <v>8367</v>
      </c>
      <c r="AT431" t="s">
        <v>8368</v>
      </c>
      <c r="AU431">
        <v>2014</v>
      </c>
      <c r="AV431">
        <v>38</v>
      </c>
      <c r="AW431">
        <v>2</v>
      </c>
      <c r="AX431" t="s">
        <v>74</v>
      </c>
      <c r="AY431" t="s">
        <v>74</v>
      </c>
      <c r="AZ431" t="s">
        <v>74</v>
      </c>
      <c r="BA431" t="s">
        <v>74</v>
      </c>
      <c r="BB431">
        <v>303</v>
      </c>
      <c r="BC431">
        <v>323</v>
      </c>
      <c r="BD431" t="s">
        <v>74</v>
      </c>
      <c r="BE431" t="s">
        <v>8369</v>
      </c>
      <c r="BF431" t="str">
        <f>HYPERLINK("http://dx.doi.org/10.1080/01916122.2014.907829","http://dx.doi.org/10.1080/01916122.2014.907829")</f>
        <v>http://dx.doi.org/10.1080/01916122.2014.907829</v>
      </c>
      <c r="BG431" t="s">
        <v>74</v>
      </c>
      <c r="BH431" t="s">
        <v>74</v>
      </c>
      <c r="BI431">
        <v>21</v>
      </c>
      <c r="BJ431" t="s">
        <v>7375</v>
      </c>
      <c r="BK431" t="s">
        <v>102</v>
      </c>
      <c r="BL431" t="s">
        <v>7375</v>
      </c>
      <c r="BM431" t="s">
        <v>8370</v>
      </c>
      <c r="BN431" t="s">
        <v>74</v>
      </c>
      <c r="BO431" t="s">
        <v>1274</v>
      </c>
      <c r="BP431" t="s">
        <v>74</v>
      </c>
      <c r="BQ431" t="s">
        <v>74</v>
      </c>
      <c r="BR431" t="s">
        <v>105</v>
      </c>
      <c r="BS431" t="s">
        <v>8371</v>
      </c>
      <c r="BT431" t="str">
        <f>HYPERLINK("https%3A%2F%2Fwww.webofscience.com%2Fwos%2Fwoscc%2Ffull-record%2FWOS:000343816200009","View Full Record in Web of Science")</f>
        <v>View Full Record in Web of Science</v>
      </c>
    </row>
    <row r="432" spans="1:72" x14ac:dyDescent="0.15">
      <c r="A432" t="s">
        <v>72</v>
      </c>
      <c r="B432" t="s">
        <v>8372</v>
      </c>
      <c r="C432" t="s">
        <v>74</v>
      </c>
      <c r="D432" t="s">
        <v>74</v>
      </c>
      <c r="E432" t="s">
        <v>74</v>
      </c>
      <c r="F432" t="s">
        <v>8373</v>
      </c>
      <c r="G432" t="s">
        <v>74</v>
      </c>
      <c r="H432" t="s">
        <v>74</v>
      </c>
      <c r="I432" t="s">
        <v>8374</v>
      </c>
      <c r="J432" t="s">
        <v>8375</v>
      </c>
      <c r="K432" t="s">
        <v>74</v>
      </c>
      <c r="L432" t="s">
        <v>74</v>
      </c>
      <c r="M432" t="s">
        <v>78</v>
      </c>
      <c r="N432" t="s">
        <v>79</v>
      </c>
      <c r="O432" t="s">
        <v>74</v>
      </c>
      <c r="P432" t="s">
        <v>74</v>
      </c>
      <c r="Q432" t="s">
        <v>74</v>
      </c>
      <c r="R432" t="s">
        <v>74</v>
      </c>
      <c r="S432" t="s">
        <v>74</v>
      </c>
      <c r="T432" t="s">
        <v>74</v>
      </c>
      <c r="U432" t="s">
        <v>8376</v>
      </c>
      <c r="V432" t="s">
        <v>74</v>
      </c>
      <c r="W432" t="s">
        <v>8377</v>
      </c>
      <c r="X432" t="s">
        <v>8378</v>
      </c>
      <c r="Y432" t="s">
        <v>8379</v>
      </c>
      <c r="Z432" t="s">
        <v>8380</v>
      </c>
      <c r="AA432" t="s">
        <v>8381</v>
      </c>
      <c r="AB432" t="s">
        <v>8382</v>
      </c>
      <c r="AC432" t="s">
        <v>8383</v>
      </c>
      <c r="AD432" t="s">
        <v>8384</v>
      </c>
      <c r="AE432" t="s">
        <v>8385</v>
      </c>
      <c r="AF432" t="s">
        <v>74</v>
      </c>
      <c r="AG432">
        <v>75</v>
      </c>
      <c r="AH432">
        <v>2</v>
      </c>
      <c r="AI432">
        <v>2</v>
      </c>
      <c r="AJ432">
        <v>0</v>
      </c>
      <c r="AK432">
        <v>26</v>
      </c>
      <c r="AL432" t="s">
        <v>8386</v>
      </c>
      <c r="AM432" t="s">
        <v>8387</v>
      </c>
      <c r="AN432" t="s">
        <v>8388</v>
      </c>
      <c r="AO432" t="s">
        <v>8389</v>
      </c>
      <c r="AP432" t="s">
        <v>8390</v>
      </c>
      <c r="AQ432" t="s">
        <v>74</v>
      </c>
      <c r="AR432" t="s">
        <v>8391</v>
      </c>
      <c r="AS432" t="s">
        <v>8392</v>
      </c>
      <c r="AT432" t="s">
        <v>8368</v>
      </c>
      <c r="AU432">
        <v>2014</v>
      </c>
      <c r="AV432">
        <v>10</v>
      </c>
      <c r="AW432">
        <v>6</v>
      </c>
      <c r="AX432" t="s">
        <v>74</v>
      </c>
      <c r="AY432" t="s">
        <v>74</v>
      </c>
      <c r="AZ432" t="s">
        <v>74</v>
      </c>
      <c r="BA432" t="s">
        <v>74</v>
      </c>
      <c r="BB432">
        <v>537</v>
      </c>
      <c r="BC432">
        <v>553</v>
      </c>
      <c r="BD432" t="s">
        <v>74</v>
      </c>
      <c r="BE432" t="s">
        <v>8393</v>
      </c>
      <c r="BF432" t="str">
        <f>HYPERLINK("http://dx.doi.org/10.1080/17451000.2013.831180","http://dx.doi.org/10.1080/17451000.2013.831180")</f>
        <v>http://dx.doi.org/10.1080/17451000.2013.831180</v>
      </c>
      <c r="BG432" t="s">
        <v>74</v>
      </c>
      <c r="BH432" t="s">
        <v>74</v>
      </c>
      <c r="BI432">
        <v>17</v>
      </c>
      <c r="BJ432" t="s">
        <v>932</v>
      </c>
      <c r="BK432" t="s">
        <v>102</v>
      </c>
      <c r="BL432" t="s">
        <v>933</v>
      </c>
      <c r="BM432" t="s">
        <v>8394</v>
      </c>
      <c r="BN432" t="s">
        <v>74</v>
      </c>
      <c r="BO432" t="s">
        <v>359</v>
      </c>
      <c r="BP432" t="s">
        <v>74</v>
      </c>
      <c r="BQ432" t="s">
        <v>74</v>
      </c>
      <c r="BR432" t="s">
        <v>105</v>
      </c>
      <c r="BS432" t="s">
        <v>8395</v>
      </c>
      <c r="BT432" t="str">
        <f>HYPERLINK("https%3A%2F%2Fwww.webofscience.com%2Fwos%2Fwoscc%2Ffull-record%2FWOS:000332060600001","View Full Record in Web of Science")</f>
        <v>View Full Record in Web of Science</v>
      </c>
    </row>
    <row r="433" spans="1:72" x14ac:dyDescent="0.15">
      <c r="A433" t="s">
        <v>72</v>
      </c>
      <c r="B433" t="s">
        <v>8396</v>
      </c>
      <c r="C433" t="s">
        <v>74</v>
      </c>
      <c r="D433" t="s">
        <v>74</v>
      </c>
      <c r="E433" t="s">
        <v>74</v>
      </c>
      <c r="F433" t="s">
        <v>8397</v>
      </c>
      <c r="G433" t="s">
        <v>74</v>
      </c>
      <c r="H433" t="s">
        <v>74</v>
      </c>
      <c r="I433" t="s">
        <v>8398</v>
      </c>
      <c r="J433" t="s">
        <v>1083</v>
      </c>
      <c r="K433" t="s">
        <v>74</v>
      </c>
      <c r="L433" t="s">
        <v>74</v>
      </c>
      <c r="M433" t="s">
        <v>78</v>
      </c>
      <c r="N433" t="s">
        <v>79</v>
      </c>
      <c r="O433" t="s">
        <v>74</v>
      </c>
      <c r="P433" t="s">
        <v>74</v>
      </c>
      <c r="Q433" t="s">
        <v>74</v>
      </c>
      <c r="R433" t="s">
        <v>74</v>
      </c>
      <c r="S433" t="s">
        <v>74</v>
      </c>
      <c r="T433" t="s">
        <v>74</v>
      </c>
      <c r="U433" t="s">
        <v>8399</v>
      </c>
      <c r="V433" t="s">
        <v>8400</v>
      </c>
      <c r="W433" t="s">
        <v>8401</v>
      </c>
      <c r="X433" t="s">
        <v>8402</v>
      </c>
      <c r="Y433" t="s">
        <v>8403</v>
      </c>
      <c r="Z433" t="s">
        <v>8404</v>
      </c>
      <c r="AA433" t="s">
        <v>8405</v>
      </c>
      <c r="AB433" t="s">
        <v>8406</v>
      </c>
      <c r="AC433" t="s">
        <v>8407</v>
      </c>
      <c r="AD433" t="s">
        <v>8407</v>
      </c>
      <c r="AE433" t="s">
        <v>8408</v>
      </c>
      <c r="AF433" t="s">
        <v>74</v>
      </c>
      <c r="AG433">
        <v>40</v>
      </c>
      <c r="AH433">
        <v>25</v>
      </c>
      <c r="AI433">
        <v>26</v>
      </c>
      <c r="AJ433">
        <v>0</v>
      </c>
      <c r="AK433">
        <v>13</v>
      </c>
      <c r="AL433" t="s">
        <v>1090</v>
      </c>
      <c r="AM433" t="s">
        <v>1091</v>
      </c>
      <c r="AN433" t="s">
        <v>1092</v>
      </c>
      <c r="AO433" t="s">
        <v>1093</v>
      </c>
      <c r="AP433" t="s">
        <v>74</v>
      </c>
      <c r="AQ433" t="s">
        <v>74</v>
      </c>
      <c r="AR433" t="s">
        <v>1083</v>
      </c>
      <c r="AS433" t="s">
        <v>1094</v>
      </c>
      <c r="AT433" t="s">
        <v>8409</v>
      </c>
      <c r="AU433">
        <v>2014</v>
      </c>
      <c r="AV433">
        <v>9</v>
      </c>
      <c r="AW433">
        <v>7</v>
      </c>
      <c r="AX433" t="s">
        <v>74</v>
      </c>
      <c r="AY433" t="s">
        <v>74</v>
      </c>
      <c r="AZ433" t="s">
        <v>74</v>
      </c>
      <c r="BA433" t="s">
        <v>74</v>
      </c>
      <c r="BB433" t="s">
        <v>74</v>
      </c>
      <c r="BC433" t="s">
        <v>74</v>
      </c>
      <c r="BD433" t="s">
        <v>8410</v>
      </c>
      <c r="BE433" t="s">
        <v>8411</v>
      </c>
      <c r="BF433" t="str">
        <f>HYPERLINK("http://dx.doi.org/10.1371/journal.pone.0100762","http://dx.doi.org/10.1371/journal.pone.0100762")</f>
        <v>http://dx.doi.org/10.1371/journal.pone.0100762</v>
      </c>
      <c r="BG433" t="s">
        <v>74</v>
      </c>
      <c r="BH433" t="s">
        <v>74</v>
      </c>
      <c r="BI433">
        <v>13</v>
      </c>
      <c r="BJ433" t="s">
        <v>660</v>
      </c>
      <c r="BK433" t="s">
        <v>102</v>
      </c>
      <c r="BL433" t="s">
        <v>661</v>
      </c>
      <c r="BM433" t="s">
        <v>8412</v>
      </c>
      <c r="BN433">
        <v>24988444</v>
      </c>
      <c r="BO433" t="s">
        <v>8413</v>
      </c>
      <c r="BP433" t="s">
        <v>74</v>
      </c>
      <c r="BQ433" t="s">
        <v>74</v>
      </c>
      <c r="BR433" t="s">
        <v>105</v>
      </c>
      <c r="BS433" t="s">
        <v>8414</v>
      </c>
      <c r="BT433" t="str">
        <f>HYPERLINK("https%3A%2F%2Fwww.webofscience.com%2Fwos%2Fwoscc%2Ffull-record%2FWOS:000341354100042","View Full Record in Web of Science")</f>
        <v>View Full Record in Web of Science</v>
      </c>
    </row>
    <row r="434" spans="1:72" x14ac:dyDescent="0.15">
      <c r="A434" t="s">
        <v>72</v>
      </c>
      <c r="B434" t="s">
        <v>8415</v>
      </c>
      <c r="C434" t="s">
        <v>74</v>
      </c>
      <c r="D434" t="s">
        <v>74</v>
      </c>
      <c r="E434" t="s">
        <v>74</v>
      </c>
      <c r="F434" t="s">
        <v>8416</v>
      </c>
      <c r="G434" t="s">
        <v>74</v>
      </c>
      <c r="H434" t="s">
        <v>74</v>
      </c>
      <c r="I434" t="s">
        <v>8417</v>
      </c>
      <c r="J434" t="s">
        <v>8418</v>
      </c>
      <c r="K434" t="s">
        <v>74</v>
      </c>
      <c r="L434" t="s">
        <v>74</v>
      </c>
      <c r="M434" t="s">
        <v>78</v>
      </c>
      <c r="N434" t="s">
        <v>79</v>
      </c>
      <c r="O434" t="s">
        <v>74</v>
      </c>
      <c r="P434" t="s">
        <v>74</v>
      </c>
      <c r="Q434" t="s">
        <v>74</v>
      </c>
      <c r="R434" t="s">
        <v>74</v>
      </c>
      <c r="S434" t="s">
        <v>74</v>
      </c>
      <c r="T434" t="s">
        <v>74</v>
      </c>
      <c r="U434" t="s">
        <v>8419</v>
      </c>
      <c r="V434" t="s">
        <v>8420</v>
      </c>
      <c r="W434" t="s">
        <v>8421</v>
      </c>
      <c r="X434" t="s">
        <v>8422</v>
      </c>
      <c r="Y434" t="s">
        <v>8423</v>
      </c>
      <c r="Z434" t="s">
        <v>8424</v>
      </c>
      <c r="AA434" t="s">
        <v>8425</v>
      </c>
      <c r="AB434" t="s">
        <v>8426</v>
      </c>
      <c r="AC434" t="s">
        <v>8427</v>
      </c>
      <c r="AD434" t="s">
        <v>8428</v>
      </c>
      <c r="AE434" t="s">
        <v>8429</v>
      </c>
      <c r="AF434" t="s">
        <v>74</v>
      </c>
      <c r="AG434">
        <v>65</v>
      </c>
      <c r="AH434">
        <v>42</v>
      </c>
      <c r="AI434">
        <v>43</v>
      </c>
      <c r="AJ434">
        <v>0</v>
      </c>
      <c r="AK434">
        <v>17</v>
      </c>
      <c r="AL434" t="s">
        <v>224</v>
      </c>
      <c r="AM434" t="s">
        <v>576</v>
      </c>
      <c r="AN434" t="s">
        <v>778</v>
      </c>
      <c r="AO434" t="s">
        <v>8430</v>
      </c>
      <c r="AP434" t="s">
        <v>8431</v>
      </c>
      <c r="AQ434" t="s">
        <v>74</v>
      </c>
      <c r="AR434" t="s">
        <v>8432</v>
      </c>
      <c r="AS434" t="s">
        <v>8433</v>
      </c>
      <c r="AT434" t="s">
        <v>8409</v>
      </c>
      <c r="AU434">
        <v>2014</v>
      </c>
      <c r="AV434">
        <v>74</v>
      </c>
      <c r="AW434">
        <v>7</v>
      </c>
      <c r="AX434" t="s">
        <v>74</v>
      </c>
      <c r="AY434" t="s">
        <v>74</v>
      </c>
      <c r="AZ434" t="s">
        <v>74</v>
      </c>
      <c r="BA434" t="s">
        <v>74</v>
      </c>
      <c r="BB434" t="s">
        <v>74</v>
      </c>
      <c r="BC434" t="s">
        <v>74</v>
      </c>
      <c r="BD434">
        <v>2938</v>
      </c>
      <c r="BE434" t="s">
        <v>8434</v>
      </c>
      <c r="BF434" t="str">
        <f>HYPERLINK("http://dx.doi.org/10.1140/epjc/s10052-014-2938-8","http://dx.doi.org/10.1140/epjc/s10052-014-2938-8")</f>
        <v>http://dx.doi.org/10.1140/epjc/s10052-014-2938-8</v>
      </c>
      <c r="BG434" t="s">
        <v>74</v>
      </c>
      <c r="BH434" t="s">
        <v>74</v>
      </c>
      <c r="BI434">
        <v>19</v>
      </c>
      <c r="BJ434" t="s">
        <v>8435</v>
      </c>
      <c r="BK434" t="s">
        <v>102</v>
      </c>
      <c r="BL434" t="s">
        <v>1813</v>
      </c>
      <c r="BM434" t="s">
        <v>8436</v>
      </c>
      <c r="BN434" t="s">
        <v>74</v>
      </c>
      <c r="BO434" t="s">
        <v>8437</v>
      </c>
      <c r="BP434" t="s">
        <v>74</v>
      </c>
      <c r="BQ434" t="s">
        <v>74</v>
      </c>
      <c r="BR434" t="s">
        <v>105</v>
      </c>
      <c r="BS434" t="s">
        <v>8438</v>
      </c>
      <c r="BT434" t="str">
        <f>HYPERLINK("https%3A%2F%2Fwww.webofscience.com%2Fwos%2Fwoscc%2Ffull-record%2FWOS:000338996800001","View Full Record in Web of Science")</f>
        <v>View Full Record in Web of Science</v>
      </c>
    </row>
    <row r="435" spans="1:72" x14ac:dyDescent="0.15">
      <c r="A435" t="s">
        <v>72</v>
      </c>
      <c r="B435" t="s">
        <v>8439</v>
      </c>
      <c r="C435" t="s">
        <v>74</v>
      </c>
      <c r="D435" t="s">
        <v>74</v>
      </c>
      <c r="E435" t="s">
        <v>74</v>
      </c>
      <c r="F435" t="s">
        <v>8440</v>
      </c>
      <c r="G435" t="s">
        <v>74</v>
      </c>
      <c r="H435" t="s">
        <v>74</v>
      </c>
      <c r="I435" t="s">
        <v>8441</v>
      </c>
      <c r="J435" t="s">
        <v>8442</v>
      </c>
      <c r="K435" t="s">
        <v>74</v>
      </c>
      <c r="L435" t="s">
        <v>74</v>
      </c>
      <c r="M435" t="s">
        <v>78</v>
      </c>
      <c r="N435" t="s">
        <v>79</v>
      </c>
      <c r="O435" t="s">
        <v>74</v>
      </c>
      <c r="P435" t="s">
        <v>74</v>
      </c>
      <c r="Q435" t="s">
        <v>74</v>
      </c>
      <c r="R435" t="s">
        <v>74</v>
      </c>
      <c r="S435" t="s">
        <v>74</v>
      </c>
      <c r="T435" t="s">
        <v>8443</v>
      </c>
      <c r="U435" t="s">
        <v>8444</v>
      </c>
      <c r="V435" t="s">
        <v>8445</v>
      </c>
      <c r="W435" t="s">
        <v>8446</v>
      </c>
      <c r="X435" t="s">
        <v>8447</v>
      </c>
      <c r="Y435" t="s">
        <v>8448</v>
      </c>
      <c r="Z435" t="s">
        <v>8449</v>
      </c>
      <c r="AA435" t="s">
        <v>8450</v>
      </c>
      <c r="AB435" t="s">
        <v>8451</v>
      </c>
      <c r="AC435" t="s">
        <v>8452</v>
      </c>
      <c r="AD435" t="s">
        <v>8453</v>
      </c>
      <c r="AE435" t="s">
        <v>8454</v>
      </c>
      <c r="AF435" t="s">
        <v>74</v>
      </c>
      <c r="AG435">
        <v>80</v>
      </c>
      <c r="AH435">
        <v>18</v>
      </c>
      <c r="AI435">
        <v>21</v>
      </c>
      <c r="AJ435">
        <v>0</v>
      </c>
      <c r="AK435">
        <v>75</v>
      </c>
      <c r="AL435" t="s">
        <v>8455</v>
      </c>
      <c r="AM435" t="s">
        <v>8456</v>
      </c>
      <c r="AN435" t="s">
        <v>8457</v>
      </c>
      <c r="AO435" t="s">
        <v>8458</v>
      </c>
      <c r="AP435" t="s">
        <v>8459</v>
      </c>
      <c r="AQ435" t="s">
        <v>74</v>
      </c>
      <c r="AR435" t="s">
        <v>8460</v>
      </c>
      <c r="AS435" t="s">
        <v>8461</v>
      </c>
      <c r="AT435" t="s">
        <v>8462</v>
      </c>
      <c r="AU435">
        <v>2014</v>
      </c>
      <c r="AV435">
        <v>42</v>
      </c>
      <c r="AW435">
        <v>2</v>
      </c>
      <c r="AX435" t="s">
        <v>74</v>
      </c>
      <c r="AY435" t="s">
        <v>74</v>
      </c>
      <c r="AZ435" t="s">
        <v>74</v>
      </c>
      <c r="BA435" t="s">
        <v>74</v>
      </c>
      <c r="BB435">
        <v>289</v>
      </c>
      <c r="BC435">
        <v>298</v>
      </c>
      <c r="BD435" t="s">
        <v>74</v>
      </c>
      <c r="BE435" t="s">
        <v>8463</v>
      </c>
      <c r="BF435" t="str">
        <f>HYPERLINK("http://dx.doi.org/10.15835/nbha4229733","http://dx.doi.org/10.15835/nbha4229733")</f>
        <v>http://dx.doi.org/10.15835/nbha4229733</v>
      </c>
      <c r="BG435" t="s">
        <v>74</v>
      </c>
      <c r="BH435" t="s">
        <v>74</v>
      </c>
      <c r="BI435">
        <v>10</v>
      </c>
      <c r="BJ435" t="s">
        <v>8464</v>
      </c>
      <c r="BK435" t="s">
        <v>102</v>
      </c>
      <c r="BL435" t="s">
        <v>8464</v>
      </c>
      <c r="BM435" t="s">
        <v>8465</v>
      </c>
      <c r="BN435" t="s">
        <v>74</v>
      </c>
      <c r="BO435" t="s">
        <v>74</v>
      </c>
      <c r="BP435" t="s">
        <v>74</v>
      </c>
      <c r="BQ435" t="s">
        <v>74</v>
      </c>
      <c r="BR435" t="s">
        <v>105</v>
      </c>
      <c r="BS435" t="s">
        <v>8466</v>
      </c>
      <c r="BT435" t="str">
        <f>HYPERLINK("https%3A%2F%2Fwww.webofscience.com%2Fwos%2Fwoscc%2Ffull-record%2FWOS:000346326700001","View Full Record in Web of Science")</f>
        <v>View Full Record in Web of Science</v>
      </c>
    </row>
    <row r="436" spans="1:72" x14ac:dyDescent="0.15">
      <c r="A436" t="s">
        <v>72</v>
      </c>
      <c r="B436" t="s">
        <v>8467</v>
      </c>
      <c r="C436" t="s">
        <v>74</v>
      </c>
      <c r="D436" t="s">
        <v>74</v>
      </c>
      <c r="E436" t="s">
        <v>74</v>
      </c>
      <c r="F436" t="s">
        <v>8468</v>
      </c>
      <c r="G436" t="s">
        <v>74</v>
      </c>
      <c r="H436" t="s">
        <v>74</v>
      </c>
      <c r="I436" t="s">
        <v>8469</v>
      </c>
      <c r="J436" t="s">
        <v>8470</v>
      </c>
      <c r="K436" t="s">
        <v>74</v>
      </c>
      <c r="L436" t="s">
        <v>74</v>
      </c>
      <c r="M436" t="s">
        <v>78</v>
      </c>
      <c r="N436" t="s">
        <v>79</v>
      </c>
      <c r="O436" t="s">
        <v>74</v>
      </c>
      <c r="P436" t="s">
        <v>74</v>
      </c>
      <c r="Q436" t="s">
        <v>74</v>
      </c>
      <c r="R436" t="s">
        <v>74</v>
      </c>
      <c r="S436" t="s">
        <v>74</v>
      </c>
      <c r="T436" t="s">
        <v>8471</v>
      </c>
      <c r="U436" t="s">
        <v>8472</v>
      </c>
      <c r="V436" t="s">
        <v>8473</v>
      </c>
      <c r="W436" t="s">
        <v>8474</v>
      </c>
      <c r="X436" t="s">
        <v>8475</v>
      </c>
      <c r="Y436" t="s">
        <v>8476</v>
      </c>
      <c r="Z436" t="s">
        <v>8477</v>
      </c>
      <c r="AA436" t="s">
        <v>8478</v>
      </c>
      <c r="AB436" t="s">
        <v>8479</v>
      </c>
      <c r="AC436" t="s">
        <v>8480</v>
      </c>
      <c r="AD436" t="s">
        <v>8481</v>
      </c>
      <c r="AE436" t="s">
        <v>8482</v>
      </c>
      <c r="AF436" t="s">
        <v>74</v>
      </c>
      <c r="AG436">
        <v>46</v>
      </c>
      <c r="AH436">
        <v>13</v>
      </c>
      <c r="AI436">
        <v>14</v>
      </c>
      <c r="AJ436">
        <v>4</v>
      </c>
      <c r="AK436">
        <v>62</v>
      </c>
      <c r="AL436" t="s">
        <v>8483</v>
      </c>
      <c r="AM436" t="s">
        <v>8484</v>
      </c>
      <c r="AN436" t="s">
        <v>8485</v>
      </c>
      <c r="AO436" t="s">
        <v>8486</v>
      </c>
      <c r="AP436" t="s">
        <v>74</v>
      </c>
      <c r="AQ436" t="s">
        <v>74</v>
      </c>
      <c r="AR436" t="s">
        <v>8487</v>
      </c>
      <c r="AS436" t="s">
        <v>8488</v>
      </c>
      <c r="AT436" t="s">
        <v>8489</v>
      </c>
      <c r="AU436">
        <v>2014</v>
      </c>
      <c r="AV436">
        <v>5</v>
      </c>
      <c r="AW436">
        <v>3</v>
      </c>
      <c r="AX436" t="s">
        <v>74</v>
      </c>
      <c r="AY436" t="s">
        <v>74</v>
      </c>
      <c r="AZ436" t="s">
        <v>74</v>
      </c>
      <c r="BA436" t="s">
        <v>74</v>
      </c>
      <c r="BB436">
        <v>477</v>
      </c>
      <c r="BC436">
        <v>483</v>
      </c>
      <c r="BD436" t="s">
        <v>74</v>
      </c>
      <c r="BE436" t="s">
        <v>8490</v>
      </c>
      <c r="BF436" t="str">
        <f>HYPERLINK("http://dx.doi.org/10.5094/APR.2014.056","http://dx.doi.org/10.5094/APR.2014.056")</f>
        <v>http://dx.doi.org/10.5094/APR.2014.056</v>
      </c>
      <c r="BG436" t="s">
        <v>74</v>
      </c>
      <c r="BH436" t="s">
        <v>74</v>
      </c>
      <c r="BI436">
        <v>7</v>
      </c>
      <c r="BJ436" t="s">
        <v>4397</v>
      </c>
      <c r="BK436" t="s">
        <v>102</v>
      </c>
      <c r="BL436" t="s">
        <v>2553</v>
      </c>
      <c r="BM436" t="s">
        <v>8491</v>
      </c>
      <c r="BN436" t="s">
        <v>74</v>
      </c>
      <c r="BO436" t="s">
        <v>289</v>
      </c>
      <c r="BP436" t="s">
        <v>74</v>
      </c>
      <c r="BQ436" t="s">
        <v>74</v>
      </c>
      <c r="BR436" t="s">
        <v>105</v>
      </c>
      <c r="BS436" t="s">
        <v>8492</v>
      </c>
      <c r="BT436" t="str">
        <f>HYPERLINK("https%3A%2F%2Fwww.webofscience.com%2Fwos%2Fwoscc%2Ffull-record%2FWOS:000345299400016","View Full Record in Web of Science")</f>
        <v>View Full Record in Web of Science</v>
      </c>
    </row>
    <row r="437" spans="1:72" x14ac:dyDescent="0.15">
      <c r="A437" t="s">
        <v>72</v>
      </c>
      <c r="B437" t="s">
        <v>8493</v>
      </c>
      <c r="C437" t="s">
        <v>74</v>
      </c>
      <c r="D437" t="s">
        <v>74</v>
      </c>
      <c r="E437" t="s">
        <v>74</v>
      </c>
      <c r="F437" t="s">
        <v>8494</v>
      </c>
      <c r="G437" t="s">
        <v>74</v>
      </c>
      <c r="H437" t="s">
        <v>74</v>
      </c>
      <c r="I437" t="s">
        <v>8495</v>
      </c>
      <c r="J437" t="s">
        <v>8470</v>
      </c>
      <c r="K437" t="s">
        <v>74</v>
      </c>
      <c r="L437" t="s">
        <v>74</v>
      </c>
      <c r="M437" t="s">
        <v>78</v>
      </c>
      <c r="N437" t="s">
        <v>79</v>
      </c>
      <c r="O437" t="s">
        <v>74</v>
      </c>
      <c r="P437" t="s">
        <v>74</v>
      </c>
      <c r="Q437" t="s">
        <v>74</v>
      </c>
      <c r="R437" t="s">
        <v>74</v>
      </c>
      <c r="S437" t="s">
        <v>74</v>
      </c>
      <c r="T437" t="s">
        <v>8496</v>
      </c>
      <c r="U437" t="s">
        <v>8497</v>
      </c>
      <c r="V437" t="s">
        <v>8498</v>
      </c>
      <c r="W437" t="s">
        <v>8499</v>
      </c>
      <c r="X437" t="s">
        <v>8500</v>
      </c>
      <c r="Y437" t="s">
        <v>8501</v>
      </c>
      <c r="Z437" t="s">
        <v>8502</v>
      </c>
      <c r="AA437" t="s">
        <v>74</v>
      </c>
      <c r="AB437" t="s">
        <v>74</v>
      </c>
      <c r="AC437" t="s">
        <v>8503</v>
      </c>
      <c r="AD437" t="s">
        <v>8504</v>
      </c>
      <c r="AE437" t="s">
        <v>8505</v>
      </c>
      <c r="AF437" t="s">
        <v>74</v>
      </c>
      <c r="AG437">
        <v>52</v>
      </c>
      <c r="AH437">
        <v>40</v>
      </c>
      <c r="AI437">
        <v>41</v>
      </c>
      <c r="AJ437">
        <v>2</v>
      </c>
      <c r="AK437">
        <v>51</v>
      </c>
      <c r="AL437" t="s">
        <v>8483</v>
      </c>
      <c r="AM437" t="s">
        <v>8484</v>
      </c>
      <c r="AN437" t="s">
        <v>8485</v>
      </c>
      <c r="AO437" t="s">
        <v>8486</v>
      </c>
      <c r="AP437" t="s">
        <v>74</v>
      </c>
      <c r="AQ437" t="s">
        <v>74</v>
      </c>
      <c r="AR437" t="s">
        <v>8487</v>
      </c>
      <c r="AS437" t="s">
        <v>8488</v>
      </c>
      <c r="AT437" t="s">
        <v>8489</v>
      </c>
      <c r="AU437">
        <v>2014</v>
      </c>
      <c r="AV437">
        <v>5</v>
      </c>
      <c r="AW437">
        <v>3</v>
      </c>
      <c r="AX437" t="s">
        <v>74</v>
      </c>
      <c r="AY437" t="s">
        <v>74</v>
      </c>
      <c r="AZ437" t="s">
        <v>74</v>
      </c>
      <c r="BA437" t="s">
        <v>74</v>
      </c>
      <c r="BB437">
        <v>500</v>
      </c>
      <c r="BC437">
        <v>510</v>
      </c>
      <c r="BD437" t="s">
        <v>74</v>
      </c>
      <c r="BE437" t="s">
        <v>8506</v>
      </c>
      <c r="BF437" t="str">
        <f>HYPERLINK("http://dx.doi.org/10.5094/APR.2014.059","http://dx.doi.org/10.5094/APR.2014.059")</f>
        <v>http://dx.doi.org/10.5094/APR.2014.059</v>
      </c>
      <c r="BG437" t="s">
        <v>74</v>
      </c>
      <c r="BH437" t="s">
        <v>74</v>
      </c>
      <c r="BI437">
        <v>11</v>
      </c>
      <c r="BJ437" t="s">
        <v>4397</v>
      </c>
      <c r="BK437" t="s">
        <v>102</v>
      </c>
      <c r="BL437" t="s">
        <v>2553</v>
      </c>
      <c r="BM437" t="s">
        <v>8491</v>
      </c>
      <c r="BN437" t="s">
        <v>74</v>
      </c>
      <c r="BO437" t="s">
        <v>289</v>
      </c>
      <c r="BP437" t="s">
        <v>74</v>
      </c>
      <c r="BQ437" t="s">
        <v>74</v>
      </c>
      <c r="BR437" t="s">
        <v>105</v>
      </c>
      <c r="BS437" t="s">
        <v>8507</v>
      </c>
      <c r="BT437" t="str">
        <f>HYPERLINK("https%3A%2F%2Fwww.webofscience.com%2Fwos%2Fwoscc%2Ffull-record%2FWOS:000345299400019","View Full Record in Web of Science")</f>
        <v>View Full Record in Web of Science</v>
      </c>
    </row>
    <row r="438" spans="1:72" x14ac:dyDescent="0.15">
      <c r="A438" t="s">
        <v>72</v>
      </c>
      <c r="B438" t="s">
        <v>8508</v>
      </c>
      <c r="C438" t="s">
        <v>74</v>
      </c>
      <c r="D438" t="s">
        <v>74</v>
      </c>
      <c r="E438" t="s">
        <v>74</v>
      </c>
      <c r="F438" t="s">
        <v>8509</v>
      </c>
      <c r="G438" t="s">
        <v>74</v>
      </c>
      <c r="H438" t="s">
        <v>74</v>
      </c>
      <c r="I438" t="s">
        <v>8510</v>
      </c>
      <c r="J438" t="s">
        <v>8511</v>
      </c>
      <c r="K438" t="s">
        <v>74</v>
      </c>
      <c r="L438" t="s">
        <v>74</v>
      </c>
      <c r="M438" t="s">
        <v>78</v>
      </c>
      <c r="N438" t="s">
        <v>79</v>
      </c>
      <c r="O438" t="s">
        <v>74</v>
      </c>
      <c r="P438" t="s">
        <v>74</v>
      </c>
      <c r="Q438" t="s">
        <v>74</v>
      </c>
      <c r="R438" t="s">
        <v>74</v>
      </c>
      <c r="S438" t="s">
        <v>74</v>
      </c>
      <c r="T438" t="s">
        <v>74</v>
      </c>
      <c r="U438" t="s">
        <v>74</v>
      </c>
      <c r="V438" t="s">
        <v>74</v>
      </c>
      <c r="W438" t="s">
        <v>8512</v>
      </c>
      <c r="X438" t="s">
        <v>8513</v>
      </c>
      <c r="Y438" t="s">
        <v>8514</v>
      </c>
      <c r="Z438" t="s">
        <v>74</v>
      </c>
      <c r="AA438" t="s">
        <v>74</v>
      </c>
      <c r="AB438" t="s">
        <v>74</v>
      </c>
      <c r="AC438" t="s">
        <v>74</v>
      </c>
      <c r="AD438" t="s">
        <v>74</v>
      </c>
      <c r="AE438" t="s">
        <v>74</v>
      </c>
      <c r="AF438" t="s">
        <v>74</v>
      </c>
      <c r="AG438">
        <v>12</v>
      </c>
      <c r="AH438">
        <v>15</v>
      </c>
      <c r="AI438">
        <v>16</v>
      </c>
      <c r="AJ438">
        <v>0</v>
      </c>
      <c r="AK438">
        <v>8</v>
      </c>
      <c r="AL438" t="s">
        <v>8515</v>
      </c>
      <c r="AM438" t="s">
        <v>332</v>
      </c>
      <c r="AN438" t="s">
        <v>8516</v>
      </c>
      <c r="AO438" t="s">
        <v>8517</v>
      </c>
      <c r="AP438" t="s">
        <v>8518</v>
      </c>
      <c r="AQ438" t="s">
        <v>74</v>
      </c>
      <c r="AR438" t="s">
        <v>8519</v>
      </c>
      <c r="AS438" t="s">
        <v>8520</v>
      </c>
      <c r="AT438" t="s">
        <v>8489</v>
      </c>
      <c r="AU438">
        <v>2014</v>
      </c>
      <c r="AV438">
        <v>108</v>
      </c>
      <c r="AW438">
        <v>3</v>
      </c>
      <c r="AX438" t="s">
        <v>74</v>
      </c>
      <c r="AY438" t="s">
        <v>74</v>
      </c>
      <c r="AZ438" t="s">
        <v>74</v>
      </c>
      <c r="BA438" t="s">
        <v>74</v>
      </c>
      <c r="BB438">
        <v>496</v>
      </c>
      <c r="BC438">
        <v>502</v>
      </c>
      <c r="BD438" t="s">
        <v>74</v>
      </c>
      <c r="BE438" t="s">
        <v>8521</v>
      </c>
      <c r="BF438" t="str">
        <f>HYPERLINK("http://dx.doi.org/10.5305/amerjintelaw.108.3.0496","http://dx.doi.org/10.5305/amerjintelaw.108.3.0496")</f>
        <v>http://dx.doi.org/10.5305/amerjintelaw.108.3.0496</v>
      </c>
      <c r="BG438" t="s">
        <v>74</v>
      </c>
      <c r="BH438" t="s">
        <v>74</v>
      </c>
      <c r="BI438">
        <v>9</v>
      </c>
      <c r="BJ438" t="s">
        <v>8522</v>
      </c>
      <c r="BK438" t="s">
        <v>2238</v>
      </c>
      <c r="BL438" t="s">
        <v>8523</v>
      </c>
      <c r="BM438" t="s">
        <v>8524</v>
      </c>
      <c r="BN438" t="s">
        <v>74</v>
      </c>
      <c r="BO438" t="s">
        <v>74</v>
      </c>
      <c r="BP438" t="s">
        <v>74</v>
      </c>
      <c r="BQ438" t="s">
        <v>74</v>
      </c>
      <c r="BR438" t="s">
        <v>105</v>
      </c>
      <c r="BS438" t="s">
        <v>8525</v>
      </c>
      <c r="BT438" t="str">
        <f>HYPERLINK("https%3A%2F%2Fwww.webofscience.com%2Fwos%2Fwoscc%2Ffull-record%2FWOS:000344466800007","View Full Record in Web of Science")</f>
        <v>View Full Record in Web of Science</v>
      </c>
    </row>
    <row r="439" spans="1:72" x14ac:dyDescent="0.15">
      <c r="A439" t="s">
        <v>72</v>
      </c>
      <c r="B439" t="s">
        <v>8526</v>
      </c>
      <c r="C439" t="s">
        <v>74</v>
      </c>
      <c r="D439" t="s">
        <v>74</v>
      </c>
      <c r="E439" t="s">
        <v>74</v>
      </c>
      <c r="F439" t="s">
        <v>8527</v>
      </c>
      <c r="G439" t="s">
        <v>74</v>
      </c>
      <c r="H439" t="s">
        <v>74</v>
      </c>
      <c r="I439" t="s">
        <v>8528</v>
      </c>
      <c r="J439" t="s">
        <v>8529</v>
      </c>
      <c r="K439" t="s">
        <v>74</v>
      </c>
      <c r="L439" t="s">
        <v>74</v>
      </c>
      <c r="M439" t="s">
        <v>78</v>
      </c>
      <c r="N439" t="s">
        <v>79</v>
      </c>
      <c r="O439" t="s">
        <v>74</v>
      </c>
      <c r="P439" t="s">
        <v>74</v>
      </c>
      <c r="Q439" t="s">
        <v>74</v>
      </c>
      <c r="R439" t="s">
        <v>74</v>
      </c>
      <c r="S439" t="s">
        <v>74</v>
      </c>
      <c r="T439" t="s">
        <v>8530</v>
      </c>
      <c r="U439" t="s">
        <v>8531</v>
      </c>
      <c r="V439" t="s">
        <v>8532</v>
      </c>
      <c r="W439" t="s">
        <v>8533</v>
      </c>
      <c r="X439" t="s">
        <v>8534</v>
      </c>
      <c r="Y439" t="s">
        <v>8535</v>
      </c>
      <c r="Z439" t="s">
        <v>8536</v>
      </c>
      <c r="AA439" t="s">
        <v>8537</v>
      </c>
      <c r="AB439" t="s">
        <v>8538</v>
      </c>
      <c r="AC439" t="s">
        <v>8539</v>
      </c>
      <c r="AD439" t="s">
        <v>8540</v>
      </c>
      <c r="AE439" t="s">
        <v>8541</v>
      </c>
      <c r="AF439" t="s">
        <v>74</v>
      </c>
      <c r="AG439">
        <v>30</v>
      </c>
      <c r="AH439">
        <v>7</v>
      </c>
      <c r="AI439">
        <v>7</v>
      </c>
      <c r="AJ439">
        <v>0</v>
      </c>
      <c r="AK439">
        <v>6</v>
      </c>
      <c r="AL439" t="s">
        <v>8542</v>
      </c>
      <c r="AM439" t="s">
        <v>4951</v>
      </c>
      <c r="AN439" t="s">
        <v>8543</v>
      </c>
      <c r="AO439" t="s">
        <v>8544</v>
      </c>
      <c r="AP439" t="s">
        <v>8545</v>
      </c>
      <c r="AQ439" t="s">
        <v>74</v>
      </c>
      <c r="AR439" t="s">
        <v>8546</v>
      </c>
      <c r="AS439" t="s">
        <v>8547</v>
      </c>
      <c r="AT439" t="s">
        <v>8548</v>
      </c>
      <c r="AU439">
        <v>2014</v>
      </c>
      <c r="AV439">
        <v>46</v>
      </c>
      <c r="AW439">
        <v>3</v>
      </c>
      <c r="AX439" t="s">
        <v>74</v>
      </c>
      <c r="AY439" t="s">
        <v>74</v>
      </c>
      <c r="AZ439" t="s">
        <v>74</v>
      </c>
      <c r="BA439" t="s">
        <v>74</v>
      </c>
      <c r="BB439">
        <v>218</v>
      </c>
      <c r="BC439">
        <v>230</v>
      </c>
      <c r="BD439" t="s">
        <v>74</v>
      </c>
      <c r="BE439" t="s">
        <v>8549</v>
      </c>
      <c r="BF439" t="str">
        <f>HYPERLINK("http://dx.doi.org/10.1016/S0325-7541(14)70076-8","http://dx.doi.org/10.1016/S0325-7541(14)70076-8")</f>
        <v>http://dx.doi.org/10.1016/S0325-7541(14)70076-8</v>
      </c>
      <c r="BG439" t="s">
        <v>74</v>
      </c>
      <c r="BH439" t="s">
        <v>74</v>
      </c>
      <c r="BI439">
        <v>13</v>
      </c>
      <c r="BJ439" t="s">
        <v>1012</v>
      </c>
      <c r="BK439" t="s">
        <v>102</v>
      </c>
      <c r="BL439" t="s">
        <v>1012</v>
      </c>
      <c r="BM439" t="s">
        <v>8550</v>
      </c>
      <c r="BN439">
        <v>25444131</v>
      </c>
      <c r="BO439" t="s">
        <v>206</v>
      </c>
      <c r="BP439" t="s">
        <v>74</v>
      </c>
      <c r="BQ439" t="s">
        <v>74</v>
      </c>
      <c r="BR439" t="s">
        <v>105</v>
      </c>
      <c r="BS439" t="s">
        <v>8551</v>
      </c>
      <c r="BT439" t="str">
        <f>HYPERLINK("https%3A%2F%2Fwww.webofscience.com%2Fwos%2Fwoscc%2Ffull-record%2FWOS:000343686800009","View Full Record in Web of Science")</f>
        <v>View Full Record in Web of Science</v>
      </c>
    </row>
    <row r="440" spans="1:72" x14ac:dyDescent="0.15">
      <c r="A440" t="s">
        <v>72</v>
      </c>
      <c r="B440" t="s">
        <v>8552</v>
      </c>
      <c r="C440" t="s">
        <v>74</v>
      </c>
      <c r="D440" t="s">
        <v>74</v>
      </c>
      <c r="E440" t="s">
        <v>74</v>
      </c>
      <c r="F440" t="s">
        <v>8553</v>
      </c>
      <c r="G440" t="s">
        <v>74</v>
      </c>
      <c r="H440" t="s">
        <v>74</v>
      </c>
      <c r="I440" t="s">
        <v>8554</v>
      </c>
      <c r="J440" t="s">
        <v>8555</v>
      </c>
      <c r="K440" t="s">
        <v>74</v>
      </c>
      <c r="L440" t="s">
        <v>74</v>
      </c>
      <c r="M440" t="s">
        <v>78</v>
      </c>
      <c r="N440" t="s">
        <v>79</v>
      </c>
      <c r="O440" t="s">
        <v>74</v>
      </c>
      <c r="P440" t="s">
        <v>74</v>
      </c>
      <c r="Q440" t="s">
        <v>74</v>
      </c>
      <c r="R440" t="s">
        <v>74</v>
      </c>
      <c r="S440" t="s">
        <v>74</v>
      </c>
      <c r="T440" t="s">
        <v>8556</v>
      </c>
      <c r="U440" t="s">
        <v>8557</v>
      </c>
      <c r="V440" t="s">
        <v>8558</v>
      </c>
      <c r="W440" t="s">
        <v>8559</v>
      </c>
      <c r="X440" t="s">
        <v>8560</v>
      </c>
      <c r="Y440" t="s">
        <v>8561</v>
      </c>
      <c r="Z440" t="s">
        <v>8562</v>
      </c>
      <c r="AA440" t="s">
        <v>74</v>
      </c>
      <c r="AB440" t="s">
        <v>74</v>
      </c>
      <c r="AC440" t="s">
        <v>8560</v>
      </c>
      <c r="AD440" t="s">
        <v>8560</v>
      </c>
      <c r="AE440" t="s">
        <v>8563</v>
      </c>
      <c r="AF440" t="s">
        <v>74</v>
      </c>
      <c r="AG440">
        <v>42</v>
      </c>
      <c r="AH440">
        <v>2</v>
      </c>
      <c r="AI440">
        <v>3</v>
      </c>
      <c r="AJ440">
        <v>2</v>
      </c>
      <c r="AK440">
        <v>23</v>
      </c>
      <c r="AL440" t="s">
        <v>8564</v>
      </c>
      <c r="AM440" t="s">
        <v>8565</v>
      </c>
      <c r="AN440" t="s">
        <v>8566</v>
      </c>
      <c r="AO440" t="s">
        <v>8567</v>
      </c>
      <c r="AP440" t="s">
        <v>8568</v>
      </c>
      <c r="AQ440" t="s">
        <v>74</v>
      </c>
      <c r="AR440" t="s">
        <v>8569</v>
      </c>
      <c r="AS440" t="s">
        <v>8570</v>
      </c>
      <c r="AT440" t="s">
        <v>8548</v>
      </c>
      <c r="AU440">
        <v>2014</v>
      </c>
      <c r="AV440">
        <v>27</v>
      </c>
      <c r="AW440">
        <v>3</v>
      </c>
      <c r="AX440" t="s">
        <v>74</v>
      </c>
      <c r="AY440" t="s">
        <v>74</v>
      </c>
      <c r="AZ440" t="s">
        <v>74</v>
      </c>
      <c r="BA440" t="s">
        <v>74</v>
      </c>
      <c r="BB440">
        <v>194</v>
      </c>
      <c r="BC440">
        <v>201</v>
      </c>
      <c r="BD440" t="s">
        <v>74</v>
      </c>
      <c r="BE440" t="s">
        <v>74</v>
      </c>
      <c r="BF440" t="s">
        <v>74</v>
      </c>
      <c r="BG440" t="s">
        <v>74</v>
      </c>
      <c r="BH440" t="s">
        <v>74</v>
      </c>
      <c r="BI440">
        <v>8</v>
      </c>
      <c r="BJ440" t="s">
        <v>8571</v>
      </c>
      <c r="BK440" t="s">
        <v>102</v>
      </c>
      <c r="BL440" t="s">
        <v>2775</v>
      </c>
      <c r="BM440" t="s">
        <v>8572</v>
      </c>
      <c r="BN440" t="s">
        <v>74</v>
      </c>
      <c r="BO440" t="s">
        <v>74</v>
      </c>
      <c r="BP440" t="s">
        <v>74</v>
      </c>
      <c r="BQ440" t="s">
        <v>74</v>
      </c>
      <c r="BR440" t="s">
        <v>105</v>
      </c>
      <c r="BS440" t="s">
        <v>8573</v>
      </c>
      <c r="BT440" t="str">
        <f>HYPERLINK("https%3A%2F%2Fwww.webofscience.com%2Fwos%2Fwoscc%2Ffull-record%2FWOS:000342867400005","View Full Record in Web of Science")</f>
        <v>View Full Record in Web of Science</v>
      </c>
    </row>
    <row r="441" spans="1:72" x14ac:dyDescent="0.15">
      <c r="A441" t="s">
        <v>72</v>
      </c>
      <c r="B441" t="s">
        <v>8574</v>
      </c>
      <c r="C441" t="s">
        <v>74</v>
      </c>
      <c r="D441" t="s">
        <v>74</v>
      </c>
      <c r="E441" t="s">
        <v>74</v>
      </c>
      <c r="F441" t="s">
        <v>8575</v>
      </c>
      <c r="G441" t="s">
        <v>74</v>
      </c>
      <c r="H441" t="s">
        <v>74</v>
      </c>
      <c r="I441" t="s">
        <v>8576</v>
      </c>
      <c r="J441" t="s">
        <v>8577</v>
      </c>
      <c r="K441" t="s">
        <v>74</v>
      </c>
      <c r="L441" t="s">
        <v>74</v>
      </c>
      <c r="M441" t="s">
        <v>78</v>
      </c>
      <c r="N441" t="s">
        <v>79</v>
      </c>
      <c r="O441" t="s">
        <v>74</v>
      </c>
      <c r="P441" t="s">
        <v>74</v>
      </c>
      <c r="Q441" t="s">
        <v>74</v>
      </c>
      <c r="R441" t="s">
        <v>74</v>
      </c>
      <c r="S441" t="s">
        <v>74</v>
      </c>
      <c r="T441" t="s">
        <v>74</v>
      </c>
      <c r="U441" t="s">
        <v>8578</v>
      </c>
      <c r="V441" t="s">
        <v>8579</v>
      </c>
      <c r="W441" t="s">
        <v>8580</v>
      </c>
      <c r="X441" t="s">
        <v>8581</v>
      </c>
      <c r="Y441" t="s">
        <v>8582</v>
      </c>
      <c r="Z441" t="s">
        <v>8583</v>
      </c>
      <c r="AA441" t="s">
        <v>8584</v>
      </c>
      <c r="AB441" t="s">
        <v>8585</v>
      </c>
      <c r="AC441" t="s">
        <v>8586</v>
      </c>
      <c r="AD441" t="s">
        <v>8587</v>
      </c>
      <c r="AE441" t="s">
        <v>8588</v>
      </c>
      <c r="AF441" t="s">
        <v>74</v>
      </c>
      <c r="AG441">
        <v>40</v>
      </c>
      <c r="AH441">
        <v>23</v>
      </c>
      <c r="AI441">
        <v>26</v>
      </c>
      <c r="AJ441">
        <v>0</v>
      </c>
      <c r="AK441">
        <v>32</v>
      </c>
      <c r="AL441" t="s">
        <v>331</v>
      </c>
      <c r="AM441" t="s">
        <v>332</v>
      </c>
      <c r="AN441" t="s">
        <v>333</v>
      </c>
      <c r="AO441" t="s">
        <v>8589</v>
      </c>
      <c r="AP441" t="s">
        <v>8590</v>
      </c>
      <c r="AQ441" t="s">
        <v>74</v>
      </c>
      <c r="AR441" t="s">
        <v>8591</v>
      </c>
      <c r="AS441" t="s">
        <v>8592</v>
      </c>
      <c r="AT441" t="s">
        <v>8489</v>
      </c>
      <c r="AU441">
        <v>2014</v>
      </c>
      <c r="AV441">
        <v>119</v>
      </c>
      <c r="AW441">
        <v>7</v>
      </c>
      <c r="AX441" t="s">
        <v>74</v>
      </c>
      <c r="AY441" t="s">
        <v>74</v>
      </c>
      <c r="AZ441" t="s">
        <v>74</v>
      </c>
      <c r="BA441" t="s">
        <v>74</v>
      </c>
      <c r="BB441">
        <v>1564</v>
      </c>
      <c r="BC441">
        <v>1580</v>
      </c>
      <c r="BD441" t="s">
        <v>74</v>
      </c>
      <c r="BE441" t="s">
        <v>8593</v>
      </c>
      <c r="BF441" t="str">
        <f>HYPERLINK("http://dx.doi.org/10.1002/2014JF003132","http://dx.doi.org/10.1002/2014JF003132")</f>
        <v>http://dx.doi.org/10.1002/2014JF003132</v>
      </c>
      <c r="BG441" t="s">
        <v>74</v>
      </c>
      <c r="BH441" t="s">
        <v>74</v>
      </c>
      <c r="BI441">
        <v>17</v>
      </c>
      <c r="BJ441" t="s">
        <v>685</v>
      </c>
      <c r="BK441" t="s">
        <v>102</v>
      </c>
      <c r="BL441" t="s">
        <v>686</v>
      </c>
      <c r="BM441" t="s">
        <v>8594</v>
      </c>
      <c r="BN441" t="s">
        <v>74</v>
      </c>
      <c r="BO441" t="s">
        <v>179</v>
      </c>
      <c r="BP441" t="s">
        <v>74</v>
      </c>
      <c r="BQ441" t="s">
        <v>74</v>
      </c>
      <c r="BR441" t="s">
        <v>105</v>
      </c>
      <c r="BS441" t="s">
        <v>8595</v>
      </c>
      <c r="BT441" t="str">
        <f>HYPERLINK("https%3A%2F%2Fwww.webofscience.com%2Fwos%2Fwoscc%2Ffull-record%2FWOS:000342515600007","View Full Record in Web of Science")</f>
        <v>View Full Record in Web of Science</v>
      </c>
    </row>
    <row r="442" spans="1:72" x14ac:dyDescent="0.15">
      <c r="A442" t="s">
        <v>72</v>
      </c>
      <c r="B442" t="s">
        <v>8596</v>
      </c>
      <c r="C442" t="s">
        <v>74</v>
      </c>
      <c r="D442" t="s">
        <v>74</v>
      </c>
      <c r="E442" t="s">
        <v>74</v>
      </c>
      <c r="F442" t="s">
        <v>8597</v>
      </c>
      <c r="G442" t="s">
        <v>74</v>
      </c>
      <c r="H442" t="s">
        <v>74</v>
      </c>
      <c r="I442" t="s">
        <v>8598</v>
      </c>
      <c r="J442" t="s">
        <v>8599</v>
      </c>
      <c r="K442" t="s">
        <v>74</v>
      </c>
      <c r="L442" t="s">
        <v>74</v>
      </c>
      <c r="M442" t="s">
        <v>8600</v>
      </c>
      <c r="N442" t="s">
        <v>79</v>
      </c>
      <c r="O442" t="s">
        <v>74</v>
      </c>
      <c r="P442" t="s">
        <v>74</v>
      </c>
      <c r="Q442" t="s">
        <v>74</v>
      </c>
      <c r="R442" t="s">
        <v>74</v>
      </c>
      <c r="S442" t="s">
        <v>74</v>
      </c>
      <c r="T442" t="s">
        <v>74</v>
      </c>
      <c r="U442" t="s">
        <v>8601</v>
      </c>
      <c r="V442" t="s">
        <v>8602</v>
      </c>
      <c r="W442" t="s">
        <v>8603</v>
      </c>
      <c r="X442" t="s">
        <v>1591</v>
      </c>
      <c r="Y442" t="s">
        <v>8604</v>
      </c>
      <c r="Z442" t="s">
        <v>8605</v>
      </c>
      <c r="AA442" t="s">
        <v>74</v>
      </c>
      <c r="AB442" t="s">
        <v>74</v>
      </c>
      <c r="AC442" t="s">
        <v>74</v>
      </c>
      <c r="AD442" t="s">
        <v>74</v>
      </c>
      <c r="AE442" t="s">
        <v>74</v>
      </c>
      <c r="AF442" t="s">
        <v>74</v>
      </c>
      <c r="AG442">
        <v>100</v>
      </c>
      <c r="AH442">
        <v>5</v>
      </c>
      <c r="AI442">
        <v>6</v>
      </c>
      <c r="AJ442">
        <v>0</v>
      </c>
      <c r="AK442">
        <v>5</v>
      </c>
      <c r="AL442" t="s">
        <v>8606</v>
      </c>
      <c r="AM442" t="s">
        <v>3858</v>
      </c>
      <c r="AN442" t="s">
        <v>8607</v>
      </c>
      <c r="AO442" t="s">
        <v>8608</v>
      </c>
      <c r="AP442" t="s">
        <v>74</v>
      </c>
      <c r="AQ442" t="s">
        <v>74</v>
      </c>
      <c r="AR442" t="s">
        <v>8609</v>
      </c>
      <c r="AS442" t="s">
        <v>8610</v>
      </c>
      <c r="AT442" t="s">
        <v>8548</v>
      </c>
      <c r="AU442">
        <v>2014</v>
      </c>
      <c r="AV442">
        <v>40</v>
      </c>
      <c r="AW442">
        <v>3</v>
      </c>
      <c r="AX442" t="s">
        <v>74</v>
      </c>
      <c r="AY442" t="s">
        <v>74</v>
      </c>
      <c r="AZ442" t="s">
        <v>74</v>
      </c>
      <c r="BA442" t="s">
        <v>74</v>
      </c>
      <c r="BB442">
        <v>403</v>
      </c>
      <c r="BC442">
        <v>436</v>
      </c>
      <c r="BD442" t="s">
        <v>74</v>
      </c>
      <c r="BE442" t="s">
        <v>8611</v>
      </c>
      <c r="BF442" t="str">
        <f>HYPERLINK("http://dx.doi.org/10.13109/gege.2014.40.3.403","http://dx.doi.org/10.13109/gege.2014.40.3.403")</f>
        <v>http://dx.doi.org/10.13109/gege.2014.40.3.403</v>
      </c>
      <c r="BG442" t="s">
        <v>74</v>
      </c>
      <c r="BH442" t="s">
        <v>74</v>
      </c>
      <c r="BI442">
        <v>34</v>
      </c>
      <c r="BJ442" t="s">
        <v>8612</v>
      </c>
      <c r="BK442" t="s">
        <v>6601</v>
      </c>
      <c r="BL442" t="s">
        <v>8612</v>
      </c>
      <c r="BM442" t="s">
        <v>8613</v>
      </c>
      <c r="BN442" t="s">
        <v>74</v>
      </c>
      <c r="BO442" t="s">
        <v>74</v>
      </c>
      <c r="BP442" t="s">
        <v>74</v>
      </c>
      <c r="BQ442" t="s">
        <v>74</v>
      </c>
      <c r="BR442" t="s">
        <v>105</v>
      </c>
      <c r="BS442" t="s">
        <v>8614</v>
      </c>
      <c r="BT442" t="str">
        <f>HYPERLINK("https%3A%2F%2Fwww.webofscience.com%2Fwos%2Fwoscc%2Ffull-record%2FWOS:000342039000005","View Full Record in Web of Science")</f>
        <v>View Full Record in Web of Science</v>
      </c>
    </row>
    <row r="443" spans="1:72" x14ac:dyDescent="0.15">
      <c r="A443" t="s">
        <v>72</v>
      </c>
      <c r="B443" t="s">
        <v>8615</v>
      </c>
      <c r="C443" t="s">
        <v>74</v>
      </c>
      <c r="D443" t="s">
        <v>74</v>
      </c>
      <c r="E443" t="s">
        <v>74</v>
      </c>
      <c r="F443" t="s">
        <v>8616</v>
      </c>
      <c r="G443" t="s">
        <v>74</v>
      </c>
      <c r="H443" t="s">
        <v>74</v>
      </c>
      <c r="I443" t="s">
        <v>8617</v>
      </c>
      <c r="J443" t="s">
        <v>8618</v>
      </c>
      <c r="K443" t="s">
        <v>74</v>
      </c>
      <c r="L443" t="s">
        <v>74</v>
      </c>
      <c r="M443" t="s">
        <v>78</v>
      </c>
      <c r="N443" t="s">
        <v>79</v>
      </c>
      <c r="O443" t="s">
        <v>74</v>
      </c>
      <c r="P443" t="s">
        <v>74</v>
      </c>
      <c r="Q443" t="s">
        <v>74</v>
      </c>
      <c r="R443" t="s">
        <v>74</v>
      </c>
      <c r="S443" t="s">
        <v>74</v>
      </c>
      <c r="T443" t="s">
        <v>8619</v>
      </c>
      <c r="U443" t="s">
        <v>8620</v>
      </c>
      <c r="V443" t="s">
        <v>8621</v>
      </c>
      <c r="W443" t="s">
        <v>8622</v>
      </c>
      <c r="X443" t="s">
        <v>8623</v>
      </c>
      <c r="Y443" t="s">
        <v>8624</v>
      </c>
      <c r="Z443" t="s">
        <v>8625</v>
      </c>
      <c r="AA443" t="s">
        <v>8626</v>
      </c>
      <c r="AB443" t="s">
        <v>8627</v>
      </c>
      <c r="AC443" t="s">
        <v>74</v>
      </c>
      <c r="AD443" t="s">
        <v>74</v>
      </c>
      <c r="AE443" t="s">
        <v>74</v>
      </c>
      <c r="AF443" t="s">
        <v>74</v>
      </c>
      <c r="AG443">
        <v>58</v>
      </c>
      <c r="AH443">
        <v>3</v>
      </c>
      <c r="AI443">
        <v>4</v>
      </c>
      <c r="AJ443">
        <v>0</v>
      </c>
      <c r="AK443">
        <v>29</v>
      </c>
      <c r="AL443" t="s">
        <v>280</v>
      </c>
      <c r="AM443" t="s">
        <v>281</v>
      </c>
      <c r="AN443" t="s">
        <v>4726</v>
      </c>
      <c r="AO443" t="s">
        <v>74</v>
      </c>
      <c r="AP443" t="s">
        <v>8628</v>
      </c>
      <c r="AQ443" t="s">
        <v>74</v>
      </c>
      <c r="AR443" t="s">
        <v>8629</v>
      </c>
      <c r="AS443" t="s">
        <v>8630</v>
      </c>
      <c r="AT443" t="s">
        <v>8489</v>
      </c>
      <c r="AU443">
        <v>2014</v>
      </c>
      <c r="AV443">
        <v>18</v>
      </c>
      <c r="AW443" t="s">
        <v>74</v>
      </c>
      <c r="AX443" t="s">
        <v>74</v>
      </c>
      <c r="AY443" t="s">
        <v>74</v>
      </c>
      <c r="AZ443" t="s">
        <v>74</v>
      </c>
      <c r="BA443" t="s">
        <v>74</v>
      </c>
      <c r="BB443" t="s">
        <v>74</v>
      </c>
      <c r="BC443" t="s">
        <v>74</v>
      </c>
      <c r="BD443">
        <v>13</v>
      </c>
      <c r="BE443" t="s">
        <v>8631</v>
      </c>
      <c r="BF443" t="str">
        <f>HYPERLINK("http://dx.doi.org/10.1175/EI-D-14-0005.1","http://dx.doi.org/10.1175/EI-D-14-0005.1")</f>
        <v>http://dx.doi.org/10.1175/EI-D-14-0005.1</v>
      </c>
      <c r="BG443" t="s">
        <v>74</v>
      </c>
      <c r="BH443" t="s">
        <v>74</v>
      </c>
      <c r="BI443">
        <v>28</v>
      </c>
      <c r="BJ443" t="s">
        <v>685</v>
      </c>
      <c r="BK443" t="s">
        <v>102</v>
      </c>
      <c r="BL443" t="s">
        <v>686</v>
      </c>
      <c r="BM443" t="s">
        <v>8632</v>
      </c>
      <c r="BN443" t="s">
        <v>74</v>
      </c>
      <c r="BO443" t="s">
        <v>289</v>
      </c>
      <c r="BP443" t="s">
        <v>74</v>
      </c>
      <c r="BQ443" t="s">
        <v>74</v>
      </c>
      <c r="BR443" t="s">
        <v>105</v>
      </c>
      <c r="BS443" t="s">
        <v>8633</v>
      </c>
      <c r="BT443" t="str">
        <f>HYPERLINK("https%3A%2F%2Fwww.webofscience.com%2Fwos%2Fwoscc%2Ffull-record%2FWOS:000341815800001","View Full Record in Web of Science")</f>
        <v>View Full Record in Web of Science</v>
      </c>
    </row>
    <row r="444" spans="1:72" x14ac:dyDescent="0.15">
      <c r="A444" t="s">
        <v>72</v>
      </c>
      <c r="B444" t="s">
        <v>8634</v>
      </c>
      <c r="C444" t="s">
        <v>74</v>
      </c>
      <c r="D444" t="s">
        <v>74</v>
      </c>
      <c r="E444" t="s">
        <v>74</v>
      </c>
      <c r="F444" t="s">
        <v>8635</v>
      </c>
      <c r="G444" t="s">
        <v>74</v>
      </c>
      <c r="H444" t="s">
        <v>74</v>
      </c>
      <c r="I444" t="s">
        <v>8636</v>
      </c>
      <c r="J444" t="s">
        <v>8637</v>
      </c>
      <c r="K444" t="s">
        <v>74</v>
      </c>
      <c r="L444" t="s">
        <v>74</v>
      </c>
      <c r="M444" t="s">
        <v>78</v>
      </c>
      <c r="N444" t="s">
        <v>79</v>
      </c>
      <c r="O444" t="s">
        <v>74</v>
      </c>
      <c r="P444" t="s">
        <v>74</v>
      </c>
      <c r="Q444" t="s">
        <v>74</v>
      </c>
      <c r="R444" t="s">
        <v>74</v>
      </c>
      <c r="S444" t="s">
        <v>74</v>
      </c>
      <c r="T444" t="s">
        <v>74</v>
      </c>
      <c r="U444" t="s">
        <v>8638</v>
      </c>
      <c r="V444" t="s">
        <v>74</v>
      </c>
      <c r="W444" t="s">
        <v>8639</v>
      </c>
      <c r="X444" t="s">
        <v>8640</v>
      </c>
      <c r="Y444" t="s">
        <v>8641</v>
      </c>
      <c r="Z444" t="s">
        <v>8642</v>
      </c>
      <c r="AA444" t="s">
        <v>8643</v>
      </c>
      <c r="AB444" t="s">
        <v>8644</v>
      </c>
      <c r="AC444" t="s">
        <v>74</v>
      </c>
      <c r="AD444" t="s">
        <v>74</v>
      </c>
      <c r="AE444" t="s">
        <v>74</v>
      </c>
      <c r="AF444" t="s">
        <v>74</v>
      </c>
      <c r="AG444">
        <v>18</v>
      </c>
      <c r="AH444">
        <v>12</v>
      </c>
      <c r="AI444">
        <v>16</v>
      </c>
      <c r="AJ444">
        <v>3</v>
      </c>
      <c r="AK444">
        <v>46</v>
      </c>
      <c r="AL444" t="s">
        <v>8645</v>
      </c>
      <c r="AM444" t="s">
        <v>526</v>
      </c>
      <c r="AN444" t="s">
        <v>8646</v>
      </c>
      <c r="AO444" t="s">
        <v>8647</v>
      </c>
      <c r="AP444" t="s">
        <v>8648</v>
      </c>
      <c r="AQ444" t="s">
        <v>74</v>
      </c>
      <c r="AR444" t="s">
        <v>8649</v>
      </c>
      <c r="AS444" t="s">
        <v>8650</v>
      </c>
      <c r="AT444" t="s">
        <v>8489</v>
      </c>
      <c r="AU444">
        <v>2014</v>
      </c>
      <c r="AV444">
        <v>67</v>
      </c>
      <c r="AW444">
        <v>7</v>
      </c>
      <c r="AX444" t="s">
        <v>74</v>
      </c>
      <c r="AY444" t="s">
        <v>74</v>
      </c>
      <c r="AZ444" t="s">
        <v>74</v>
      </c>
      <c r="BA444" t="s">
        <v>74</v>
      </c>
      <c r="BB444">
        <v>42</v>
      </c>
      <c r="BC444">
        <v>48</v>
      </c>
      <c r="BD444" t="s">
        <v>74</v>
      </c>
      <c r="BE444" t="s">
        <v>8651</v>
      </c>
      <c r="BF444" t="str">
        <f>HYPERLINK("http://dx.doi.org/10.1063/PT.3.2449","http://dx.doi.org/10.1063/PT.3.2449")</f>
        <v>http://dx.doi.org/10.1063/PT.3.2449</v>
      </c>
      <c r="BG444" t="s">
        <v>74</v>
      </c>
      <c r="BH444" t="s">
        <v>74</v>
      </c>
      <c r="BI444">
        <v>7</v>
      </c>
      <c r="BJ444" t="s">
        <v>1812</v>
      </c>
      <c r="BK444" t="s">
        <v>102</v>
      </c>
      <c r="BL444" t="s">
        <v>1813</v>
      </c>
      <c r="BM444" t="s">
        <v>8652</v>
      </c>
      <c r="BN444" t="s">
        <v>74</v>
      </c>
      <c r="BO444" t="s">
        <v>3557</v>
      </c>
      <c r="BP444" t="s">
        <v>74</v>
      </c>
      <c r="BQ444" t="s">
        <v>74</v>
      </c>
      <c r="BR444" t="s">
        <v>105</v>
      </c>
      <c r="BS444" t="s">
        <v>8653</v>
      </c>
      <c r="BT444" t="str">
        <f>HYPERLINK("https%3A%2F%2Fwww.webofscience.com%2Fwos%2Fwoscc%2Ffull-record%2FWOS:000341448200019","View Full Record in Web of Science")</f>
        <v>View Full Record in Web of Science</v>
      </c>
    </row>
    <row r="445" spans="1:72" x14ac:dyDescent="0.15">
      <c r="A445" t="s">
        <v>72</v>
      </c>
      <c r="B445" t="s">
        <v>8654</v>
      </c>
      <c r="C445" t="s">
        <v>74</v>
      </c>
      <c r="D445" t="s">
        <v>74</v>
      </c>
      <c r="E445" t="s">
        <v>74</v>
      </c>
      <c r="F445" t="s">
        <v>8655</v>
      </c>
      <c r="G445" t="s">
        <v>74</v>
      </c>
      <c r="H445" t="s">
        <v>74</v>
      </c>
      <c r="I445" t="s">
        <v>8656</v>
      </c>
      <c r="J445" t="s">
        <v>5537</v>
      </c>
      <c r="K445" t="s">
        <v>74</v>
      </c>
      <c r="L445" t="s">
        <v>74</v>
      </c>
      <c r="M445" t="s">
        <v>78</v>
      </c>
      <c r="N445" t="s">
        <v>79</v>
      </c>
      <c r="O445" t="s">
        <v>74</v>
      </c>
      <c r="P445" t="s">
        <v>74</v>
      </c>
      <c r="Q445" t="s">
        <v>74</v>
      </c>
      <c r="R445" t="s">
        <v>74</v>
      </c>
      <c r="S445" t="s">
        <v>74</v>
      </c>
      <c r="T445" t="s">
        <v>8657</v>
      </c>
      <c r="U445" t="s">
        <v>74</v>
      </c>
      <c r="V445" t="s">
        <v>8658</v>
      </c>
      <c r="W445" t="s">
        <v>8659</v>
      </c>
      <c r="X445" t="s">
        <v>8660</v>
      </c>
      <c r="Y445" t="s">
        <v>5542</v>
      </c>
      <c r="Z445" t="s">
        <v>5543</v>
      </c>
      <c r="AA445" t="s">
        <v>5544</v>
      </c>
      <c r="AB445" t="s">
        <v>74</v>
      </c>
      <c r="AC445" t="s">
        <v>74</v>
      </c>
      <c r="AD445" t="s">
        <v>74</v>
      </c>
      <c r="AE445" t="s">
        <v>74</v>
      </c>
      <c r="AF445" t="s">
        <v>74</v>
      </c>
      <c r="AG445">
        <v>9</v>
      </c>
      <c r="AH445">
        <v>1</v>
      </c>
      <c r="AI445">
        <v>1</v>
      </c>
      <c r="AJ445">
        <v>0</v>
      </c>
      <c r="AK445">
        <v>15</v>
      </c>
      <c r="AL445" t="s">
        <v>5545</v>
      </c>
      <c r="AM445" t="s">
        <v>5546</v>
      </c>
      <c r="AN445" t="s">
        <v>5547</v>
      </c>
      <c r="AO445" t="s">
        <v>5548</v>
      </c>
      <c r="AP445" t="s">
        <v>5549</v>
      </c>
      <c r="AQ445" t="s">
        <v>74</v>
      </c>
      <c r="AR445" t="s">
        <v>5550</v>
      </c>
      <c r="AS445" t="s">
        <v>5551</v>
      </c>
      <c r="AT445" t="s">
        <v>8489</v>
      </c>
      <c r="AU445">
        <v>2014</v>
      </c>
      <c r="AV445">
        <v>72</v>
      </c>
      <c r="AW445">
        <v>7</v>
      </c>
      <c r="AX445" t="s">
        <v>74</v>
      </c>
      <c r="AY445" t="s">
        <v>74</v>
      </c>
      <c r="AZ445" t="s">
        <v>74</v>
      </c>
      <c r="BA445" t="s">
        <v>74</v>
      </c>
      <c r="BB445">
        <v>562</v>
      </c>
      <c r="BC445">
        <v>563</v>
      </c>
      <c r="BD445" t="s">
        <v>74</v>
      </c>
      <c r="BE445" t="s">
        <v>8661</v>
      </c>
      <c r="BF445" t="str">
        <f>HYPERLINK("http://dx.doi.org/10.1590/0004-282X20140058","http://dx.doi.org/10.1590/0004-282X20140058")</f>
        <v>http://dx.doi.org/10.1590/0004-282X20140058</v>
      </c>
      <c r="BG445" t="s">
        <v>74</v>
      </c>
      <c r="BH445" t="s">
        <v>74</v>
      </c>
      <c r="BI445">
        <v>2</v>
      </c>
      <c r="BJ445" t="s">
        <v>5553</v>
      </c>
      <c r="BK445" t="s">
        <v>102</v>
      </c>
      <c r="BL445" t="s">
        <v>5554</v>
      </c>
      <c r="BM445" t="s">
        <v>8662</v>
      </c>
      <c r="BN445">
        <v>25054991</v>
      </c>
      <c r="BO445" t="s">
        <v>1898</v>
      </c>
      <c r="BP445" t="s">
        <v>74</v>
      </c>
      <c r="BQ445" t="s">
        <v>74</v>
      </c>
      <c r="BR445" t="s">
        <v>105</v>
      </c>
      <c r="BS445" t="s">
        <v>8663</v>
      </c>
      <c r="BT445" t="str">
        <f>HYPERLINK("https%3A%2F%2Fwww.webofscience.com%2Fwos%2Fwoscc%2Ffull-record%2FWOS:000340815400015","View Full Record in Web of Science")</f>
        <v>View Full Record in Web of Science</v>
      </c>
    </row>
    <row r="446" spans="1:72" x14ac:dyDescent="0.15">
      <c r="A446" t="s">
        <v>72</v>
      </c>
      <c r="B446" t="s">
        <v>8664</v>
      </c>
      <c r="C446" t="s">
        <v>74</v>
      </c>
      <c r="D446" t="s">
        <v>74</v>
      </c>
      <c r="E446" t="s">
        <v>74</v>
      </c>
      <c r="F446" t="s">
        <v>8665</v>
      </c>
      <c r="G446" t="s">
        <v>74</v>
      </c>
      <c r="H446" t="s">
        <v>74</v>
      </c>
      <c r="I446" t="s">
        <v>8666</v>
      </c>
      <c r="J446" t="s">
        <v>8667</v>
      </c>
      <c r="K446" t="s">
        <v>74</v>
      </c>
      <c r="L446" t="s">
        <v>74</v>
      </c>
      <c r="M446" t="s">
        <v>78</v>
      </c>
      <c r="N446" t="s">
        <v>1084</v>
      </c>
      <c r="O446" t="s">
        <v>74</v>
      </c>
      <c r="P446" t="s">
        <v>74</v>
      </c>
      <c r="Q446" t="s">
        <v>74</v>
      </c>
      <c r="R446" t="s">
        <v>74</v>
      </c>
      <c r="S446" t="s">
        <v>74</v>
      </c>
      <c r="T446" t="s">
        <v>74</v>
      </c>
      <c r="U446" t="s">
        <v>74</v>
      </c>
      <c r="V446" t="s">
        <v>74</v>
      </c>
      <c r="W446" t="s">
        <v>74</v>
      </c>
      <c r="X446" t="s">
        <v>74</v>
      </c>
      <c r="Y446" t="s">
        <v>74</v>
      </c>
      <c r="Z446" t="s">
        <v>74</v>
      </c>
      <c r="AA446" t="s">
        <v>8668</v>
      </c>
      <c r="AB446" t="s">
        <v>8669</v>
      </c>
      <c r="AC446" t="s">
        <v>74</v>
      </c>
      <c r="AD446" t="s">
        <v>74</v>
      </c>
      <c r="AE446" t="s">
        <v>74</v>
      </c>
      <c r="AF446" t="s">
        <v>74</v>
      </c>
      <c r="AG446">
        <v>1</v>
      </c>
      <c r="AH446">
        <v>1</v>
      </c>
      <c r="AI446">
        <v>1</v>
      </c>
      <c r="AJ446">
        <v>0</v>
      </c>
      <c r="AK446">
        <v>9</v>
      </c>
      <c r="AL446" t="s">
        <v>92</v>
      </c>
      <c r="AM446" t="s">
        <v>93</v>
      </c>
      <c r="AN446" t="s">
        <v>94</v>
      </c>
      <c r="AO446" t="s">
        <v>8670</v>
      </c>
      <c r="AP446" t="s">
        <v>8671</v>
      </c>
      <c r="AQ446" t="s">
        <v>74</v>
      </c>
      <c r="AR446" t="s">
        <v>8672</v>
      </c>
      <c r="AS446" t="s">
        <v>8673</v>
      </c>
      <c r="AT446" t="s">
        <v>8489</v>
      </c>
      <c r="AU446">
        <v>2014</v>
      </c>
      <c r="AV446">
        <v>29</v>
      </c>
      <c r="AW446">
        <v>5</v>
      </c>
      <c r="AX446" t="s">
        <v>74</v>
      </c>
      <c r="AY446" t="s">
        <v>74</v>
      </c>
      <c r="AZ446" t="s">
        <v>74</v>
      </c>
      <c r="BA446" t="s">
        <v>74</v>
      </c>
      <c r="BB446">
        <v>508</v>
      </c>
      <c r="BC446">
        <v>508</v>
      </c>
      <c r="BD446" t="s">
        <v>74</v>
      </c>
      <c r="BE446" t="s">
        <v>8674</v>
      </c>
      <c r="BF446" t="str">
        <f>HYPERLINK("http://dx.doi.org/10.1002/jqs.2700","http://dx.doi.org/10.1002/jqs.2700")</f>
        <v>http://dx.doi.org/10.1002/jqs.2700</v>
      </c>
      <c r="BG446" t="s">
        <v>74</v>
      </c>
      <c r="BH446" t="s">
        <v>74</v>
      </c>
      <c r="BI446">
        <v>1</v>
      </c>
      <c r="BJ446" t="s">
        <v>1427</v>
      </c>
      <c r="BK446" t="s">
        <v>102</v>
      </c>
      <c r="BL446" t="s">
        <v>1428</v>
      </c>
      <c r="BM446" t="s">
        <v>8675</v>
      </c>
      <c r="BN446" t="s">
        <v>74</v>
      </c>
      <c r="BO446" t="s">
        <v>74</v>
      </c>
      <c r="BP446" t="s">
        <v>74</v>
      </c>
      <c r="BQ446" t="s">
        <v>74</v>
      </c>
      <c r="BR446" t="s">
        <v>105</v>
      </c>
      <c r="BS446" t="s">
        <v>8676</v>
      </c>
      <c r="BT446" t="str">
        <f>HYPERLINK("https%3A%2F%2Fwww.webofscience.com%2Fwos%2Fwoscc%2Ffull-record%2FWOS:000340596900013","View Full Record in Web of Science")</f>
        <v>View Full Record in Web of Science</v>
      </c>
    </row>
    <row r="447" spans="1:72" x14ac:dyDescent="0.15">
      <c r="A447" t="s">
        <v>72</v>
      </c>
      <c r="B447" t="s">
        <v>8677</v>
      </c>
      <c r="C447" t="s">
        <v>74</v>
      </c>
      <c r="D447" t="s">
        <v>74</v>
      </c>
      <c r="E447" t="s">
        <v>74</v>
      </c>
      <c r="F447" t="s">
        <v>8678</v>
      </c>
      <c r="G447" t="s">
        <v>74</v>
      </c>
      <c r="H447" t="s">
        <v>74</v>
      </c>
      <c r="I447" t="s">
        <v>8679</v>
      </c>
      <c r="J447" t="s">
        <v>8680</v>
      </c>
      <c r="K447" t="s">
        <v>74</v>
      </c>
      <c r="L447" t="s">
        <v>74</v>
      </c>
      <c r="M447" t="s">
        <v>78</v>
      </c>
      <c r="N447" t="s">
        <v>79</v>
      </c>
      <c r="O447" t="s">
        <v>74</v>
      </c>
      <c r="P447" t="s">
        <v>74</v>
      </c>
      <c r="Q447" t="s">
        <v>74</v>
      </c>
      <c r="R447" t="s">
        <v>74</v>
      </c>
      <c r="S447" t="s">
        <v>74</v>
      </c>
      <c r="T447" t="s">
        <v>74</v>
      </c>
      <c r="U447" t="s">
        <v>8681</v>
      </c>
      <c r="V447" t="s">
        <v>8682</v>
      </c>
      <c r="W447" t="s">
        <v>8683</v>
      </c>
      <c r="X447" t="s">
        <v>8684</v>
      </c>
      <c r="Y447" t="s">
        <v>8685</v>
      </c>
      <c r="Z447" t="s">
        <v>8686</v>
      </c>
      <c r="AA447" t="s">
        <v>8687</v>
      </c>
      <c r="AB447" t="s">
        <v>8688</v>
      </c>
      <c r="AC447" t="s">
        <v>8689</v>
      </c>
      <c r="AD447" t="s">
        <v>8690</v>
      </c>
      <c r="AE447" t="s">
        <v>8691</v>
      </c>
      <c r="AF447" t="s">
        <v>74</v>
      </c>
      <c r="AG447">
        <v>32</v>
      </c>
      <c r="AH447">
        <v>7</v>
      </c>
      <c r="AI447">
        <v>7</v>
      </c>
      <c r="AJ447">
        <v>2</v>
      </c>
      <c r="AK447">
        <v>5</v>
      </c>
      <c r="AL447" t="s">
        <v>2306</v>
      </c>
      <c r="AM447" t="s">
        <v>576</v>
      </c>
      <c r="AN447" t="s">
        <v>2307</v>
      </c>
      <c r="AO447" t="s">
        <v>8692</v>
      </c>
      <c r="AP447" t="s">
        <v>8693</v>
      </c>
      <c r="AQ447" t="s">
        <v>74</v>
      </c>
      <c r="AR447" t="s">
        <v>8694</v>
      </c>
      <c r="AS447" t="s">
        <v>8695</v>
      </c>
      <c r="AT447" t="s">
        <v>8489</v>
      </c>
      <c r="AU447">
        <v>2014</v>
      </c>
      <c r="AV447">
        <v>54</v>
      </c>
      <c r="AW447">
        <v>4</v>
      </c>
      <c r="AX447" t="s">
        <v>74</v>
      </c>
      <c r="AY447" t="s">
        <v>74</v>
      </c>
      <c r="AZ447" t="s">
        <v>74</v>
      </c>
      <c r="BA447" t="s">
        <v>74</v>
      </c>
      <c r="BB447">
        <v>401</v>
      </c>
      <c r="BC447">
        <v>413</v>
      </c>
      <c r="BD447" t="s">
        <v>74</v>
      </c>
      <c r="BE447" t="s">
        <v>8696</v>
      </c>
      <c r="BF447" t="str">
        <f>HYPERLINK("http://dx.doi.org/10.1134/S0001437014030138","http://dx.doi.org/10.1134/S0001437014030138")</f>
        <v>http://dx.doi.org/10.1134/S0001437014030138</v>
      </c>
      <c r="BG447" t="s">
        <v>74</v>
      </c>
      <c r="BH447" t="s">
        <v>74</v>
      </c>
      <c r="BI447">
        <v>13</v>
      </c>
      <c r="BJ447" t="s">
        <v>152</v>
      </c>
      <c r="BK447" t="s">
        <v>102</v>
      </c>
      <c r="BL447" t="s">
        <v>152</v>
      </c>
      <c r="BM447" t="s">
        <v>8697</v>
      </c>
      <c r="BN447" t="s">
        <v>74</v>
      </c>
      <c r="BO447" t="s">
        <v>74</v>
      </c>
      <c r="BP447" t="s">
        <v>74</v>
      </c>
      <c r="BQ447" t="s">
        <v>74</v>
      </c>
      <c r="BR447" t="s">
        <v>105</v>
      </c>
      <c r="BS447" t="s">
        <v>8698</v>
      </c>
      <c r="BT447" t="str">
        <f>HYPERLINK("https%3A%2F%2Fwww.webofscience.com%2Fwos%2Fwoscc%2Ffull-record%2FWOS:000340889100001","View Full Record in Web of Science")</f>
        <v>View Full Record in Web of Science</v>
      </c>
    </row>
    <row r="448" spans="1:72" x14ac:dyDescent="0.15">
      <c r="A448" t="s">
        <v>72</v>
      </c>
      <c r="B448" t="s">
        <v>8699</v>
      </c>
      <c r="C448" t="s">
        <v>74</v>
      </c>
      <c r="D448" t="s">
        <v>74</v>
      </c>
      <c r="E448" t="s">
        <v>74</v>
      </c>
      <c r="F448" t="s">
        <v>8700</v>
      </c>
      <c r="G448" t="s">
        <v>74</v>
      </c>
      <c r="H448" t="s">
        <v>74</v>
      </c>
      <c r="I448" t="s">
        <v>8701</v>
      </c>
      <c r="J448" t="s">
        <v>8702</v>
      </c>
      <c r="K448" t="s">
        <v>74</v>
      </c>
      <c r="L448" t="s">
        <v>74</v>
      </c>
      <c r="M448" t="s">
        <v>78</v>
      </c>
      <c r="N448" t="s">
        <v>79</v>
      </c>
      <c r="O448" t="s">
        <v>74</v>
      </c>
      <c r="P448" t="s">
        <v>74</v>
      </c>
      <c r="Q448" t="s">
        <v>74</v>
      </c>
      <c r="R448" t="s">
        <v>74</v>
      </c>
      <c r="S448" t="s">
        <v>74</v>
      </c>
      <c r="T448" t="s">
        <v>74</v>
      </c>
      <c r="U448" t="s">
        <v>8703</v>
      </c>
      <c r="V448" t="s">
        <v>8704</v>
      </c>
      <c r="W448" t="s">
        <v>8705</v>
      </c>
      <c r="X448" t="s">
        <v>8684</v>
      </c>
      <c r="Y448" t="s">
        <v>8706</v>
      </c>
      <c r="Z448" t="s">
        <v>8707</v>
      </c>
      <c r="AA448" t="s">
        <v>8708</v>
      </c>
      <c r="AB448" t="s">
        <v>74</v>
      </c>
      <c r="AC448" t="s">
        <v>8709</v>
      </c>
      <c r="AD448" t="s">
        <v>8710</v>
      </c>
      <c r="AE448" t="s">
        <v>8711</v>
      </c>
      <c r="AF448" t="s">
        <v>74</v>
      </c>
      <c r="AG448">
        <v>15</v>
      </c>
      <c r="AH448">
        <v>0</v>
      </c>
      <c r="AI448">
        <v>1</v>
      </c>
      <c r="AJ448">
        <v>0</v>
      </c>
      <c r="AK448">
        <v>3</v>
      </c>
      <c r="AL448" t="s">
        <v>2306</v>
      </c>
      <c r="AM448" t="s">
        <v>576</v>
      </c>
      <c r="AN448" t="s">
        <v>2307</v>
      </c>
      <c r="AO448" t="s">
        <v>8712</v>
      </c>
      <c r="AP448" t="s">
        <v>8713</v>
      </c>
      <c r="AQ448" t="s">
        <v>74</v>
      </c>
      <c r="AR448" t="s">
        <v>8714</v>
      </c>
      <c r="AS448" t="s">
        <v>8715</v>
      </c>
      <c r="AT448" t="s">
        <v>8489</v>
      </c>
      <c r="AU448">
        <v>2014</v>
      </c>
      <c r="AV448">
        <v>457</v>
      </c>
      <c r="AW448">
        <v>1</v>
      </c>
      <c r="AX448" t="s">
        <v>74</v>
      </c>
      <c r="AY448" t="s">
        <v>74</v>
      </c>
      <c r="AZ448" t="s">
        <v>74</v>
      </c>
      <c r="BA448" t="s">
        <v>74</v>
      </c>
      <c r="BB448">
        <v>877</v>
      </c>
      <c r="BC448">
        <v>881</v>
      </c>
      <c r="BD448" t="s">
        <v>74</v>
      </c>
      <c r="BE448" t="s">
        <v>8716</v>
      </c>
      <c r="BF448" t="str">
        <f>HYPERLINK("http://dx.doi.org/10.1134/S1028334X14070149","http://dx.doi.org/10.1134/S1028334X14070149")</f>
        <v>http://dx.doi.org/10.1134/S1028334X14070149</v>
      </c>
      <c r="BG448" t="s">
        <v>74</v>
      </c>
      <c r="BH448" t="s">
        <v>74</v>
      </c>
      <c r="BI448">
        <v>5</v>
      </c>
      <c r="BJ448" t="s">
        <v>685</v>
      </c>
      <c r="BK448" t="s">
        <v>102</v>
      </c>
      <c r="BL448" t="s">
        <v>686</v>
      </c>
      <c r="BM448" t="s">
        <v>8717</v>
      </c>
      <c r="BN448" t="s">
        <v>74</v>
      </c>
      <c r="BO448" t="s">
        <v>74</v>
      </c>
      <c r="BP448" t="s">
        <v>74</v>
      </c>
      <c r="BQ448" t="s">
        <v>74</v>
      </c>
      <c r="BR448" t="s">
        <v>105</v>
      </c>
      <c r="BS448" t="s">
        <v>8718</v>
      </c>
      <c r="BT448" t="str">
        <f>HYPERLINK("https%3A%2F%2Fwww.webofscience.com%2Fwos%2Fwoscc%2Ffull-record%2FWOS:000340355500020","View Full Record in Web of Science")</f>
        <v>View Full Record in Web of Science</v>
      </c>
    </row>
    <row r="449" spans="1:72" x14ac:dyDescent="0.15">
      <c r="A449" t="s">
        <v>72</v>
      </c>
      <c r="B449" t="s">
        <v>8719</v>
      </c>
      <c r="C449" t="s">
        <v>74</v>
      </c>
      <c r="D449" t="s">
        <v>74</v>
      </c>
      <c r="E449" t="s">
        <v>74</v>
      </c>
      <c r="F449" t="s">
        <v>8720</v>
      </c>
      <c r="G449" t="s">
        <v>74</v>
      </c>
      <c r="H449" t="s">
        <v>74</v>
      </c>
      <c r="I449" t="s">
        <v>8721</v>
      </c>
      <c r="J449" t="s">
        <v>8722</v>
      </c>
      <c r="K449" t="s">
        <v>74</v>
      </c>
      <c r="L449" t="s">
        <v>74</v>
      </c>
      <c r="M449" t="s">
        <v>78</v>
      </c>
      <c r="N449" t="s">
        <v>79</v>
      </c>
      <c r="O449" t="s">
        <v>74</v>
      </c>
      <c r="P449" t="s">
        <v>74</v>
      </c>
      <c r="Q449" t="s">
        <v>74</v>
      </c>
      <c r="R449" t="s">
        <v>74</v>
      </c>
      <c r="S449" t="s">
        <v>74</v>
      </c>
      <c r="T449" t="s">
        <v>8723</v>
      </c>
      <c r="U449" t="s">
        <v>8724</v>
      </c>
      <c r="V449" t="s">
        <v>8725</v>
      </c>
      <c r="W449" t="s">
        <v>8726</v>
      </c>
      <c r="X449" t="s">
        <v>8727</v>
      </c>
      <c r="Y449" t="s">
        <v>8728</v>
      </c>
      <c r="Z449" t="s">
        <v>8729</v>
      </c>
      <c r="AA449" t="s">
        <v>6908</v>
      </c>
      <c r="AB449" t="s">
        <v>8730</v>
      </c>
      <c r="AC449" t="s">
        <v>8731</v>
      </c>
      <c r="AD449" t="s">
        <v>8732</v>
      </c>
      <c r="AE449" t="s">
        <v>8733</v>
      </c>
      <c r="AF449" t="s">
        <v>74</v>
      </c>
      <c r="AG449">
        <v>48</v>
      </c>
      <c r="AH449">
        <v>8</v>
      </c>
      <c r="AI449">
        <v>8</v>
      </c>
      <c r="AJ449">
        <v>0</v>
      </c>
      <c r="AK449">
        <v>26</v>
      </c>
      <c r="AL449" t="s">
        <v>171</v>
      </c>
      <c r="AM449" t="s">
        <v>93</v>
      </c>
      <c r="AN449" t="s">
        <v>94</v>
      </c>
      <c r="AO449" t="s">
        <v>8734</v>
      </c>
      <c r="AP449" t="s">
        <v>8735</v>
      </c>
      <c r="AQ449" t="s">
        <v>74</v>
      </c>
      <c r="AR449" t="s">
        <v>8736</v>
      </c>
      <c r="AS449" t="s">
        <v>8737</v>
      </c>
      <c r="AT449" t="s">
        <v>8489</v>
      </c>
      <c r="AU449">
        <v>2014</v>
      </c>
      <c r="AV449">
        <v>7</v>
      </c>
      <c r="AW449">
        <v>4</v>
      </c>
      <c r="AX449" t="s">
        <v>74</v>
      </c>
      <c r="AY449" t="s">
        <v>74</v>
      </c>
      <c r="AZ449" t="s">
        <v>74</v>
      </c>
      <c r="BA449" t="s">
        <v>74</v>
      </c>
      <c r="BB449">
        <v>308</v>
      </c>
      <c r="BC449">
        <v>313</v>
      </c>
      <c r="BD449" t="s">
        <v>74</v>
      </c>
      <c r="BE449" t="s">
        <v>8738</v>
      </c>
      <c r="BF449" t="str">
        <f>HYPERLINK("http://dx.doi.org/10.1111/icad.12054","http://dx.doi.org/10.1111/icad.12054")</f>
        <v>http://dx.doi.org/10.1111/icad.12054</v>
      </c>
      <c r="BG449" t="s">
        <v>74</v>
      </c>
      <c r="BH449" t="s">
        <v>74</v>
      </c>
      <c r="BI449">
        <v>6</v>
      </c>
      <c r="BJ449" t="s">
        <v>8739</v>
      </c>
      <c r="BK449" t="s">
        <v>102</v>
      </c>
      <c r="BL449" t="s">
        <v>8740</v>
      </c>
      <c r="BM449" t="s">
        <v>8741</v>
      </c>
      <c r="BN449" t="s">
        <v>74</v>
      </c>
      <c r="BO449" t="s">
        <v>74</v>
      </c>
      <c r="BP449" t="s">
        <v>74</v>
      </c>
      <c r="BQ449" t="s">
        <v>74</v>
      </c>
      <c r="BR449" t="s">
        <v>105</v>
      </c>
      <c r="BS449" t="s">
        <v>8742</v>
      </c>
      <c r="BT449" t="str">
        <f>HYPERLINK("https%3A%2F%2Fwww.webofscience.com%2Fwos%2Fwoscc%2Ffull-record%2FWOS:000340596100002","View Full Record in Web of Science")</f>
        <v>View Full Record in Web of Science</v>
      </c>
    </row>
    <row r="450" spans="1:72" x14ac:dyDescent="0.15">
      <c r="A450" t="s">
        <v>72</v>
      </c>
      <c r="B450" t="s">
        <v>8743</v>
      </c>
      <c r="C450" t="s">
        <v>74</v>
      </c>
      <c r="D450" t="s">
        <v>74</v>
      </c>
      <c r="E450" t="s">
        <v>74</v>
      </c>
      <c r="F450" t="s">
        <v>8744</v>
      </c>
      <c r="G450" t="s">
        <v>74</v>
      </c>
      <c r="H450" t="s">
        <v>74</v>
      </c>
      <c r="I450" t="s">
        <v>8745</v>
      </c>
      <c r="J450" t="s">
        <v>1951</v>
      </c>
      <c r="K450" t="s">
        <v>74</v>
      </c>
      <c r="L450" t="s">
        <v>74</v>
      </c>
      <c r="M450" t="s">
        <v>78</v>
      </c>
      <c r="N450" t="s">
        <v>79</v>
      </c>
      <c r="O450" t="s">
        <v>74</v>
      </c>
      <c r="P450" t="s">
        <v>74</v>
      </c>
      <c r="Q450" t="s">
        <v>74</v>
      </c>
      <c r="R450" t="s">
        <v>74</v>
      </c>
      <c r="S450" t="s">
        <v>74</v>
      </c>
      <c r="T450" t="s">
        <v>74</v>
      </c>
      <c r="U450" t="s">
        <v>8746</v>
      </c>
      <c r="V450" t="s">
        <v>8747</v>
      </c>
      <c r="W450" t="s">
        <v>8748</v>
      </c>
      <c r="X450" t="s">
        <v>8749</v>
      </c>
      <c r="Y450" t="s">
        <v>8750</v>
      </c>
      <c r="Z450" t="s">
        <v>8751</v>
      </c>
      <c r="AA450" t="s">
        <v>8752</v>
      </c>
      <c r="AB450" t="s">
        <v>8753</v>
      </c>
      <c r="AC450" t="s">
        <v>8754</v>
      </c>
      <c r="AD450" t="s">
        <v>8755</v>
      </c>
      <c r="AE450" t="s">
        <v>8756</v>
      </c>
      <c r="AF450" t="s">
        <v>74</v>
      </c>
      <c r="AG450">
        <v>66</v>
      </c>
      <c r="AH450">
        <v>57</v>
      </c>
      <c r="AI450">
        <v>63</v>
      </c>
      <c r="AJ450">
        <v>0</v>
      </c>
      <c r="AK450">
        <v>29</v>
      </c>
      <c r="AL450" t="s">
        <v>331</v>
      </c>
      <c r="AM450" t="s">
        <v>332</v>
      </c>
      <c r="AN450" t="s">
        <v>333</v>
      </c>
      <c r="AO450" t="s">
        <v>1963</v>
      </c>
      <c r="AP450" t="s">
        <v>1964</v>
      </c>
      <c r="AQ450" t="s">
        <v>74</v>
      </c>
      <c r="AR450" t="s">
        <v>1965</v>
      </c>
      <c r="AS450" t="s">
        <v>1966</v>
      </c>
      <c r="AT450" t="s">
        <v>8489</v>
      </c>
      <c r="AU450">
        <v>2014</v>
      </c>
      <c r="AV450">
        <v>119</v>
      </c>
      <c r="AW450">
        <v>7</v>
      </c>
      <c r="AX450" t="s">
        <v>74</v>
      </c>
      <c r="AY450" t="s">
        <v>74</v>
      </c>
      <c r="AZ450" t="s">
        <v>74</v>
      </c>
      <c r="BA450" t="s">
        <v>74</v>
      </c>
      <c r="BB450">
        <v>4214</v>
      </c>
      <c r="BC450">
        <v>4233</v>
      </c>
      <c r="BD450" t="s">
        <v>74</v>
      </c>
      <c r="BE450" t="s">
        <v>8757</v>
      </c>
      <c r="BF450" t="str">
        <f>HYPERLINK("http://dx.doi.org/10.1002/2014JC009792","http://dx.doi.org/10.1002/2014JC009792")</f>
        <v>http://dx.doi.org/10.1002/2014JC009792</v>
      </c>
      <c r="BG450" t="s">
        <v>74</v>
      </c>
      <c r="BH450" t="s">
        <v>74</v>
      </c>
      <c r="BI450">
        <v>20</v>
      </c>
      <c r="BJ450" t="s">
        <v>152</v>
      </c>
      <c r="BK450" t="s">
        <v>102</v>
      </c>
      <c r="BL450" t="s">
        <v>152</v>
      </c>
      <c r="BM450" t="s">
        <v>8758</v>
      </c>
      <c r="BN450" t="s">
        <v>74</v>
      </c>
      <c r="BO450" t="s">
        <v>1053</v>
      </c>
      <c r="BP450" t="s">
        <v>74</v>
      </c>
      <c r="BQ450" t="s">
        <v>74</v>
      </c>
      <c r="BR450" t="s">
        <v>105</v>
      </c>
      <c r="BS450" t="s">
        <v>8759</v>
      </c>
      <c r="BT450" t="str">
        <f>HYPERLINK("https%3A%2F%2Fwww.webofscience.com%2Fwos%2Fwoscc%2Ffull-record%2FWOS:000340415500011","View Full Record in Web of Science")</f>
        <v>View Full Record in Web of Science</v>
      </c>
    </row>
    <row r="451" spans="1:72" x14ac:dyDescent="0.15">
      <c r="A451" t="s">
        <v>72</v>
      </c>
      <c r="B451" t="s">
        <v>8760</v>
      </c>
      <c r="C451" t="s">
        <v>74</v>
      </c>
      <c r="D451" t="s">
        <v>74</v>
      </c>
      <c r="E451" t="s">
        <v>74</v>
      </c>
      <c r="F451" t="s">
        <v>8761</v>
      </c>
      <c r="G451" t="s">
        <v>74</v>
      </c>
      <c r="H451" t="s">
        <v>74</v>
      </c>
      <c r="I451" t="s">
        <v>8762</v>
      </c>
      <c r="J451" t="s">
        <v>1951</v>
      </c>
      <c r="K451" t="s">
        <v>74</v>
      </c>
      <c r="L451" t="s">
        <v>74</v>
      </c>
      <c r="M451" t="s">
        <v>78</v>
      </c>
      <c r="N451" t="s">
        <v>79</v>
      </c>
      <c r="O451" t="s">
        <v>74</v>
      </c>
      <c r="P451" t="s">
        <v>74</v>
      </c>
      <c r="Q451" t="s">
        <v>74</v>
      </c>
      <c r="R451" t="s">
        <v>74</v>
      </c>
      <c r="S451" t="s">
        <v>74</v>
      </c>
      <c r="T451" t="s">
        <v>74</v>
      </c>
      <c r="U451" t="s">
        <v>8763</v>
      </c>
      <c r="V451" t="s">
        <v>8764</v>
      </c>
      <c r="W451" t="s">
        <v>8765</v>
      </c>
      <c r="X451" t="s">
        <v>8171</v>
      </c>
      <c r="Y451" t="s">
        <v>8766</v>
      </c>
      <c r="Z451" t="s">
        <v>8767</v>
      </c>
      <c r="AA451" t="s">
        <v>8768</v>
      </c>
      <c r="AB451" t="s">
        <v>8769</v>
      </c>
      <c r="AC451" t="s">
        <v>8770</v>
      </c>
      <c r="AD451" t="s">
        <v>8771</v>
      </c>
      <c r="AE451" t="s">
        <v>8772</v>
      </c>
      <c r="AF451" t="s">
        <v>74</v>
      </c>
      <c r="AG451">
        <v>35</v>
      </c>
      <c r="AH451">
        <v>15</v>
      </c>
      <c r="AI451">
        <v>15</v>
      </c>
      <c r="AJ451">
        <v>3</v>
      </c>
      <c r="AK451">
        <v>16</v>
      </c>
      <c r="AL451" t="s">
        <v>331</v>
      </c>
      <c r="AM451" t="s">
        <v>332</v>
      </c>
      <c r="AN451" t="s">
        <v>333</v>
      </c>
      <c r="AO451" t="s">
        <v>1963</v>
      </c>
      <c r="AP451" t="s">
        <v>1964</v>
      </c>
      <c r="AQ451" t="s">
        <v>74</v>
      </c>
      <c r="AR451" t="s">
        <v>1965</v>
      </c>
      <c r="AS451" t="s">
        <v>1966</v>
      </c>
      <c r="AT451" t="s">
        <v>8489</v>
      </c>
      <c r="AU451">
        <v>2014</v>
      </c>
      <c r="AV451">
        <v>119</v>
      </c>
      <c r="AW451">
        <v>7</v>
      </c>
      <c r="AX451" t="s">
        <v>74</v>
      </c>
      <c r="AY451" t="s">
        <v>74</v>
      </c>
      <c r="AZ451" t="s">
        <v>74</v>
      </c>
      <c r="BA451" t="s">
        <v>74</v>
      </c>
      <c r="BB451">
        <v>4234</v>
      </c>
      <c r="BC451">
        <v>4250</v>
      </c>
      <c r="BD451" t="s">
        <v>74</v>
      </c>
      <c r="BE451" t="s">
        <v>8773</v>
      </c>
      <c r="BF451" t="str">
        <f>HYPERLINK("http://dx.doi.org/10.1002/2014JC010049","http://dx.doi.org/10.1002/2014JC010049")</f>
        <v>http://dx.doi.org/10.1002/2014JC010049</v>
      </c>
      <c r="BG451" t="s">
        <v>74</v>
      </c>
      <c r="BH451" t="s">
        <v>74</v>
      </c>
      <c r="BI451">
        <v>17</v>
      </c>
      <c r="BJ451" t="s">
        <v>152</v>
      </c>
      <c r="BK451" t="s">
        <v>102</v>
      </c>
      <c r="BL451" t="s">
        <v>152</v>
      </c>
      <c r="BM451" t="s">
        <v>8758</v>
      </c>
      <c r="BN451" t="s">
        <v>74</v>
      </c>
      <c r="BO451" t="s">
        <v>2979</v>
      </c>
      <c r="BP451" t="s">
        <v>74</v>
      </c>
      <c r="BQ451" t="s">
        <v>74</v>
      </c>
      <c r="BR451" t="s">
        <v>105</v>
      </c>
      <c r="BS451" t="s">
        <v>8774</v>
      </c>
      <c r="BT451" t="str">
        <f>HYPERLINK("https%3A%2F%2Fwww.webofscience.com%2Fwos%2Fwoscc%2Ffull-record%2FWOS:000340415500012","View Full Record in Web of Science")</f>
        <v>View Full Record in Web of Science</v>
      </c>
    </row>
    <row r="452" spans="1:72" x14ac:dyDescent="0.15">
      <c r="A452" t="s">
        <v>72</v>
      </c>
      <c r="B452" t="s">
        <v>8775</v>
      </c>
      <c r="C452" t="s">
        <v>74</v>
      </c>
      <c r="D452" t="s">
        <v>74</v>
      </c>
      <c r="E452" t="s">
        <v>74</v>
      </c>
      <c r="F452" t="s">
        <v>8776</v>
      </c>
      <c r="G452" t="s">
        <v>74</v>
      </c>
      <c r="H452" t="s">
        <v>74</v>
      </c>
      <c r="I452" t="s">
        <v>8777</v>
      </c>
      <c r="J452" t="s">
        <v>1951</v>
      </c>
      <c r="K452" t="s">
        <v>74</v>
      </c>
      <c r="L452" t="s">
        <v>74</v>
      </c>
      <c r="M452" t="s">
        <v>78</v>
      </c>
      <c r="N452" t="s">
        <v>79</v>
      </c>
      <c r="O452" t="s">
        <v>74</v>
      </c>
      <c r="P452" t="s">
        <v>74</v>
      </c>
      <c r="Q452" t="s">
        <v>74</v>
      </c>
      <c r="R452" t="s">
        <v>74</v>
      </c>
      <c r="S452" t="s">
        <v>74</v>
      </c>
      <c r="T452" t="s">
        <v>74</v>
      </c>
      <c r="U452" t="s">
        <v>8778</v>
      </c>
      <c r="V452" t="s">
        <v>8779</v>
      </c>
      <c r="W452" t="s">
        <v>8780</v>
      </c>
      <c r="X452" t="s">
        <v>8781</v>
      </c>
      <c r="Y452" t="s">
        <v>8782</v>
      </c>
      <c r="Z452" t="s">
        <v>8783</v>
      </c>
      <c r="AA452" t="s">
        <v>8784</v>
      </c>
      <c r="AB452" t="s">
        <v>8785</v>
      </c>
      <c r="AC452" t="s">
        <v>8786</v>
      </c>
      <c r="AD452" t="s">
        <v>8786</v>
      </c>
      <c r="AE452" t="s">
        <v>8787</v>
      </c>
      <c r="AF452" t="s">
        <v>74</v>
      </c>
      <c r="AG452">
        <v>60</v>
      </c>
      <c r="AH452">
        <v>24</v>
      </c>
      <c r="AI452">
        <v>29</v>
      </c>
      <c r="AJ452">
        <v>0</v>
      </c>
      <c r="AK452">
        <v>5</v>
      </c>
      <c r="AL452" t="s">
        <v>331</v>
      </c>
      <c r="AM452" t="s">
        <v>332</v>
      </c>
      <c r="AN452" t="s">
        <v>333</v>
      </c>
      <c r="AO452" t="s">
        <v>1963</v>
      </c>
      <c r="AP452" t="s">
        <v>1964</v>
      </c>
      <c r="AQ452" t="s">
        <v>74</v>
      </c>
      <c r="AR452" t="s">
        <v>1965</v>
      </c>
      <c r="AS452" t="s">
        <v>1966</v>
      </c>
      <c r="AT452" t="s">
        <v>8489</v>
      </c>
      <c r="AU452">
        <v>2014</v>
      </c>
      <c r="AV452">
        <v>119</v>
      </c>
      <c r="AW452">
        <v>7</v>
      </c>
      <c r="AX452" t="s">
        <v>74</v>
      </c>
      <c r="AY452" t="s">
        <v>74</v>
      </c>
      <c r="AZ452" t="s">
        <v>74</v>
      </c>
      <c r="BA452" t="s">
        <v>74</v>
      </c>
      <c r="BB452">
        <v>4318</v>
      </c>
      <c r="BC452">
        <v>4339</v>
      </c>
      <c r="BD452" t="s">
        <v>74</v>
      </c>
      <c r="BE452" t="s">
        <v>8788</v>
      </c>
      <c r="BF452" t="str">
        <f>HYPERLINK("http://dx.doi.org/10.1002/2014JC009810","http://dx.doi.org/10.1002/2014JC009810")</f>
        <v>http://dx.doi.org/10.1002/2014JC009810</v>
      </c>
      <c r="BG452" t="s">
        <v>74</v>
      </c>
      <c r="BH452" t="s">
        <v>74</v>
      </c>
      <c r="BI452">
        <v>22</v>
      </c>
      <c r="BJ452" t="s">
        <v>152</v>
      </c>
      <c r="BK452" t="s">
        <v>102</v>
      </c>
      <c r="BL452" t="s">
        <v>152</v>
      </c>
      <c r="BM452" t="s">
        <v>8758</v>
      </c>
      <c r="BN452" t="s">
        <v>74</v>
      </c>
      <c r="BO452" t="s">
        <v>4603</v>
      </c>
      <c r="BP452" t="s">
        <v>74</v>
      </c>
      <c r="BQ452" t="s">
        <v>74</v>
      </c>
      <c r="BR452" t="s">
        <v>105</v>
      </c>
      <c r="BS452" t="s">
        <v>8789</v>
      </c>
      <c r="BT452" t="str">
        <f>HYPERLINK("https%3A%2F%2Fwww.webofscience.com%2Fwos%2Fwoscc%2Ffull-record%2FWOS:000340415500018","View Full Record in Web of Science")</f>
        <v>View Full Record in Web of Science</v>
      </c>
    </row>
    <row r="453" spans="1:72" x14ac:dyDescent="0.15">
      <c r="A453" t="s">
        <v>72</v>
      </c>
      <c r="B453" t="s">
        <v>8790</v>
      </c>
      <c r="C453" t="s">
        <v>74</v>
      </c>
      <c r="D453" t="s">
        <v>74</v>
      </c>
      <c r="E453" t="s">
        <v>74</v>
      </c>
      <c r="F453" t="s">
        <v>8791</v>
      </c>
      <c r="G453" t="s">
        <v>74</v>
      </c>
      <c r="H453" t="s">
        <v>74</v>
      </c>
      <c r="I453" t="s">
        <v>8792</v>
      </c>
      <c r="J453" t="s">
        <v>808</v>
      </c>
      <c r="K453" t="s">
        <v>74</v>
      </c>
      <c r="L453" t="s">
        <v>74</v>
      </c>
      <c r="M453" t="s">
        <v>78</v>
      </c>
      <c r="N453" t="s">
        <v>79</v>
      </c>
      <c r="O453" t="s">
        <v>74</v>
      </c>
      <c r="P453" t="s">
        <v>74</v>
      </c>
      <c r="Q453" t="s">
        <v>74</v>
      </c>
      <c r="R453" t="s">
        <v>74</v>
      </c>
      <c r="S453" t="s">
        <v>74</v>
      </c>
      <c r="T453" t="s">
        <v>8793</v>
      </c>
      <c r="U453" t="s">
        <v>8794</v>
      </c>
      <c r="V453" t="s">
        <v>8795</v>
      </c>
      <c r="W453" t="s">
        <v>8796</v>
      </c>
      <c r="X453" t="s">
        <v>8797</v>
      </c>
      <c r="Y453" t="s">
        <v>8798</v>
      </c>
      <c r="Z453" t="s">
        <v>8799</v>
      </c>
      <c r="AA453" t="s">
        <v>8800</v>
      </c>
      <c r="AB453" t="s">
        <v>8801</v>
      </c>
      <c r="AC453" t="s">
        <v>8802</v>
      </c>
      <c r="AD453" t="s">
        <v>8803</v>
      </c>
      <c r="AE453" t="s">
        <v>8804</v>
      </c>
      <c r="AF453" t="s">
        <v>74</v>
      </c>
      <c r="AG453">
        <v>69</v>
      </c>
      <c r="AH453">
        <v>15</v>
      </c>
      <c r="AI453">
        <v>18</v>
      </c>
      <c r="AJ453">
        <v>0</v>
      </c>
      <c r="AK453">
        <v>11</v>
      </c>
      <c r="AL453" t="s">
        <v>92</v>
      </c>
      <c r="AM453" t="s">
        <v>93</v>
      </c>
      <c r="AN453" t="s">
        <v>94</v>
      </c>
      <c r="AO453" t="s">
        <v>821</v>
      </c>
      <c r="AP453" t="s">
        <v>822</v>
      </c>
      <c r="AQ453" t="s">
        <v>74</v>
      </c>
      <c r="AR453" t="s">
        <v>823</v>
      </c>
      <c r="AS453" t="s">
        <v>824</v>
      </c>
      <c r="AT453" t="s">
        <v>8489</v>
      </c>
      <c r="AU453">
        <v>2014</v>
      </c>
      <c r="AV453">
        <v>140</v>
      </c>
      <c r="AW453">
        <v>682</v>
      </c>
      <c r="AX453" t="s">
        <v>257</v>
      </c>
      <c r="AY453" t="s">
        <v>74</v>
      </c>
      <c r="AZ453" t="s">
        <v>74</v>
      </c>
      <c r="BA453" t="s">
        <v>74</v>
      </c>
      <c r="BB453">
        <v>1536</v>
      </c>
      <c r="BC453">
        <v>1551</v>
      </c>
      <c r="BD453" t="s">
        <v>74</v>
      </c>
      <c r="BE453" t="s">
        <v>8805</v>
      </c>
      <c r="BF453" t="str">
        <f>HYPERLINK("http://dx.doi.org/10.1002/qj.2237","http://dx.doi.org/10.1002/qj.2237")</f>
        <v>http://dx.doi.org/10.1002/qj.2237</v>
      </c>
      <c r="BG453" t="s">
        <v>74</v>
      </c>
      <c r="BH453" t="s">
        <v>74</v>
      </c>
      <c r="BI453">
        <v>16</v>
      </c>
      <c r="BJ453" t="s">
        <v>177</v>
      </c>
      <c r="BK453" t="s">
        <v>102</v>
      </c>
      <c r="BL453" t="s">
        <v>177</v>
      </c>
      <c r="BM453" t="s">
        <v>8806</v>
      </c>
      <c r="BN453" t="s">
        <v>74</v>
      </c>
      <c r="BO453" t="s">
        <v>74</v>
      </c>
      <c r="BP453" t="s">
        <v>74</v>
      </c>
      <c r="BQ453" t="s">
        <v>74</v>
      </c>
      <c r="BR453" t="s">
        <v>105</v>
      </c>
      <c r="BS453" t="s">
        <v>8807</v>
      </c>
      <c r="BT453" t="str">
        <f>HYPERLINK("https%3A%2F%2Fwww.webofscience.com%2Fwos%2Fwoscc%2Ffull-record%2FWOS:000340364000010","View Full Record in Web of Science")</f>
        <v>View Full Record in Web of Science</v>
      </c>
    </row>
    <row r="454" spans="1:72" x14ac:dyDescent="0.15">
      <c r="A454" t="s">
        <v>72</v>
      </c>
      <c r="B454" t="s">
        <v>8808</v>
      </c>
      <c r="C454" t="s">
        <v>74</v>
      </c>
      <c r="D454" t="s">
        <v>74</v>
      </c>
      <c r="E454" t="s">
        <v>74</v>
      </c>
      <c r="F454" t="s">
        <v>8809</v>
      </c>
      <c r="G454" t="s">
        <v>74</v>
      </c>
      <c r="H454" t="s">
        <v>74</v>
      </c>
      <c r="I454" t="s">
        <v>8810</v>
      </c>
      <c r="J454" t="s">
        <v>808</v>
      </c>
      <c r="K454" t="s">
        <v>74</v>
      </c>
      <c r="L454" t="s">
        <v>74</v>
      </c>
      <c r="M454" t="s">
        <v>78</v>
      </c>
      <c r="N454" t="s">
        <v>79</v>
      </c>
      <c r="O454" t="s">
        <v>74</v>
      </c>
      <c r="P454" t="s">
        <v>74</v>
      </c>
      <c r="Q454" t="s">
        <v>74</v>
      </c>
      <c r="R454" t="s">
        <v>74</v>
      </c>
      <c r="S454" t="s">
        <v>74</v>
      </c>
      <c r="T454" t="s">
        <v>8811</v>
      </c>
      <c r="U454" t="s">
        <v>8812</v>
      </c>
      <c r="V454" t="s">
        <v>8813</v>
      </c>
      <c r="W454" t="s">
        <v>8814</v>
      </c>
      <c r="X454" t="s">
        <v>8815</v>
      </c>
      <c r="Y454" t="s">
        <v>8816</v>
      </c>
      <c r="Z454" t="s">
        <v>8817</v>
      </c>
      <c r="AA454" t="s">
        <v>8818</v>
      </c>
      <c r="AB454" t="s">
        <v>8819</v>
      </c>
      <c r="AC454" t="s">
        <v>8820</v>
      </c>
      <c r="AD454" t="s">
        <v>8821</v>
      </c>
      <c r="AE454" t="s">
        <v>8822</v>
      </c>
      <c r="AF454" t="s">
        <v>74</v>
      </c>
      <c r="AG454">
        <v>15</v>
      </c>
      <c r="AH454">
        <v>27</v>
      </c>
      <c r="AI454">
        <v>30</v>
      </c>
      <c r="AJ454">
        <v>0</v>
      </c>
      <c r="AK454">
        <v>19</v>
      </c>
      <c r="AL454" t="s">
        <v>92</v>
      </c>
      <c r="AM454" t="s">
        <v>93</v>
      </c>
      <c r="AN454" t="s">
        <v>94</v>
      </c>
      <c r="AO454" t="s">
        <v>821</v>
      </c>
      <c r="AP454" t="s">
        <v>822</v>
      </c>
      <c r="AQ454" t="s">
        <v>74</v>
      </c>
      <c r="AR454" t="s">
        <v>823</v>
      </c>
      <c r="AS454" t="s">
        <v>824</v>
      </c>
      <c r="AT454" t="s">
        <v>8489</v>
      </c>
      <c r="AU454">
        <v>2014</v>
      </c>
      <c r="AV454">
        <v>140</v>
      </c>
      <c r="AW454">
        <v>682</v>
      </c>
      <c r="AX454" t="s">
        <v>257</v>
      </c>
      <c r="AY454" t="s">
        <v>74</v>
      </c>
      <c r="AZ454" t="s">
        <v>74</v>
      </c>
      <c r="BA454" t="s">
        <v>74</v>
      </c>
      <c r="BB454">
        <v>1670</v>
      </c>
      <c r="BC454">
        <v>1676</v>
      </c>
      <c r="BD454" t="s">
        <v>74</v>
      </c>
      <c r="BE454" t="s">
        <v>8823</v>
      </c>
      <c r="BF454" t="str">
        <f>HYPERLINK("http://dx.doi.org/10.1002/qj.2247","http://dx.doi.org/10.1002/qj.2247")</f>
        <v>http://dx.doi.org/10.1002/qj.2247</v>
      </c>
      <c r="BG454" t="s">
        <v>74</v>
      </c>
      <c r="BH454" t="s">
        <v>74</v>
      </c>
      <c r="BI454">
        <v>7</v>
      </c>
      <c r="BJ454" t="s">
        <v>177</v>
      </c>
      <c r="BK454" t="s">
        <v>102</v>
      </c>
      <c r="BL454" t="s">
        <v>177</v>
      </c>
      <c r="BM454" t="s">
        <v>8806</v>
      </c>
      <c r="BN454" t="s">
        <v>74</v>
      </c>
      <c r="BO454" t="s">
        <v>74</v>
      </c>
      <c r="BP454" t="s">
        <v>74</v>
      </c>
      <c r="BQ454" t="s">
        <v>74</v>
      </c>
      <c r="BR454" t="s">
        <v>105</v>
      </c>
      <c r="BS454" t="s">
        <v>8824</v>
      </c>
      <c r="BT454" t="str">
        <f>HYPERLINK("https%3A%2F%2Fwww.webofscience.com%2Fwos%2Fwoscc%2Ffull-record%2FWOS:000340364000020","View Full Record in Web of Science")</f>
        <v>View Full Record in Web of Science</v>
      </c>
    </row>
    <row r="455" spans="1:72" x14ac:dyDescent="0.15">
      <c r="A455" t="s">
        <v>72</v>
      </c>
      <c r="B455" t="s">
        <v>8825</v>
      </c>
      <c r="C455" t="s">
        <v>74</v>
      </c>
      <c r="D455" t="s">
        <v>74</v>
      </c>
      <c r="E455" t="s">
        <v>74</v>
      </c>
      <c r="F455" t="s">
        <v>8826</v>
      </c>
      <c r="G455" t="s">
        <v>74</v>
      </c>
      <c r="H455" t="s">
        <v>74</v>
      </c>
      <c r="I455" t="s">
        <v>8827</v>
      </c>
      <c r="J455" t="s">
        <v>8828</v>
      </c>
      <c r="K455" t="s">
        <v>74</v>
      </c>
      <c r="L455" t="s">
        <v>74</v>
      </c>
      <c r="M455" t="s">
        <v>78</v>
      </c>
      <c r="N455" t="s">
        <v>79</v>
      </c>
      <c r="O455" t="s">
        <v>74</v>
      </c>
      <c r="P455" t="s">
        <v>74</v>
      </c>
      <c r="Q455" t="s">
        <v>74</v>
      </c>
      <c r="R455" t="s">
        <v>74</v>
      </c>
      <c r="S455" t="s">
        <v>74</v>
      </c>
      <c r="T455" t="s">
        <v>74</v>
      </c>
      <c r="U455" t="s">
        <v>8829</v>
      </c>
      <c r="V455" t="s">
        <v>8830</v>
      </c>
      <c r="W455" t="s">
        <v>8831</v>
      </c>
      <c r="X455" t="s">
        <v>8832</v>
      </c>
      <c r="Y455" t="s">
        <v>8833</v>
      </c>
      <c r="Z455" t="s">
        <v>8834</v>
      </c>
      <c r="AA455" t="s">
        <v>8835</v>
      </c>
      <c r="AB455" t="s">
        <v>8836</v>
      </c>
      <c r="AC455" t="s">
        <v>8837</v>
      </c>
      <c r="AD455" t="s">
        <v>8838</v>
      </c>
      <c r="AE455" t="s">
        <v>8839</v>
      </c>
      <c r="AF455" t="s">
        <v>74</v>
      </c>
      <c r="AG455">
        <v>34</v>
      </c>
      <c r="AH455">
        <v>23</v>
      </c>
      <c r="AI455">
        <v>25</v>
      </c>
      <c r="AJ455">
        <v>0</v>
      </c>
      <c r="AK455">
        <v>7</v>
      </c>
      <c r="AL455" t="s">
        <v>331</v>
      </c>
      <c r="AM455" t="s">
        <v>332</v>
      </c>
      <c r="AN455" t="s">
        <v>333</v>
      </c>
      <c r="AO455" t="s">
        <v>8840</v>
      </c>
      <c r="AP455" t="s">
        <v>8841</v>
      </c>
      <c r="AQ455" t="s">
        <v>74</v>
      </c>
      <c r="AR455" t="s">
        <v>8842</v>
      </c>
      <c r="AS455" t="s">
        <v>8843</v>
      </c>
      <c r="AT455" t="s">
        <v>8489</v>
      </c>
      <c r="AU455">
        <v>2014</v>
      </c>
      <c r="AV455">
        <v>49</v>
      </c>
      <c r="AW455">
        <v>7</v>
      </c>
      <c r="AX455" t="s">
        <v>74</v>
      </c>
      <c r="AY455" t="s">
        <v>74</v>
      </c>
      <c r="AZ455" t="s">
        <v>74</v>
      </c>
      <c r="BA455" t="s">
        <v>74</v>
      </c>
      <c r="BB455">
        <v>518</v>
      </c>
      <c r="BC455">
        <v>530</v>
      </c>
      <c r="BD455" t="s">
        <v>74</v>
      </c>
      <c r="BE455" t="s">
        <v>8844</v>
      </c>
      <c r="BF455" t="str">
        <f>HYPERLINK("http://dx.doi.org/10.1002/2013RS005203","http://dx.doi.org/10.1002/2013RS005203")</f>
        <v>http://dx.doi.org/10.1002/2013RS005203</v>
      </c>
      <c r="BG455" t="s">
        <v>74</v>
      </c>
      <c r="BH455" t="s">
        <v>74</v>
      </c>
      <c r="BI455">
        <v>13</v>
      </c>
      <c r="BJ455" t="s">
        <v>8845</v>
      </c>
      <c r="BK455" t="s">
        <v>102</v>
      </c>
      <c r="BL455" t="s">
        <v>8845</v>
      </c>
      <c r="BM455" t="s">
        <v>8846</v>
      </c>
      <c r="BN455" t="s">
        <v>74</v>
      </c>
      <c r="BO455" t="s">
        <v>179</v>
      </c>
      <c r="BP455" t="s">
        <v>74</v>
      </c>
      <c r="BQ455" t="s">
        <v>74</v>
      </c>
      <c r="BR455" t="s">
        <v>105</v>
      </c>
      <c r="BS455" t="s">
        <v>8847</v>
      </c>
      <c r="BT455" t="str">
        <f>HYPERLINK("https%3A%2F%2Fwww.webofscience.com%2Fwos%2Fwoscc%2Ffull-record%2FWOS:000340426100006","View Full Record in Web of Science")</f>
        <v>View Full Record in Web of Science</v>
      </c>
    </row>
    <row r="456" spans="1:72" x14ac:dyDescent="0.15">
      <c r="A456" t="s">
        <v>72</v>
      </c>
      <c r="B456" t="s">
        <v>8848</v>
      </c>
      <c r="C456" t="s">
        <v>74</v>
      </c>
      <c r="D456" t="s">
        <v>74</v>
      </c>
      <c r="E456" t="s">
        <v>74</v>
      </c>
      <c r="F456" t="s">
        <v>8849</v>
      </c>
      <c r="G456" t="s">
        <v>74</v>
      </c>
      <c r="H456" t="s">
        <v>74</v>
      </c>
      <c r="I456" t="s">
        <v>8850</v>
      </c>
      <c r="J456" t="s">
        <v>8851</v>
      </c>
      <c r="K456" t="s">
        <v>74</v>
      </c>
      <c r="L456" t="s">
        <v>74</v>
      </c>
      <c r="M456" t="s">
        <v>78</v>
      </c>
      <c r="N456" t="s">
        <v>79</v>
      </c>
      <c r="O456" t="s">
        <v>74</v>
      </c>
      <c r="P456" t="s">
        <v>74</v>
      </c>
      <c r="Q456" t="s">
        <v>74</v>
      </c>
      <c r="R456" t="s">
        <v>74</v>
      </c>
      <c r="S456" t="s">
        <v>74</v>
      </c>
      <c r="T456" t="s">
        <v>74</v>
      </c>
      <c r="U456" t="s">
        <v>8852</v>
      </c>
      <c r="V456" t="s">
        <v>8853</v>
      </c>
      <c r="W456" t="s">
        <v>8854</v>
      </c>
      <c r="X456" t="s">
        <v>8855</v>
      </c>
      <c r="Y456" t="s">
        <v>8856</v>
      </c>
      <c r="Z456" t="s">
        <v>8857</v>
      </c>
      <c r="AA456" t="s">
        <v>8858</v>
      </c>
      <c r="AB456" t="s">
        <v>8859</v>
      </c>
      <c r="AC456" t="s">
        <v>8860</v>
      </c>
      <c r="AD456" t="s">
        <v>8861</v>
      </c>
      <c r="AE456" t="s">
        <v>8862</v>
      </c>
      <c r="AF456" t="s">
        <v>74</v>
      </c>
      <c r="AG456">
        <v>44</v>
      </c>
      <c r="AH456">
        <v>14</v>
      </c>
      <c r="AI456">
        <v>16</v>
      </c>
      <c r="AJ456">
        <v>1</v>
      </c>
      <c r="AK456">
        <v>85</v>
      </c>
      <c r="AL456" t="s">
        <v>171</v>
      </c>
      <c r="AM456" t="s">
        <v>93</v>
      </c>
      <c r="AN456" t="s">
        <v>94</v>
      </c>
      <c r="AO456" t="s">
        <v>8863</v>
      </c>
      <c r="AP456" t="s">
        <v>8864</v>
      </c>
      <c r="AQ456" t="s">
        <v>74</v>
      </c>
      <c r="AR456" t="s">
        <v>8865</v>
      </c>
      <c r="AS456" t="s">
        <v>8866</v>
      </c>
      <c r="AT456" t="s">
        <v>8489</v>
      </c>
      <c r="AU456">
        <v>2014</v>
      </c>
      <c r="AV456">
        <v>59</v>
      </c>
      <c r="AW456">
        <v>4</v>
      </c>
      <c r="AX456" t="s">
        <v>74</v>
      </c>
      <c r="AY456" t="s">
        <v>74</v>
      </c>
      <c r="AZ456" t="s">
        <v>74</v>
      </c>
      <c r="BA456" t="s">
        <v>74</v>
      </c>
      <c r="BB456">
        <v>1181</v>
      </c>
      <c r="BC456">
        <v>1192</v>
      </c>
      <c r="BD456" t="s">
        <v>74</v>
      </c>
      <c r="BE456" t="s">
        <v>8867</v>
      </c>
      <c r="BF456" t="str">
        <f>HYPERLINK("http://dx.doi.org/10.4319/lo.2014.59.4.1181","http://dx.doi.org/10.4319/lo.2014.59.4.1181")</f>
        <v>http://dx.doi.org/10.4319/lo.2014.59.4.1181</v>
      </c>
      <c r="BG456" t="s">
        <v>74</v>
      </c>
      <c r="BH456" t="s">
        <v>74</v>
      </c>
      <c r="BI456">
        <v>12</v>
      </c>
      <c r="BJ456" t="s">
        <v>8868</v>
      </c>
      <c r="BK456" t="s">
        <v>102</v>
      </c>
      <c r="BL456" t="s">
        <v>2511</v>
      </c>
      <c r="BM456" t="s">
        <v>8869</v>
      </c>
      <c r="BN456" t="s">
        <v>74</v>
      </c>
      <c r="BO456" t="s">
        <v>3920</v>
      </c>
      <c r="BP456" t="s">
        <v>74</v>
      </c>
      <c r="BQ456" t="s">
        <v>74</v>
      </c>
      <c r="BR456" t="s">
        <v>105</v>
      </c>
      <c r="BS456" t="s">
        <v>8870</v>
      </c>
      <c r="BT456" t="str">
        <f>HYPERLINK("https%3A%2F%2Fwww.webofscience.com%2Fwos%2Fwoscc%2Ffull-record%2FWOS:000339942400007","View Full Record in Web of Science")</f>
        <v>View Full Record in Web of Science</v>
      </c>
    </row>
    <row r="457" spans="1:72" x14ac:dyDescent="0.15">
      <c r="A457" t="s">
        <v>72</v>
      </c>
      <c r="B457" t="s">
        <v>8871</v>
      </c>
      <c r="C457" t="s">
        <v>74</v>
      </c>
      <c r="D457" t="s">
        <v>74</v>
      </c>
      <c r="E457" t="s">
        <v>74</v>
      </c>
      <c r="F457" t="s">
        <v>8872</v>
      </c>
      <c r="G457" t="s">
        <v>74</v>
      </c>
      <c r="H457" t="s">
        <v>74</v>
      </c>
      <c r="I457" t="s">
        <v>8873</v>
      </c>
      <c r="J457" t="s">
        <v>8874</v>
      </c>
      <c r="K457" t="s">
        <v>74</v>
      </c>
      <c r="L457" t="s">
        <v>74</v>
      </c>
      <c r="M457" t="s">
        <v>78</v>
      </c>
      <c r="N457" t="s">
        <v>79</v>
      </c>
      <c r="O457" t="s">
        <v>74</v>
      </c>
      <c r="P457" t="s">
        <v>74</v>
      </c>
      <c r="Q457" t="s">
        <v>74</v>
      </c>
      <c r="R457" t="s">
        <v>74</v>
      </c>
      <c r="S457" t="s">
        <v>74</v>
      </c>
      <c r="T457" t="s">
        <v>8875</v>
      </c>
      <c r="U457" t="s">
        <v>8876</v>
      </c>
      <c r="V457" t="s">
        <v>8877</v>
      </c>
      <c r="W457" t="s">
        <v>8878</v>
      </c>
      <c r="X457" t="s">
        <v>8879</v>
      </c>
      <c r="Y457" t="s">
        <v>8880</v>
      </c>
      <c r="Z457" t="s">
        <v>8881</v>
      </c>
      <c r="AA457" t="s">
        <v>8882</v>
      </c>
      <c r="AB457" t="s">
        <v>8883</v>
      </c>
      <c r="AC457" t="s">
        <v>8884</v>
      </c>
      <c r="AD457" t="s">
        <v>8885</v>
      </c>
      <c r="AE457" t="s">
        <v>8886</v>
      </c>
      <c r="AF457" t="s">
        <v>74</v>
      </c>
      <c r="AG457">
        <v>36</v>
      </c>
      <c r="AH457">
        <v>9</v>
      </c>
      <c r="AI457">
        <v>10</v>
      </c>
      <c r="AJ457">
        <v>0</v>
      </c>
      <c r="AK457">
        <v>3</v>
      </c>
      <c r="AL457" t="s">
        <v>2571</v>
      </c>
      <c r="AM457" t="s">
        <v>654</v>
      </c>
      <c r="AN457" t="s">
        <v>2572</v>
      </c>
      <c r="AO457" t="s">
        <v>8887</v>
      </c>
      <c r="AP457" t="s">
        <v>8888</v>
      </c>
      <c r="AQ457" t="s">
        <v>74</v>
      </c>
      <c r="AR457" t="s">
        <v>8889</v>
      </c>
      <c r="AS457" t="s">
        <v>8890</v>
      </c>
      <c r="AT457" t="s">
        <v>8489</v>
      </c>
      <c r="AU457">
        <v>2014</v>
      </c>
      <c r="AV457">
        <v>50</v>
      </c>
      <c r="AW457" t="s">
        <v>74</v>
      </c>
      <c r="AX457" t="s">
        <v>74</v>
      </c>
      <c r="AY457" t="s">
        <v>74</v>
      </c>
      <c r="AZ457" t="s">
        <v>74</v>
      </c>
      <c r="BA457" t="s">
        <v>74</v>
      </c>
      <c r="BB457">
        <v>27</v>
      </c>
      <c r="BC457">
        <v>37</v>
      </c>
      <c r="BD457" t="s">
        <v>74</v>
      </c>
      <c r="BE457" t="s">
        <v>8891</v>
      </c>
      <c r="BF457" t="str">
        <f>HYPERLINK("http://dx.doi.org/10.1016/j.cretres.2014.03.026","http://dx.doi.org/10.1016/j.cretres.2014.03.026")</f>
        <v>http://dx.doi.org/10.1016/j.cretres.2014.03.026</v>
      </c>
      <c r="BG457" t="s">
        <v>74</v>
      </c>
      <c r="BH457" t="s">
        <v>74</v>
      </c>
      <c r="BI457">
        <v>11</v>
      </c>
      <c r="BJ457" t="s">
        <v>8892</v>
      </c>
      <c r="BK457" t="s">
        <v>102</v>
      </c>
      <c r="BL457" t="s">
        <v>8892</v>
      </c>
      <c r="BM457" t="s">
        <v>8893</v>
      </c>
      <c r="BN457" t="s">
        <v>74</v>
      </c>
      <c r="BO457" t="s">
        <v>1274</v>
      </c>
      <c r="BP457" t="s">
        <v>74</v>
      </c>
      <c r="BQ457" t="s">
        <v>74</v>
      </c>
      <c r="BR457" t="s">
        <v>105</v>
      </c>
      <c r="BS457" t="s">
        <v>8894</v>
      </c>
      <c r="BT457" t="str">
        <f>HYPERLINK("https%3A%2F%2Fwww.webofscience.com%2Fwos%2Fwoscc%2Ffull-record%2FWOS:000339534600003","View Full Record in Web of Science")</f>
        <v>View Full Record in Web of Science</v>
      </c>
    </row>
    <row r="458" spans="1:72" x14ac:dyDescent="0.15">
      <c r="A458" t="s">
        <v>72</v>
      </c>
      <c r="B458" t="s">
        <v>8895</v>
      </c>
      <c r="C458" t="s">
        <v>74</v>
      </c>
      <c r="D458" t="s">
        <v>74</v>
      </c>
      <c r="E458" t="s">
        <v>74</v>
      </c>
      <c r="F458" t="s">
        <v>8896</v>
      </c>
      <c r="G458" t="s">
        <v>74</v>
      </c>
      <c r="H458" t="s">
        <v>74</v>
      </c>
      <c r="I458" t="s">
        <v>8897</v>
      </c>
      <c r="J458" t="s">
        <v>8874</v>
      </c>
      <c r="K458" t="s">
        <v>74</v>
      </c>
      <c r="L458" t="s">
        <v>74</v>
      </c>
      <c r="M458" t="s">
        <v>78</v>
      </c>
      <c r="N458" t="s">
        <v>79</v>
      </c>
      <c r="O458" t="s">
        <v>74</v>
      </c>
      <c r="P458" t="s">
        <v>74</v>
      </c>
      <c r="Q458" t="s">
        <v>74</v>
      </c>
      <c r="R458" t="s">
        <v>74</v>
      </c>
      <c r="S458" t="s">
        <v>74</v>
      </c>
      <c r="T458" t="s">
        <v>8898</v>
      </c>
      <c r="U458" t="s">
        <v>8899</v>
      </c>
      <c r="V458" t="s">
        <v>8900</v>
      </c>
      <c r="W458" t="s">
        <v>8901</v>
      </c>
      <c r="X458" t="s">
        <v>8902</v>
      </c>
      <c r="Y458" t="s">
        <v>8903</v>
      </c>
      <c r="Z458" t="s">
        <v>8904</v>
      </c>
      <c r="AA458" t="s">
        <v>8905</v>
      </c>
      <c r="AB458" t="s">
        <v>74</v>
      </c>
      <c r="AC458" t="s">
        <v>8906</v>
      </c>
      <c r="AD458" t="s">
        <v>8907</v>
      </c>
      <c r="AE458" t="s">
        <v>8908</v>
      </c>
      <c r="AF458" t="s">
        <v>74</v>
      </c>
      <c r="AG458">
        <v>68</v>
      </c>
      <c r="AH458">
        <v>9</v>
      </c>
      <c r="AI458">
        <v>11</v>
      </c>
      <c r="AJ458">
        <v>0</v>
      </c>
      <c r="AK458">
        <v>10</v>
      </c>
      <c r="AL458" t="s">
        <v>2571</v>
      </c>
      <c r="AM458" t="s">
        <v>654</v>
      </c>
      <c r="AN458" t="s">
        <v>2572</v>
      </c>
      <c r="AO458" t="s">
        <v>8887</v>
      </c>
      <c r="AP458" t="s">
        <v>8888</v>
      </c>
      <c r="AQ458" t="s">
        <v>74</v>
      </c>
      <c r="AR458" t="s">
        <v>8889</v>
      </c>
      <c r="AS458" t="s">
        <v>8890</v>
      </c>
      <c r="AT458" t="s">
        <v>8489</v>
      </c>
      <c r="AU458">
        <v>2014</v>
      </c>
      <c r="AV458">
        <v>50</v>
      </c>
      <c r="AW458" t="s">
        <v>74</v>
      </c>
      <c r="AX458" t="s">
        <v>74</v>
      </c>
      <c r="AY458" t="s">
        <v>74</v>
      </c>
      <c r="AZ458" t="s">
        <v>74</v>
      </c>
      <c r="BA458" t="s">
        <v>74</v>
      </c>
      <c r="BB458">
        <v>228</v>
      </c>
      <c r="BC458">
        <v>237</v>
      </c>
      <c r="BD458" t="s">
        <v>74</v>
      </c>
      <c r="BE458" t="s">
        <v>8909</v>
      </c>
      <c r="BF458" t="str">
        <f>HYPERLINK("http://dx.doi.org/10.1016/j.cretres.2014.03.011","http://dx.doi.org/10.1016/j.cretres.2014.03.011")</f>
        <v>http://dx.doi.org/10.1016/j.cretres.2014.03.011</v>
      </c>
      <c r="BG458" t="s">
        <v>74</v>
      </c>
      <c r="BH458" t="s">
        <v>74</v>
      </c>
      <c r="BI458">
        <v>10</v>
      </c>
      <c r="BJ458" t="s">
        <v>8892</v>
      </c>
      <c r="BK458" t="s">
        <v>102</v>
      </c>
      <c r="BL458" t="s">
        <v>8892</v>
      </c>
      <c r="BM458" t="s">
        <v>8893</v>
      </c>
      <c r="BN458" t="s">
        <v>74</v>
      </c>
      <c r="BO458" t="s">
        <v>1274</v>
      </c>
      <c r="BP458" t="s">
        <v>74</v>
      </c>
      <c r="BQ458" t="s">
        <v>74</v>
      </c>
      <c r="BR458" t="s">
        <v>105</v>
      </c>
      <c r="BS458" t="s">
        <v>8910</v>
      </c>
      <c r="BT458" t="str">
        <f>HYPERLINK("https%3A%2F%2Fwww.webofscience.com%2Fwos%2Fwoscc%2Ffull-record%2FWOS:000339534600017","View Full Record in Web of Science")</f>
        <v>View Full Record in Web of Science</v>
      </c>
    </row>
    <row r="459" spans="1:72" x14ac:dyDescent="0.15">
      <c r="A459" t="s">
        <v>72</v>
      </c>
      <c r="B459" t="s">
        <v>8911</v>
      </c>
      <c r="C459" t="s">
        <v>74</v>
      </c>
      <c r="D459" t="s">
        <v>74</v>
      </c>
      <c r="E459" t="s">
        <v>74</v>
      </c>
      <c r="F459" t="s">
        <v>8912</v>
      </c>
      <c r="G459" t="s">
        <v>74</v>
      </c>
      <c r="H459" t="s">
        <v>74</v>
      </c>
      <c r="I459" t="s">
        <v>8913</v>
      </c>
      <c r="J459" t="s">
        <v>8874</v>
      </c>
      <c r="K459" t="s">
        <v>74</v>
      </c>
      <c r="L459" t="s">
        <v>74</v>
      </c>
      <c r="M459" t="s">
        <v>78</v>
      </c>
      <c r="N459" t="s">
        <v>79</v>
      </c>
      <c r="O459" t="s">
        <v>74</v>
      </c>
      <c r="P459" t="s">
        <v>74</v>
      </c>
      <c r="Q459" t="s">
        <v>74</v>
      </c>
      <c r="R459" t="s">
        <v>74</v>
      </c>
      <c r="S459" t="s">
        <v>74</v>
      </c>
      <c r="T459" t="s">
        <v>8914</v>
      </c>
      <c r="U459" t="s">
        <v>8915</v>
      </c>
      <c r="V459" t="s">
        <v>8916</v>
      </c>
      <c r="W459" t="s">
        <v>8917</v>
      </c>
      <c r="X459" t="s">
        <v>8918</v>
      </c>
      <c r="Y459" t="s">
        <v>8919</v>
      </c>
      <c r="Z459" t="s">
        <v>4347</v>
      </c>
      <c r="AA459" t="s">
        <v>8920</v>
      </c>
      <c r="AB459" t="s">
        <v>8921</v>
      </c>
      <c r="AC459" t="s">
        <v>8922</v>
      </c>
      <c r="AD459" t="s">
        <v>8918</v>
      </c>
      <c r="AE459" t="s">
        <v>8923</v>
      </c>
      <c r="AF459" t="s">
        <v>74</v>
      </c>
      <c r="AG459">
        <v>53</v>
      </c>
      <c r="AH459">
        <v>15</v>
      </c>
      <c r="AI459">
        <v>19</v>
      </c>
      <c r="AJ459">
        <v>0</v>
      </c>
      <c r="AK459">
        <v>0</v>
      </c>
      <c r="AL459" t="s">
        <v>2571</v>
      </c>
      <c r="AM459" t="s">
        <v>654</v>
      </c>
      <c r="AN459" t="s">
        <v>2572</v>
      </c>
      <c r="AO459" t="s">
        <v>8887</v>
      </c>
      <c r="AP459" t="s">
        <v>8888</v>
      </c>
      <c r="AQ459" t="s">
        <v>74</v>
      </c>
      <c r="AR459" t="s">
        <v>8889</v>
      </c>
      <c r="AS459" t="s">
        <v>8890</v>
      </c>
      <c r="AT459" t="s">
        <v>8489</v>
      </c>
      <c r="AU459">
        <v>2014</v>
      </c>
      <c r="AV459">
        <v>50</v>
      </c>
      <c r="AW459" t="s">
        <v>74</v>
      </c>
      <c r="AX459" t="s">
        <v>74</v>
      </c>
      <c r="AY459" t="s">
        <v>74</v>
      </c>
      <c r="AZ459" t="s">
        <v>74</v>
      </c>
      <c r="BA459" t="s">
        <v>74</v>
      </c>
      <c r="BB459">
        <v>318</v>
      </c>
      <c r="BC459">
        <v>331</v>
      </c>
      <c r="BD459" t="s">
        <v>74</v>
      </c>
      <c r="BE459" t="s">
        <v>8924</v>
      </c>
      <c r="BF459" t="str">
        <f>HYPERLINK("http://dx.doi.org/10.1016/j.cretres.2014.05.008","http://dx.doi.org/10.1016/j.cretres.2014.05.008")</f>
        <v>http://dx.doi.org/10.1016/j.cretres.2014.05.008</v>
      </c>
      <c r="BG459" t="s">
        <v>74</v>
      </c>
      <c r="BH459" t="s">
        <v>74</v>
      </c>
      <c r="BI459">
        <v>14</v>
      </c>
      <c r="BJ459" t="s">
        <v>8892</v>
      </c>
      <c r="BK459" t="s">
        <v>102</v>
      </c>
      <c r="BL459" t="s">
        <v>8892</v>
      </c>
      <c r="BM459" t="s">
        <v>8893</v>
      </c>
      <c r="BN459" t="s">
        <v>74</v>
      </c>
      <c r="BO459" t="s">
        <v>74</v>
      </c>
      <c r="BP459" t="s">
        <v>74</v>
      </c>
      <c r="BQ459" t="s">
        <v>74</v>
      </c>
      <c r="BR459" t="s">
        <v>105</v>
      </c>
      <c r="BS459" t="s">
        <v>8925</v>
      </c>
      <c r="BT459" t="str">
        <f>HYPERLINK("https%3A%2F%2Fwww.webofscience.com%2Fwos%2Fwoscc%2Ffull-record%2FWOS:000339534600024","View Full Record in Web of Science")</f>
        <v>View Full Record in Web of Science</v>
      </c>
    </row>
    <row r="460" spans="1:72" x14ac:dyDescent="0.15">
      <c r="A460" t="s">
        <v>72</v>
      </c>
      <c r="B460" t="s">
        <v>8926</v>
      </c>
      <c r="C460" t="s">
        <v>74</v>
      </c>
      <c r="D460" t="s">
        <v>74</v>
      </c>
      <c r="E460" t="s">
        <v>74</v>
      </c>
      <c r="F460" t="s">
        <v>8927</v>
      </c>
      <c r="G460" t="s">
        <v>74</v>
      </c>
      <c r="H460" t="s">
        <v>74</v>
      </c>
      <c r="I460" t="s">
        <v>8928</v>
      </c>
      <c r="J460" t="s">
        <v>3519</v>
      </c>
      <c r="K460" t="s">
        <v>74</v>
      </c>
      <c r="L460" t="s">
        <v>74</v>
      </c>
      <c r="M460" t="s">
        <v>78</v>
      </c>
      <c r="N460" t="s">
        <v>79</v>
      </c>
      <c r="O460" t="s">
        <v>74</v>
      </c>
      <c r="P460" t="s">
        <v>74</v>
      </c>
      <c r="Q460" t="s">
        <v>74</v>
      </c>
      <c r="R460" t="s">
        <v>74</v>
      </c>
      <c r="S460" t="s">
        <v>74</v>
      </c>
      <c r="T460" t="s">
        <v>8929</v>
      </c>
      <c r="U460" t="s">
        <v>8930</v>
      </c>
      <c r="V460" t="s">
        <v>8931</v>
      </c>
      <c r="W460" t="s">
        <v>8932</v>
      </c>
      <c r="X460" t="s">
        <v>2873</v>
      </c>
      <c r="Y460" t="s">
        <v>8933</v>
      </c>
      <c r="Z460" t="s">
        <v>8934</v>
      </c>
      <c r="AA460" t="s">
        <v>74</v>
      </c>
      <c r="AB460" t="s">
        <v>8935</v>
      </c>
      <c r="AC460" t="s">
        <v>8936</v>
      </c>
      <c r="AD460" t="s">
        <v>8937</v>
      </c>
      <c r="AE460" t="s">
        <v>8938</v>
      </c>
      <c r="AF460" t="s">
        <v>74</v>
      </c>
      <c r="AG460">
        <v>63</v>
      </c>
      <c r="AH460">
        <v>13</v>
      </c>
      <c r="AI460">
        <v>13</v>
      </c>
      <c r="AJ460">
        <v>0</v>
      </c>
      <c r="AK460">
        <v>16</v>
      </c>
      <c r="AL460" t="s">
        <v>418</v>
      </c>
      <c r="AM460" t="s">
        <v>251</v>
      </c>
      <c r="AN460" t="s">
        <v>419</v>
      </c>
      <c r="AO460" t="s">
        <v>3532</v>
      </c>
      <c r="AP460" t="s">
        <v>3533</v>
      </c>
      <c r="AQ460" t="s">
        <v>74</v>
      </c>
      <c r="AR460" t="s">
        <v>3534</v>
      </c>
      <c r="AS460" t="s">
        <v>3535</v>
      </c>
      <c r="AT460" t="s">
        <v>8489</v>
      </c>
      <c r="AU460">
        <v>2014</v>
      </c>
      <c r="AV460">
        <v>198</v>
      </c>
      <c r="AW460">
        <v>1</v>
      </c>
      <c r="AX460" t="s">
        <v>74</v>
      </c>
      <c r="AY460" t="s">
        <v>74</v>
      </c>
      <c r="AZ460" t="s">
        <v>74</v>
      </c>
      <c r="BA460" t="s">
        <v>74</v>
      </c>
      <c r="BB460">
        <v>327</v>
      </c>
      <c r="BC460">
        <v>341</v>
      </c>
      <c r="BD460" t="s">
        <v>74</v>
      </c>
      <c r="BE460" t="s">
        <v>8939</v>
      </c>
      <c r="BF460" t="str">
        <f>HYPERLINK("http://dx.doi.org/10.1093/gji/ggu118","http://dx.doi.org/10.1093/gji/ggu118")</f>
        <v>http://dx.doi.org/10.1093/gji/ggu118</v>
      </c>
      <c r="BG460" t="s">
        <v>74</v>
      </c>
      <c r="BH460" t="s">
        <v>74</v>
      </c>
      <c r="BI460">
        <v>15</v>
      </c>
      <c r="BJ460" t="s">
        <v>425</v>
      </c>
      <c r="BK460" t="s">
        <v>102</v>
      </c>
      <c r="BL460" t="s">
        <v>425</v>
      </c>
      <c r="BM460" t="s">
        <v>8940</v>
      </c>
      <c r="BN460" t="s">
        <v>74</v>
      </c>
      <c r="BO460" t="s">
        <v>262</v>
      </c>
      <c r="BP460" t="s">
        <v>74</v>
      </c>
      <c r="BQ460" t="s">
        <v>74</v>
      </c>
      <c r="BR460" t="s">
        <v>105</v>
      </c>
      <c r="BS460" t="s">
        <v>8941</v>
      </c>
      <c r="BT460" t="str">
        <f>HYPERLINK("https%3A%2F%2Fwww.webofscience.com%2Fwos%2Fwoscc%2Ffull-record%2FWOS:000339717200024","View Full Record in Web of Science")</f>
        <v>View Full Record in Web of Science</v>
      </c>
    </row>
    <row r="461" spans="1:72" x14ac:dyDescent="0.15">
      <c r="A461" t="s">
        <v>72</v>
      </c>
      <c r="B461" t="s">
        <v>8942</v>
      </c>
      <c r="C461" t="s">
        <v>74</v>
      </c>
      <c r="D461" t="s">
        <v>74</v>
      </c>
      <c r="E461" t="s">
        <v>74</v>
      </c>
      <c r="F461" t="s">
        <v>8943</v>
      </c>
      <c r="G461" t="s">
        <v>74</v>
      </c>
      <c r="H461" t="s">
        <v>74</v>
      </c>
      <c r="I461" t="s">
        <v>8944</v>
      </c>
      <c r="J461" t="s">
        <v>3519</v>
      </c>
      <c r="K461" t="s">
        <v>74</v>
      </c>
      <c r="L461" t="s">
        <v>74</v>
      </c>
      <c r="M461" t="s">
        <v>78</v>
      </c>
      <c r="N461" t="s">
        <v>79</v>
      </c>
      <c r="O461" t="s">
        <v>74</v>
      </c>
      <c r="P461" t="s">
        <v>74</v>
      </c>
      <c r="Q461" t="s">
        <v>74</v>
      </c>
      <c r="R461" t="s">
        <v>74</v>
      </c>
      <c r="S461" t="s">
        <v>74</v>
      </c>
      <c r="T461" t="s">
        <v>8945</v>
      </c>
      <c r="U461" t="s">
        <v>8946</v>
      </c>
      <c r="V461" t="s">
        <v>8947</v>
      </c>
      <c r="W461" t="s">
        <v>8948</v>
      </c>
      <c r="X461" t="s">
        <v>8949</v>
      </c>
      <c r="Y461" t="s">
        <v>8950</v>
      </c>
      <c r="Z461" t="s">
        <v>8951</v>
      </c>
      <c r="AA461" t="s">
        <v>8952</v>
      </c>
      <c r="AB461" t="s">
        <v>8953</v>
      </c>
      <c r="AC461" t="s">
        <v>8954</v>
      </c>
      <c r="AD461" t="s">
        <v>8955</v>
      </c>
      <c r="AE461" t="s">
        <v>8956</v>
      </c>
      <c r="AF461" t="s">
        <v>74</v>
      </c>
      <c r="AG461">
        <v>133</v>
      </c>
      <c r="AH461">
        <v>23</v>
      </c>
      <c r="AI461">
        <v>29</v>
      </c>
      <c r="AJ461">
        <v>0</v>
      </c>
      <c r="AK461">
        <v>19</v>
      </c>
      <c r="AL461" t="s">
        <v>418</v>
      </c>
      <c r="AM461" t="s">
        <v>251</v>
      </c>
      <c r="AN461" t="s">
        <v>419</v>
      </c>
      <c r="AO461" t="s">
        <v>3532</v>
      </c>
      <c r="AP461" t="s">
        <v>3533</v>
      </c>
      <c r="AQ461" t="s">
        <v>74</v>
      </c>
      <c r="AR461" t="s">
        <v>3534</v>
      </c>
      <c r="AS461" t="s">
        <v>3535</v>
      </c>
      <c r="AT461" t="s">
        <v>8489</v>
      </c>
      <c r="AU461">
        <v>2014</v>
      </c>
      <c r="AV461">
        <v>198</v>
      </c>
      <c r="AW461">
        <v>1</v>
      </c>
      <c r="AX461" t="s">
        <v>74</v>
      </c>
      <c r="AY461" t="s">
        <v>74</v>
      </c>
      <c r="AZ461" t="s">
        <v>74</v>
      </c>
      <c r="BA461" t="s">
        <v>74</v>
      </c>
      <c r="BB461">
        <v>414</v>
      </c>
      <c r="BC461">
        <v>429</v>
      </c>
      <c r="BD461" t="s">
        <v>74</v>
      </c>
      <c r="BE461" t="s">
        <v>8957</v>
      </c>
      <c r="BF461" t="str">
        <f>HYPERLINK("http://dx.doi.org/10.1093/gji/ggu117","http://dx.doi.org/10.1093/gji/ggu117")</f>
        <v>http://dx.doi.org/10.1093/gji/ggu117</v>
      </c>
      <c r="BG461" t="s">
        <v>74</v>
      </c>
      <c r="BH461" t="s">
        <v>74</v>
      </c>
      <c r="BI461">
        <v>16</v>
      </c>
      <c r="BJ461" t="s">
        <v>425</v>
      </c>
      <c r="BK461" t="s">
        <v>102</v>
      </c>
      <c r="BL461" t="s">
        <v>425</v>
      </c>
      <c r="BM461" t="s">
        <v>8940</v>
      </c>
      <c r="BN461" t="s">
        <v>74</v>
      </c>
      <c r="BO461" t="s">
        <v>427</v>
      </c>
      <c r="BP461" t="s">
        <v>74</v>
      </c>
      <c r="BQ461" t="s">
        <v>74</v>
      </c>
      <c r="BR461" t="s">
        <v>105</v>
      </c>
      <c r="BS461" t="s">
        <v>8958</v>
      </c>
      <c r="BT461" t="str">
        <f>HYPERLINK("https%3A%2F%2Fwww.webofscience.com%2Fwos%2Fwoscc%2Ffull-record%2FWOS:000339717200029","View Full Record in Web of Science")</f>
        <v>View Full Record in Web of Science</v>
      </c>
    </row>
    <row r="462" spans="1:72" x14ac:dyDescent="0.15">
      <c r="A462" t="s">
        <v>72</v>
      </c>
      <c r="B462" t="s">
        <v>8959</v>
      </c>
      <c r="C462" t="s">
        <v>74</v>
      </c>
      <c r="D462" t="s">
        <v>74</v>
      </c>
      <c r="E462" t="s">
        <v>74</v>
      </c>
      <c r="F462" t="s">
        <v>8960</v>
      </c>
      <c r="G462" t="s">
        <v>74</v>
      </c>
      <c r="H462" t="s">
        <v>74</v>
      </c>
      <c r="I462" t="s">
        <v>8961</v>
      </c>
      <c r="J462" t="s">
        <v>3519</v>
      </c>
      <c r="K462" t="s">
        <v>74</v>
      </c>
      <c r="L462" t="s">
        <v>74</v>
      </c>
      <c r="M462" t="s">
        <v>78</v>
      </c>
      <c r="N462" t="s">
        <v>79</v>
      </c>
      <c r="O462" t="s">
        <v>74</v>
      </c>
      <c r="P462" t="s">
        <v>74</v>
      </c>
      <c r="Q462" t="s">
        <v>74</v>
      </c>
      <c r="R462" t="s">
        <v>74</v>
      </c>
      <c r="S462" t="s">
        <v>74</v>
      </c>
      <c r="T462" t="s">
        <v>8962</v>
      </c>
      <c r="U462" t="s">
        <v>8963</v>
      </c>
      <c r="V462" t="s">
        <v>8964</v>
      </c>
      <c r="W462" t="s">
        <v>8965</v>
      </c>
      <c r="X462" t="s">
        <v>8966</v>
      </c>
      <c r="Y462" t="s">
        <v>8967</v>
      </c>
      <c r="Z462" t="s">
        <v>8968</v>
      </c>
      <c r="AA462" t="s">
        <v>8969</v>
      </c>
      <c r="AB462" t="s">
        <v>74</v>
      </c>
      <c r="AC462" t="s">
        <v>8970</v>
      </c>
      <c r="AD462" t="s">
        <v>8971</v>
      </c>
      <c r="AE462" t="s">
        <v>8972</v>
      </c>
      <c r="AF462" t="s">
        <v>74</v>
      </c>
      <c r="AG462">
        <v>92</v>
      </c>
      <c r="AH462">
        <v>341</v>
      </c>
      <c r="AI462">
        <v>372</v>
      </c>
      <c r="AJ462">
        <v>7</v>
      </c>
      <c r="AK462">
        <v>94</v>
      </c>
      <c r="AL462" t="s">
        <v>418</v>
      </c>
      <c r="AM462" t="s">
        <v>251</v>
      </c>
      <c r="AN462" t="s">
        <v>419</v>
      </c>
      <c r="AO462" t="s">
        <v>3532</v>
      </c>
      <c r="AP462" t="s">
        <v>3533</v>
      </c>
      <c r="AQ462" t="s">
        <v>74</v>
      </c>
      <c r="AR462" t="s">
        <v>3534</v>
      </c>
      <c r="AS462" t="s">
        <v>3535</v>
      </c>
      <c r="AT462" t="s">
        <v>8489</v>
      </c>
      <c r="AU462">
        <v>2014</v>
      </c>
      <c r="AV462">
        <v>198</v>
      </c>
      <c r="AW462">
        <v>1</v>
      </c>
      <c r="AX462" t="s">
        <v>74</v>
      </c>
      <c r="AY462" t="s">
        <v>74</v>
      </c>
      <c r="AZ462" t="s">
        <v>74</v>
      </c>
      <c r="BA462" t="s">
        <v>74</v>
      </c>
      <c r="BB462">
        <v>537</v>
      </c>
      <c r="BC462">
        <v>563</v>
      </c>
      <c r="BD462" t="s">
        <v>74</v>
      </c>
      <c r="BE462" t="s">
        <v>8973</v>
      </c>
      <c r="BF462" t="str">
        <f>HYPERLINK("http://dx.doi.org/10.1093/gji/ggu140","http://dx.doi.org/10.1093/gji/ggu140")</f>
        <v>http://dx.doi.org/10.1093/gji/ggu140</v>
      </c>
      <c r="BG462" t="s">
        <v>74</v>
      </c>
      <c r="BH462" t="s">
        <v>74</v>
      </c>
      <c r="BI462">
        <v>27</v>
      </c>
      <c r="BJ462" t="s">
        <v>425</v>
      </c>
      <c r="BK462" t="s">
        <v>102</v>
      </c>
      <c r="BL462" t="s">
        <v>425</v>
      </c>
      <c r="BM462" t="s">
        <v>8940</v>
      </c>
      <c r="BN462" t="s">
        <v>74</v>
      </c>
      <c r="BO462" t="s">
        <v>179</v>
      </c>
      <c r="BP462" t="s">
        <v>3371</v>
      </c>
      <c r="BQ462" t="s">
        <v>3372</v>
      </c>
      <c r="BR462" t="s">
        <v>105</v>
      </c>
      <c r="BS462" t="s">
        <v>8974</v>
      </c>
      <c r="BT462" t="str">
        <f>HYPERLINK("https%3A%2F%2Fwww.webofscience.com%2Fwos%2Fwoscc%2Ffull-record%2FWOS:000339717200038","View Full Record in Web of Science")</f>
        <v>View Full Record in Web of Science</v>
      </c>
    </row>
    <row r="463" spans="1:72" x14ac:dyDescent="0.15">
      <c r="A463" t="s">
        <v>72</v>
      </c>
      <c r="B463" t="s">
        <v>8975</v>
      </c>
      <c r="C463" t="s">
        <v>74</v>
      </c>
      <c r="D463" t="s">
        <v>74</v>
      </c>
      <c r="E463" t="s">
        <v>74</v>
      </c>
      <c r="F463" t="s">
        <v>8976</v>
      </c>
      <c r="G463" t="s">
        <v>74</v>
      </c>
      <c r="H463" t="s">
        <v>74</v>
      </c>
      <c r="I463" t="s">
        <v>8977</v>
      </c>
      <c r="J463" t="s">
        <v>8978</v>
      </c>
      <c r="K463" t="s">
        <v>74</v>
      </c>
      <c r="L463" t="s">
        <v>74</v>
      </c>
      <c r="M463" t="s">
        <v>78</v>
      </c>
      <c r="N463" t="s">
        <v>79</v>
      </c>
      <c r="O463" t="s">
        <v>74</v>
      </c>
      <c r="P463" t="s">
        <v>74</v>
      </c>
      <c r="Q463" t="s">
        <v>74</v>
      </c>
      <c r="R463" t="s">
        <v>74</v>
      </c>
      <c r="S463" t="s">
        <v>74</v>
      </c>
      <c r="T463" t="s">
        <v>74</v>
      </c>
      <c r="U463" t="s">
        <v>74</v>
      </c>
      <c r="V463" t="s">
        <v>8979</v>
      </c>
      <c r="W463" t="s">
        <v>8980</v>
      </c>
      <c r="X463" t="s">
        <v>8981</v>
      </c>
      <c r="Y463" t="s">
        <v>8982</v>
      </c>
      <c r="Z463" t="s">
        <v>8983</v>
      </c>
      <c r="AA463" t="s">
        <v>74</v>
      </c>
      <c r="AB463" t="s">
        <v>8984</v>
      </c>
      <c r="AC463" t="s">
        <v>74</v>
      </c>
      <c r="AD463" t="s">
        <v>74</v>
      </c>
      <c r="AE463" t="s">
        <v>74</v>
      </c>
      <c r="AF463" t="s">
        <v>74</v>
      </c>
      <c r="AG463">
        <v>21</v>
      </c>
      <c r="AH463">
        <v>5</v>
      </c>
      <c r="AI463">
        <v>5</v>
      </c>
      <c r="AJ463">
        <v>1</v>
      </c>
      <c r="AK463">
        <v>43</v>
      </c>
      <c r="AL463" t="s">
        <v>418</v>
      </c>
      <c r="AM463" t="s">
        <v>251</v>
      </c>
      <c r="AN463" t="s">
        <v>419</v>
      </c>
      <c r="AO463" t="s">
        <v>8985</v>
      </c>
      <c r="AP463" t="s">
        <v>8986</v>
      </c>
      <c r="AQ463" t="s">
        <v>74</v>
      </c>
      <c r="AR463" t="s">
        <v>8987</v>
      </c>
      <c r="AS463" t="s">
        <v>8988</v>
      </c>
      <c r="AT463" t="s">
        <v>8489</v>
      </c>
      <c r="AU463">
        <v>2014</v>
      </c>
      <c r="AV463">
        <v>26</v>
      </c>
      <c r="AW463">
        <v>2</v>
      </c>
      <c r="AX463" t="s">
        <v>74</v>
      </c>
      <c r="AY463" t="s">
        <v>74</v>
      </c>
      <c r="AZ463" t="s">
        <v>74</v>
      </c>
      <c r="BA463" t="s">
        <v>74</v>
      </c>
      <c r="BB463">
        <v>331</v>
      </c>
      <c r="BC463">
        <v>340</v>
      </c>
      <c r="BD463" t="s">
        <v>74</v>
      </c>
      <c r="BE463" t="s">
        <v>8989</v>
      </c>
      <c r="BF463" t="str">
        <f>HYPERLINK("http://dx.doi.org/10.1093/jel/equ018","http://dx.doi.org/10.1093/jel/equ018")</f>
        <v>http://dx.doi.org/10.1093/jel/equ018</v>
      </c>
      <c r="BG463" t="s">
        <v>74</v>
      </c>
      <c r="BH463" t="s">
        <v>74</v>
      </c>
      <c r="BI463">
        <v>10</v>
      </c>
      <c r="BJ463" t="s">
        <v>8990</v>
      </c>
      <c r="BK463" t="s">
        <v>2238</v>
      </c>
      <c r="BL463" t="s">
        <v>8991</v>
      </c>
      <c r="BM463" t="s">
        <v>8992</v>
      </c>
      <c r="BN463" t="s">
        <v>74</v>
      </c>
      <c r="BO463" t="s">
        <v>1274</v>
      </c>
      <c r="BP463" t="s">
        <v>74</v>
      </c>
      <c r="BQ463" t="s">
        <v>74</v>
      </c>
      <c r="BR463" t="s">
        <v>105</v>
      </c>
      <c r="BS463" t="s">
        <v>8993</v>
      </c>
      <c r="BT463" t="str">
        <f>HYPERLINK("https%3A%2F%2Fwww.webofscience.com%2Fwos%2Fwoscc%2Ffull-record%2FWOS:000339666500008","View Full Record in Web of Science")</f>
        <v>View Full Record in Web of Science</v>
      </c>
    </row>
    <row r="464" spans="1:72" x14ac:dyDescent="0.15">
      <c r="A464" t="s">
        <v>72</v>
      </c>
      <c r="B464" t="s">
        <v>8994</v>
      </c>
      <c r="C464" t="s">
        <v>74</v>
      </c>
      <c r="D464" t="s">
        <v>74</v>
      </c>
      <c r="E464" t="s">
        <v>74</v>
      </c>
      <c r="F464" t="s">
        <v>8995</v>
      </c>
      <c r="G464" t="s">
        <v>74</v>
      </c>
      <c r="H464" t="s">
        <v>74</v>
      </c>
      <c r="I464" t="s">
        <v>8996</v>
      </c>
      <c r="J464" t="s">
        <v>8997</v>
      </c>
      <c r="K464" t="s">
        <v>74</v>
      </c>
      <c r="L464" t="s">
        <v>74</v>
      </c>
      <c r="M464" t="s">
        <v>78</v>
      </c>
      <c r="N464" t="s">
        <v>79</v>
      </c>
      <c r="O464" t="s">
        <v>74</v>
      </c>
      <c r="P464" t="s">
        <v>74</v>
      </c>
      <c r="Q464" t="s">
        <v>74</v>
      </c>
      <c r="R464" t="s">
        <v>74</v>
      </c>
      <c r="S464" t="s">
        <v>74</v>
      </c>
      <c r="T464" t="s">
        <v>74</v>
      </c>
      <c r="U464" t="s">
        <v>8998</v>
      </c>
      <c r="V464" t="s">
        <v>8999</v>
      </c>
      <c r="W464" t="s">
        <v>9000</v>
      </c>
      <c r="X464" t="s">
        <v>9001</v>
      </c>
      <c r="Y464" t="s">
        <v>9002</v>
      </c>
      <c r="Z464" t="s">
        <v>9003</v>
      </c>
      <c r="AA464" t="s">
        <v>74</v>
      </c>
      <c r="AB464" t="s">
        <v>74</v>
      </c>
      <c r="AC464" t="s">
        <v>9004</v>
      </c>
      <c r="AD464" t="s">
        <v>9005</v>
      </c>
      <c r="AE464" t="s">
        <v>9006</v>
      </c>
      <c r="AF464" t="s">
        <v>74</v>
      </c>
      <c r="AG464">
        <v>138</v>
      </c>
      <c r="AH464">
        <v>6</v>
      </c>
      <c r="AI464">
        <v>7</v>
      </c>
      <c r="AJ464">
        <v>0</v>
      </c>
      <c r="AK464">
        <v>24</v>
      </c>
      <c r="AL464" t="s">
        <v>9007</v>
      </c>
      <c r="AM464" t="s">
        <v>8271</v>
      </c>
      <c r="AN464" t="s">
        <v>9008</v>
      </c>
      <c r="AO464" t="s">
        <v>9009</v>
      </c>
      <c r="AP464" t="s">
        <v>74</v>
      </c>
      <c r="AQ464" t="s">
        <v>74</v>
      </c>
      <c r="AR464" t="s">
        <v>9010</v>
      </c>
      <c r="AS464" t="s">
        <v>9011</v>
      </c>
      <c r="AT464" t="s">
        <v>8489</v>
      </c>
      <c r="AU464">
        <v>2014</v>
      </c>
      <c r="AV464">
        <v>44</v>
      </c>
      <c r="AW464">
        <v>3</v>
      </c>
      <c r="AX464" t="s">
        <v>74</v>
      </c>
      <c r="AY464" t="s">
        <v>74</v>
      </c>
      <c r="AZ464" t="s">
        <v>74</v>
      </c>
      <c r="BA464" t="s">
        <v>74</v>
      </c>
      <c r="BB464">
        <v>255</v>
      </c>
      <c r="BC464">
        <v>280</v>
      </c>
      <c r="BD464" t="s">
        <v>74</v>
      </c>
      <c r="BE464" t="s">
        <v>9012</v>
      </c>
      <c r="BF464" t="str">
        <f>HYPERLINK("http://dx.doi.org/10.2113/gsjfr.44.3.255","http://dx.doi.org/10.2113/gsjfr.44.3.255")</f>
        <v>http://dx.doi.org/10.2113/gsjfr.44.3.255</v>
      </c>
      <c r="BG464" t="s">
        <v>74</v>
      </c>
      <c r="BH464" t="s">
        <v>74</v>
      </c>
      <c r="BI464">
        <v>26</v>
      </c>
      <c r="BJ464" t="s">
        <v>2604</v>
      </c>
      <c r="BK464" t="s">
        <v>102</v>
      </c>
      <c r="BL464" t="s">
        <v>2604</v>
      </c>
      <c r="BM464" t="s">
        <v>9013</v>
      </c>
      <c r="BN464" t="s">
        <v>74</v>
      </c>
      <c r="BO464" t="s">
        <v>74</v>
      </c>
      <c r="BP464" t="s">
        <v>74</v>
      </c>
      <c r="BQ464" t="s">
        <v>74</v>
      </c>
      <c r="BR464" t="s">
        <v>105</v>
      </c>
      <c r="BS464" t="s">
        <v>9014</v>
      </c>
      <c r="BT464" t="str">
        <f>HYPERLINK("https%3A%2F%2Fwww.webofscience.com%2Fwos%2Fwoscc%2Ffull-record%2FWOS:000339932700003","View Full Record in Web of Science")</f>
        <v>View Full Record in Web of Science</v>
      </c>
    </row>
    <row r="465" spans="1:72" x14ac:dyDescent="0.15">
      <c r="A465" t="s">
        <v>72</v>
      </c>
      <c r="B465" t="s">
        <v>9015</v>
      </c>
      <c r="C465" t="s">
        <v>74</v>
      </c>
      <c r="D465" t="s">
        <v>74</v>
      </c>
      <c r="E465" t="s">
        <v>74</v>
      </c>
      <c r="F465" t="s">
        <v>9016</v>
      </c>
      <c r="G465" t="s">
        <v>74</v>
      </c>
      <c r="H465" t="s">
        <v>74</v>
      </c>
      <c r="I465" t="s">
        <v>9017</v>
      </c>
      <c r="J465" t="s">
        <v>2494</v>
      </c>
      <c r="K465" t="s">
        <v>74</v>
      </c>
      <c r="L465" t="s">
        <v>74</v>
      </c>
      <c r="M465" t="s">
        <v>78</v>
      </c>
      <c r="N465" t="s">
        <v>79</v>
      </c>
      <c r="O465" t="s">
        <v>74</v>
      </c>
      <c r="P465" t="s">
        <v>74</v>
      </c>
      <c r="Q465" t="s">
        <v>74</v>
      </c>
      <c r="R465" t="s">
        <v>74</v>
      </c>
      <c r="S465" t="s">
        <v>74</v>
      </c>
      <c r="T465" t="s">
        <v>9018</v>
      </c>
      <c r="U465" t="s">
        <v>9019</v>
      </c>
      <c r="V465" t="s">
        <v>9020</v>
      </c>
      <c r="W465" t="s">
        <v>9021</v>
      </c>
      <c r="X465" t="s">
        <v>9022</v>
      </c>
      <c r="Y465" t="s">
        <v>9023</v>
      </c>
      <c r="Z465" t="s">
        <v>9024</v>
      </c>
      <c r="AA465" t="s">
        <v>9025</v>
      </c>
      <c r="AB465" t="s">
        <v>9026</v>
      </c>
      <c r="AC465" t="s">
        <v>9027</v>
      </c>
      <c r="AD465" t="s">
        <v>9028</v>
      </c>
      <c r="AE465" t="s">
        <v>9029</v>
      </c>
      <c r="AF465" t="s">
        <v>74</v>
      </c>
      <c r="AG465">
        <v>105</v>
      </c>
      <c r="AH465">
        <v>10</v>
      </c>
      <c r="AI465">
        <v>12</v>
      </c>
      <c r="AJ465">
        <v>1</v>
      </c>
      <c r="AK465">
        <v>53</v>
      </c>
      <c r="AL465" t="s">
        <v>418</v>
      </c>
      <c r="AM465" t="s">
        <v>251</v>
      </c>
      <c r="AN465" t="s">
        <v>419</v>
      </c>
      <c r="AO465" t="s">
        <v>2506</v>
      </c>
      <c r="AP465" t="s">
        <v>2507</v>
      </c>
      <c r="AQ465" t="s">
        <v>74</v>
      </c>
      <c r="AR465" t="s">
        <v>2508</v>
      </c>
      <c r="AS465" t="s">
        <v>2509</v>
      </c>
      <c r="AT465" t="s">
        <v>9030</v>
      </c>
      <c r="AU465">
        <v>2014</v>
      </c>
      <c r="AV465">
        <v>36</v>
      </c>
      <c r="AW465">
        <v>4</v>
      </c>
      <c r="AX465" t="s">
        <v>74</v>
      </c>
      <c r="AY465" t="s">
        <v>74</v>
      </c>
      <c r="AZ465" t="s">
        <v>74</v>
      </c>
      <c r="BA465" t="s">
        <v>74</v>
      </c>
      <c r="BB465">
        <v>1074</v>
      </c>
      <c r="BC465">
        <v>1091</v>
      </c>
      <c r="BD465" t="s">
        <v>74</v>
      </c>
      <c r="BE465" t="s">
        <v>9031</v>
      </c>
      <c r="BF465" t="str">
        <f>HYPERLINK("http://dx.doi.org/10.1093/plankt/fbu042","http://dx.doi.org/10.1093/plankt/fbu042")</f>
        <v>http://dx.doi.org/10.1093/plankt/fbu042</v>
      </c>
      <c r="BG465" t="s">
        <v>74</v>
      </c>
      <c r="BH465" t="s">
        <v>74</v>
      </c>
      <c r="BI465">
        <v>18</v>
      </c>
      <c r="BJ465" t="s">
        <v>2511</v>
      </c>
      <c r="BK465" t="s">
        <v>102</v>
      </c>
      <c r="BL465" t="s">
        <v>2511</v>
      </c>
      <c r="BM465" t="s">
        <v>9032</v>
      </c>
      <c r="BN465" t="s">
        <v>74</v>
      </c>
      <c r="BO465" t="s">
        <v>179</v>
      </c>
      <c r="BP465" t="s">
        <v>74</v>
      </c>
      <c r="BQ465" t="s">
        <v>74</v>
      </c>
      <c r="BR465" t="s">
        <v>105</v>
      </c>
      <c r="BS465" t="s">
        <v>9033</v>
      </c>
      <c r="BT465" t="str">
        <f>HYPERLINK("https%3A%2F%2Fwww.webofscience.com%2Fwos%2Fwoscc%2Ffull-record%2FWOS:000339951300015","View Full Record in Web of Science")</f>
        <v>View Full Record in Web of Science</v>
      </c>
    </row>
    <row r="466" spans="1:72" x14ac:dyDescent="0.15">
      <c r="A466" t="s">
        <v>72</v>
      </c>
      <c r="B466" t="s">
        <v>9034</v>
      </c>
      <c r="C466" t="s">
        <v>74</v>
      </c>
      <c r="D466" t="s">
        <v>74</v>
      </c>
      <c r="E466" t="s">
        <v>74</v>
      </c>
      <c r="F466" t="s">
        <v>9035</v>
      </c>
      <c r="G466" t="s">
        <v>74</v>
      </c>
      <c r="H466" t="s">
        <v>74</v>
      </c>
      <c r="I466" t="s">
        <v>9036</v>
      </c>
      <c r="J466" t="s">
        <v>2494</v>
      </c>
      <c r="K466" t="s">
        <v>74</v>
      </c>
      <c r="L466" t="s">
        <v>74</v>
      </c>
      <c r="M466" t="s">
        <v>78</v>
      </c>
      <c r="N466" t="s">
        <v>79</v>
      </c>
      <c r="O466" t="s">
        <v>74</v>
      </c>
      <c r="P466" t="s">
        <v>74</v>
      </c>
      <c r="Q466" t="s">
        <v>74</v>
      </c>
      <c r="R466" t="s">
        <v>74</v>
      </c>
      <c r="S466" t="s">
        <v>74</v>
      </c>
      <c r="T466" t="s">
        <v>9037</v>
      </c>
      <c r="U466" t="s">
        <v>9038</v>
      </c>
      <c r="V466" t="s">
        <v>9039</v>
      </c>
      <c r="W466" t="s">
        <v>9040</v>
      </c>
      <c r="X466" t="s">
        <v>9041</v>
      </c>
      <c r="Y466" t="s">
        <v>9042</v>
      </c>
      <c r="Z466" t="s">
        <v>9043</v>
      </c>
      <c r="AA466" t="s">
        <v>9044</v>
      </c>
      <c r="AB466" t="s">
        <v>9045</v>
      </c>
      <c r="AC466" t="s">
        <v>9046</v>
      </c>
      <c r="AD466" t="s">
        <v>9046</v>
      </c>
      <c r="AE466" t="s">
        <v>9047</v>
      </c>
      <c r="AF466" t="s">
        <v>74</v>
      </c>
      <c r="AG466">
        <v>19</v>
      </c>
      <c r="AH466">
        <v>7</v>
      </c>
      <c r="AI466">
        <v>7</v>
      </c>
      <c r="AJ466">
        <v>0</v>
      </c>
      <c r="AK466">
        <v>12</v>
      </c>
      <c r="AL466" t="s">
        <v>418</v>
      </c>
      <c r="AM466" t="s">
        <v>251</v>
      </c>
      <c r="AN466" t="s">
        <v>419</v>
      </c>
      <c r="AO466" t="s">
        <v>2506</v>
      </c>
      <c r="AP466" t="s">
        <v>2507</v>
      </c>
      <c r="AQ466" t="s">
        <v>74</v>
      </c>
      <c r="AR466" t="s">
        <v>2508</v>
      </c>
      <c r="AS466" t="s">
        <v>2509</v>
      </c>
      <c r="AT466" t="s">
        <v>9030</v>
      </c>
      <c r="AU466">
        <v>2014</v>
      </c>
      <c r="AV466">
        <v>36</v>
      </c>
      <c r="AW466">
        <v>4</v>
      </c>
      <c r="AX466" t="s">
        <v>74</v>
      </c>
      <c r="AY466" t="s">
        <v>74</v>
      </c>
      <c r="AZ466" t="s">
        <v>74</v>
      </c>
      <c r="BA466" t="s">
        <v>74</v>
      </c>
      <c r="BB466">
        <v>1146</v>
      </c>
      <c r="BC466">
        <v>1152</v>
      </c>
      <c r="BD466" t="s">
        <v>74</v>
      </c>
      <c r="BE466" t="s">
        <v>9048</v>
      </c>
      <c r="BF466" t="str">
        <f>HYPERLINK("http://dx.doi.org/10.1093/plankt/fbu024","http://dx.doi.org/10.1093/plankt/fbu024")</f>
        <v>http://dx.doi.org/10.1093/plankt/fbu024</v>
      </c>
      <c r="BG466" t="s">
        <v>74</v>
      </c>
      <c r="BH466" t="s">
        <v>74</v>
      </c>
      <c r="BI466">
        <v>7</v>
      </c>
      <c r="BJ466" t="s">
        <v>2511</v>
      </c>
      <c r="BK466" t="s">
        <v>102</v>
      </c>
      <c r="BL466" t="s">
        <v>2511</v>
      </c>
      <c r="BM466" t="s">
        <v>9032</v>
      </c>
      <c r="BN466" t="s">
        <v>74</v>
      </c>
      <c r="BO466" t="s">
        <v>179</v>
      </c>
      <c r="BP466" t="s">
        <v>74</v>
      </c>
      <c r="BQ466" t="s">
        <v>74</v>
      </c>
      <c r="BR466" t="s">
        <v>105</v>
      </c>
      <c r="BS466" t="s">
        <v>9049</v>
      </c>
      <c r="BT466" t="str">
        <f>HYPERLINK("https%3A%2F%2Fwww.webofscience.com%2Fwos%2Fwoscc%2Ffull-record%2FWOS:000339951300021","View Full Record in Web of Science")</f>
        <v>View Full Record in Web of Science</v>
      </c>
    </row>
    <row r="467" spans="1:72" x14ac:dyDescent="0.15">
      <c r="A467" t="s">
        <v>72</v>
      </c>
      <c r="B467" t="s">
        <v>9050</v>
      </c>
      <c r="C467" t="s">
        <v>74</v>
      </c>
      <c r="D467" t="s">
        <v>74</v>
      </c>
      <c r="E467" t="s">
        <v>74</v>
      </c>
      <c r="F467" t="s">
        <v>9051</v>
      </c>
      <c r="G467" t="s">
        <v>74</v>
      </c>
      <c r="H467" t="s">
        <v>74</v>
      </c>
      <c r="I467" t="s">
        <v>9052</v>
      </c>
      <c r="J467" t="s">
        <v>9053</v>
      </c>
      <c r="K467" t="s">
        <v>74</v>
      </c>
      <c r="L467" t="s">
        <v>74</v>
      </c>
      <c r="M467" t="s">
        <v>78</v>
      </c>
      <c r="N467" t="s">
        <v>52</v>
      </c>
      <c r="O467" t="s">
        <v>9054</v>
      </c>
      <c r="P467" t="s">
        <v>9055</v>
      </c>
      <c r="Q467" t="s">
        <v>9056</v>
      </c>
      <c r="R467" t="s">
        <v>74</v>
      </c>
      <c r="S467" t="s">
        <v>74</v>
      </c>
      <c r="T467" t="s">
        <v>74</v>
      </c>
      <c r="U467" t="s">
        <v>74</v>
      </c>
      <c r="V467" t="s">
        <v>74</v>
      </c>
      <c r="W467" t="s">
        <v>9057</v>
      </c>
      <c r="X467" t="s">
        <v>9058</v>
      </c>
      <c r="Y467" t="s">
        <v>74</v>
      </c>
      <c r="Z467" t="s">
        <v>74</v>
      </c>
      <c r="AA467" t="s">
        <v>9059</v>
      </c>
      <c r="AB467" t="s">
        <v>74</v>
      </c>
      <c r="AC467" t="s">
        <v>74</v>
      </c>
      <c r="AD467" t="s">
        <v>74</v>
      </c>
      <c r="AE467" t="s">
        <v>74</v>
      </c>
      <c r="AF467" t="s">
        <v>74</v>
      </c>
      <c r="AG467">
        <v>0</v>
      </c>
      <c r="AH467">
        <v>1</v>
      </c>
      <c r="AI467">
        <v>1</v>
      </c>
      <c r="AJ467">
        <v>0</v>
      </c>
      <c r="AK467">
        <v>0</v>
      </c>
      <c r="AL467" t="s">
        <v>9060</v>
      </c>
      <c r="AM467" t="s">
        <v>9061</v>
      </c>
      <c r="AN467" t="s">
        <v>9062</v>
      </c>
      <c r="AO467" t="s">
        <v>9063</v>
      </c>
      <c r="AP467" t="s">
        <v>9064</v>
      </c>
      <c r="AQ467" t="s">
        <v>74</v>
      </c>
      <c r="AR467" t="s">
        <v>9065</v>
      </c>
      <c r="AS467" t="s">
        <v>9066</v>
      </c>
      <c r="AT467" t="s">
        <v>8489</v>
      </c>
      <c r="AU467">
        <v>2014</v>
      </c>
      <c r="AV467">
        <v>80</v>
      </c>
      <c r="AW467">
        <v>10</v>
      </c>
      <c r="AX467" t="s">
        <v>74</v>
      </c>
      <c r="AY467" t="s">
        <v>74</v>
      </c>
      <c r="AZ467" t="s">
        <v>74</v>
      </c>
      <c r="BA467" t="s">
        <v>9067</v>
      </c>
      <c r="BB467">
        <v>767</v>
      </c>
      <c r="BC467">
        <v>767</v>
      </c>
      <c r="BD467" t="s">
        <v>74</v>
      </c>
      <c r="BE467" t="s">
        <v>74</v>
      </c>
      <c r="BF467" t="s">
        <v>74</v>
      </c>
      <c r="BG467" t="s">
        <v>74</v>
      </c>
      <c r="BH467" t="s">
        <v>74</v>
      </c>
      <c r="BI467">
        <v>1</v>
      </c>
      <c r="BJ467" t="s">
        <v>9068</v>
      </c>
      <c r="BK467" t="s">
        <v>1795</v>
      </c>
      <c r="BL467" t="s">
        <v>9069</v>
      </c>
      <c r="BM467" t="s">
        <v>9070</v>
      </c>
      <c r="BN467" t="s">
        <v>74</v>
      </c>
      <c r="BO467" t="s">
        <v>74</v>
      </c>
      <c r="BP467" t="s">
        <v>74</v>
      </c>
      <c r="BQ467" t="s">
        <v>74</v>
      </c>
      <c r="BR467" t="s">
        <v>105</v>
      </c>
      <c r="BS467" t="s">
        <v>9071</v>
      </c>
      <c r="BT467" t="str">
        <f>HYPERLINK("https%3A%2F%2Fwww.webofscience.com%2Fwos%2Fwoscc%2Ffull-record%2FWOS:000339781200088","View Full Record in Web of Science")</f>
        <v>View Full Record in Web of Science</v>
      </c>
    </row>
    <row r="468" spans="1:72" x14ac:dyDescent="0.15">
      <c r="A468" t="s">
        <v>72</v>
      </c>
      <c r="B468" t="s">
        <v>9072</v>
      </c>
      <c r="C468" t="s">
        <v>74</v>
      </c>
      <c r="D468" t="s">
        <v>74</v>
      </c>
      <c r="E468" t="s">
        <v>74</v>
      </c>
      <c r="F468" t="s">
        <v>9073</v>
      </c>
      <c r="G468" t="s">
        <v>74</v>
      </c>
      <c r="H468" t="s">
        <v>74</v>
      </c>
      <c r="I468" t="s">
        <v>9074</v>
      </c>
      <c r="J468" t="s">
        <v>6702</v>
      </c>
      <c r="K468" t="s">
        <v>74</v>
      </c>
      <c r="L468" t="s">
        <v>74</v>
      </c>
      <c r="M468" t="s">
        <v>78</v>
      </c>
      <c r="N468" t="s">
        <v>79</v>
      </c>
      <c r="O468" t="s">
        <v>74</v>
      </c>
      <c r="P468" t="s">
        <v>74</v>
      </c>
      <c r="Q468" t="s">
        <v>74</v>
      </c>
      <c r="R468" t="s">
        <v>74</v>
      </c>
      <c r="S468" t="s">
        <v>74</v>
      </c>
      <c r="T468" t="s">
        <v>9075</v>
      </c>
      <c r="U468" t="s">
        <v>9076</v>
      </c>
      <c r="V468" t="s">
        <v>9077</v>
      </c>
      <c r="W468" t="s">
        <v>9078</v>
      </c>
      <c r="X468" t="s">
        <v>9079</v>
      </c>
      <c r="Y468" t="s">
        <v>9080</v>
      </c>
      <c r="Z468" t="s">
        <v>9081</v>
      </c>
      <c r="AA468" t="s">
        <v>9082</v>
      </c>
      <c r="AB468" t="s">
        <v>9083</v>
      </c>
      <c r="AC468" t="s">
        <v>9084</v>
      </c>
      <c r="AD468" t="s">
        <v>9085</v>
      </c>
      <c r="AE468" t="s">
        <v>9086</v>
      </c>
      <c r="AF468" t="s">
        <v>74</v>
      </c>
      <c r="AG468">
        <v>71</v>
      </c>
      <c r="AH468">
        <v>44</v>
      </c>
      <c r="AI468">
        <v>51</v>
      </c>
      <c r="AJ468">
        <v>2</v>
      </c>
      <c r="AK468">
        <v>135</v>
      </c>
      <c r="AL468" t="s">
        <v>9087</v>
      </c>
      <c r="AM468" t="s">
        <v>332</v>
      </c>
      <c r="AN468" t="s">
        <v>9088</v>
      </c>
      <c r="AO468" t="s">
        <v>6715</v>
      </c>
      <c r="AP468" t="s">
        <v>6716</v>
      </c>
      <c r="AQ468" t="s">
        <v>74</v>
      </c>
      <c r="AR468" t="s">
        <v>6702</v>
      </c>
      <c r="AS468" t="s">
        <v>5627</v>
      </c>
      <c r="AT468" t="s">
        <v>8489</v>
      </c>
      <c r="AU468">
        <v>2014</v>
      </c>
      <c r="AV468">
        <v>95</v>
      </c>
      <c r="AW468">
        <v>7</v>
      </c>
      <c r="AX468" t="s">
        <v>74</v>
      </c>
      <c r="AY468" t="s">
        <v>74</v>
      </c>
      <c r="AZ468" t="s">
        <v>74</v>
      </c>
      <c r="BA468" t="s">
        <v>74</v>
      </c>
      <c r="BB468">
        <v>1809</v>
      </c>
      <c r="BC468">
        <v>1818</v>
      </c>
      <c r="BD468" t="s">
        <v>74</v>
      </c>
      <c r="BE468" t="s">
        <v>9089</v>
      </c>
      <c r="BF468" t="str">
        <f>HYPERLINK("http://dx.doi.org/10.1890/13-0733.1","http://dx.doi.org/10.1890/13-0733.1")</f>
        <v>http://dx.doi.org/10.1890/13-0733.1</v>
      </c>
      <c r="BG468" t="s">
        <v>74</v>
      </c>
      <c r="BH468" t="s">
        <v>74</v>
      </c>
      <c r="BI468">
        <v>10</v>
      </c>
      <c r="BJ468" t="s">
        <v>5627</v>
      </c>
      <c r="BK468" t="s">
        <v>102</v>
      </c>
      <c r="BL468" t="s">
        <v>2553</v>
      </c>
      <c r="BM468" t="s">
        <v>9090</v>
      </c>
      <c r="BN468">
        <v>25163115</v>
      </c>
      <c r="BO468" t="s">
        <v>359</v>
      </c>
      <c r="BP468" t="s">
        <v>74</v>
      </c>
      <c r="BQ468" t="s">
        <v>74</v>
      </c>
      <c r="BR468" t="s">
        <v>105</v>
      </c>
      <c r="BS468" t="s">
        <v>9091</v>
      </c>
      <c r="BT468" t="str">
        <f>HYPERLINK("https%3A%2F%2Fwww.webofscience.com%2Fwos%2Fwoscc%2Ffull-record%2FWOS:000339470500011","View Full Record in Web of Science")</f>
        <v>View Full Record in Web of Science</v>
      </c>
    </row>
    <row r="469" spans="1:72" x14ac:dyDescent="0.15">
      <c r="A469" t="s">
        <v>72</v>
      </c>
      <c r="B469" t="s">
        <v>9092</v>
      </c>
      <c r="C469" t="s">
        <v>74</v>
      </c>
      <c r="D469" t="s">
        <v>74</v>
      </c>
      <c r="E469" t="s">
        <v>74</v>
      </c>
      <c r="F469" t="s">
        <v>9093</v>
      </c>
      <c r="G469" t="s">
        <v>74</v>
      </c>
      <c r="H469" t="s">
        <v>74</v>
      </c>
      <c r="I469" t="s">
        <v>9094</v>
      </c>
      <c r="J469" t="s">
        <v>9095</v>
      </c>
      <c r="K469" t="s">
        <v>74</v>
      </c>
      <c r="L469" t="s">
        <v>74</v>
      </c>
      <c r="M469" t="s">
        <v>78</v>
      </c>
      <c r="N469" t="s">
        <v>79</v>
      </c>
      <c r="O469" t="s">
        <v>74</v>
      </c>
      <c r="P469" t="s">
        <v>74</v>
      </c>
      <c r="Q469" t="s">
        <v>74</v>
      </c>
      <c r="R469" t="s">
        <v>74</v>
      </c>
      <c r="S469" t="s">
        <v>74</v>
      </c>
      <c r="T469" t="s">
        <v>9096</v>
      </c>
      <c r="U469" t="s">
        <v>9097</v>
      </c>
      <c r="V469" t="s">
        <v>9098</v>
      </c>
      <c r="W469" t="s">
        <v>9099</v>
      </c>
      <c r="X469" t="s">
        <v>9100</v>
      </c>
      <c r="Y469" t="s">
        <v>9101</v>
      </c>
      <c r="Z469" t="s">
        <v>9102</v>
      </c>
      <c r="AA469" t="s">
        <v>9103</v>
      </c>
      <c r="AB469" t="s">
        <v>74</v>
      </c>
      <c r="AC469" t="s">
        <v>74</v>
      </c>
      <c r="AD469" t="s">
        <v>74</v>
      </c>
      <c r="AE469" t="s">
        <v>74</v>
      </c>
      <c r="AF469" t="s">
        <v>74</v>
      </c>
      <c r="AG469">
        <v>32</v>
      </c>
      <c r="AH469">
        <v>18</v>
      </c>
      <c r="AI469">
        <v>21</v>
      </c>
      <c r="AJ469">
        <v>6</v>
      </c>
      <c r="AK469">
        <v>46</v>
      </c>
      <c r="AL469" t="s">
        <v>3430</v>
      </c>
      <c r="AM469" t="s">
        <v>3431</v>
      </c>
      <c r="AN469" t="s">
        <v>9104</v>
      </c>
      <c r="AO469" t="s">
        <v>9105</v>
      </c>
      <c r="AP469" t="s">
        <v>9106</v>
      </c>
      <c r="AQ469" t="s">
        <v>74</v>
      </c>
      <c r="AR469" t="s">
        <v>9107</v>
      </c>
      <c r="AS469" t="s">
        <v>9108</v>
      </c>
      <c r="AT469" t="s">
        <v>8489</v>
      </c>
      <c r="AU469">
        <v>2014</v>
      </c>
      <c r="AV469">
        <v>80</v>
      </c>
      <c r="AW469">
        <v>4</v>
      </c>
      <c r="AX469" t="s">
        <v>74</v>
      </c>
      <c r="AY469" t="s">
        <v>74</v>
      </c>
      <c r="AZ469" t="s">
        <v>74</v>
      </c>
      <c r="BA469" t="s">
        <v>74</v>
      </c>
      <c r="BB469">
        <v>839</v>
      </c>
      <c r="BC469">
        <v>847</v>
      </c>
      <c r="BD469" t="s">
        <v>74</v>
      </c>
      <c r="BE469" t="s">
        <v>9109</v>
      </c>
      <c r="BF469" t="str">
        <f>HYPERLINK("http://dx.doi.org/10.1007/s12562-014-0751-9","http://dx.doi.org/10.1007/s12562-014-0751-9")</f>
        <v>http://dx.doi.org/10.1007/s12562-014-0751-9</v>
      </c>
      <c r="BG469" t="s">
        <v>74</v>
      </c>
      <c r="BH469" t="s">
        <v>74</v>
      </c>
      <c r="BI469">
        <v>9</v>
      </c>
      <c r="BJ469" t="s">
        <v>3063</v>
      </c>
      <c r="BK469" t="s">
        <v>102</v>
      </c>
      <c r="BL469" t="s">
        <v>3063</v>
      </c>
      <c r="BM469" t="s">
        <v>9110</v>
      </c>
      <c r="BN469" t="s">
        <v>74</v>
      </c>
      <c r="BO469" t="s">
        <v>74</v>
      </c>
      <c r="BP469" t="s">
        <v>74</v>
      </c>
      <c r="BQ469" t="s">
        <v>74</v>
      </c>
      <c r="BR469" t="s">
        <v>105</v>
      </c>
      <c r="BS469" t="s">
        <v>9111</v>
      </c>
      <c r="BT469" t="str">
        <f>HYPERLINK("https%3A%2F%2Fwww.webofscience.com%2Fwos%2Fwoscc%2Ffull-record%2FWOS:000339334200020","View Full Record in Web of Science")</f>
        <v>View Full Record in Web of Science</v>
      </c>
    </row>
    <row r="470" spans="1:72" x14ac:dyDescent="0.15">
      <c r="A470" t="s">
        <v>72</v>
      </c>
      <c r="B470" t="s">
        <v>9112</v>
      </c>
      <c r="C470" t="s">
        <v>74</v>
      </c>
      <c r="D470" t="s">
        <v>74</v>
      </c>
      <c r="E470" t="s">
        <v>74</v>
      </c>
      <c r="F470" t="s">
        <v>9113</v>
      </c>
      <c r="G470" t="s">
        <v>74</v>
      </c>
      <c r="H470" t="s">
        <v>74</v>
      </c>
      <c r="I470" t="s">
        <v>9114</v>
      </c>
      <c r="J470" t="s">
        <v>9115</v>
      </c>
      <c r="K470" t="s">
        <v>74</v>
      </c>
      <c r="L470" t="s">
        <v>74</v>
      </c>
      <c r="M470" t="s">
        <v>78</v>
      </c>
      <c r="N470" t="s">
        <v>52</v>
      </c>
      <c r="O470" t="s">
        <v>9116</v>
      </c>
      <c r="P470" t="s">
        <v>9117</v>
      </c>
      <c r="Q470" t="s">
        <v>9118</v>
      </c>
      <c r="R470" t="s">
        <v>74</v>
      </c>
      <c r="S470" t="s">
        <v>74</v>
      </c>
      <c r="T470" t="s">
        <v>74</v>
      </c>
      <c r="U470" t="s">
        <v>74</v>
      </c>
      <c r="V470" t="s">
        <v>74</v>
      </c>
      <c r="W470" t="s">
        <v>9119</v>
      </c>
      <c r="X470" t="s">
        <v>9120</v>
      </c>
      <c r="Y470" t="s">
        <v>74</v>
      </c>
      <c r="Z470" t="s">
        <v>74</v>
      </c>
      <c r="AA470" t="s">
        <v>9121</v>
      </c>
      <c r="AB470" t="s">
        <v>9122</v>
      </c>
      <c r="AC470" t="s">
        <v>74</v>
      </c>
      <c r="AD470" t="s">
        <v>74</v>
      </c>
      <c r="AE470" t="s">
        <v>74</v>
      </c>
      <c r="AF470" t="s">
        <v>74</v>
      </c>
      <c r="AG470">
        <v>0</v>
      </c>
      <c r="AH470">
        <v>0</v>
      </c>
      <c r="AI470">
        <v>0</v>
      </c>
      <c r="AJ470">
        <v>0</v>
      </c>
      <c r="AK470">
        <v>1</v>
      </c>
      <c r="AL470" t="s">
        <v>92</v>
      </c>
      <c r="AM470" t="s">
        <v>93</v>
      </c>
      <c r="AN470" t="s">
        <v>94</v>
      </c>
      <c r="AO470" t="s">
        <v>9123</v>
      </c>
      <c r="AP470" t="s">
        <v>9124</v>
      </c>
      <c r="AQ470" t="s">
        <v>74</v>
      </c>
      <c r="AR470" t="s">
        <v>9125</v>
      </c>
      <c r="AS470" t="s">
        <v>9126</v>
      </c>
      <c r="AT470" t="s">
        <v>8489</v>
      </c>
      <c r="AU470">
        <v>2014</v>
      </c>
      <c r="AV470">
        <v>23</v>
      </c>
      <c r="AW470" t="s">
        <v>74</v>
      </c>
      <c r="AX470" t="s">
        <v>74</v>
      </c>
      <c r="AY470">
        <v>1</v>
      </c>
      <c r="AZ470" t="s">
        <v>74</v>
      </c>
      <c r="BA470" t="s">
        <v>9127</v>
      </c>
      <c r="BB470">
        <v>109</v>
      </c>
      <c r="BC470">
        <v>110</v>
      </c>
      <c r="BD470" t="s">
        <v>74</v>
      </c>
      <c r="BE470" t="s">
        <v>74</v>
      </c>
      <c r="BF470" t="s">
        <v>74</v>
      </c>
      <c r="BG470" t="s">
        <v>74</v>
      </c>
      <c r="BH470" t="s">
        <v>74</v>
      </c>
      <c r="BI470">
        <v>2</v>
      </c>
      <c r="BJ470" t="s">
        <v>5720</v>
      </c>
      <c r="BK470" t="s">
        <v>1795</v>
      </c>
      <c r="BL470" t="s">
        <v>5720</v>
      </c>
      <c r="BM470" t="s">
        <v>9128</v>
      </c>
      <c r="BN470" t="s">
        <v>74</v>
      </c>
      <c r="BO470" t="s">
        <v>74</v>
      </c>
      <c r="BP470" t="s">
        <v>74</v>
      </c>
      <c r="BQ470" t="s">
        <v>74</v>
      </c>
      <c r="BR470" t="s">
        <v>105</v>
      </c>
      <c r="BS470" t="s">
        <v>9129</v>
      </c>
      <c r="BT470" t="str">
        <f>HYPERLINK("https%3A%2F%2Fwww.webofscience.com%2Fwos%2Fwoscc%2Ffull-record%2FWOS:000339545700113","View Full Record in Web of Science")</f>
        <v>View Full Record in Web of Science</v>
      </c>
    </row>
    <row r="471" spans="1:72" x14ac:dyDescent="0.15">
      <c r="A471" t="s">
        <v>72</v>
      </c>
      <c r="B471" t="s">
        <v>9130</v>
      </c>
      <c r="C471" t="s">
        <v>74</v>
      </c>
      <c r="D471" t="s">
        <v>74</v>
      </c>
      <c r="E471" t="s">
        <v>74</v>
      </c>
      <c r="F471" t="s">
        <v>9131</v>
      </c>
      <c r="G471" t="s">
        <v>74</v>
      </c>
      <c r="H471" t="s">
        <v>74</v>
      </c>
      <c r="I471" t="s">
        <v>9132</v>
      </c>
      <c r="J471" t="s">
        <v>9133</v>
      </c>
      <c r="K471" t="s">
        <v>74</v>
      </c>
      <c r="L471" t="s">
        <v>74</v>
      </c>
      <c r="M471" t="s">
        <v>78</v>
      </c>
      <c r="N471" t="s">
        <v>79</v>
      </c>
      <c r="O471" t="s">
        <v>74</v>
      </c>
      <c r="P471" t="s">
        <v>74</v>
      </c>
      <c r="Q471" t="s">
        <v>74</v>
      </c>
      <c r="R471" t="s">
        <v>74</v>
      </c>
      <c r="S471" t="s">
        <v>74</v>
      </c>
      <c r="T471" t="s">
        <v>9134</v>
      </c>
      <c r="U471" t="s">
        <v>9135</v>
      </c>
      <c r="V471" t="s">
        <v>9136</v>
      </c>
      <c r="W471" t="s">
        <v>9137</v>
      </c>
      <c r="X471" t="s">
        <v>9138</v>
      </c>
      <c r="Y471" t="s">
        <v>9139</v>
      </c>
      <c r="Z471" t="s">
        <v>9140</v>
      </c>
      <c r="AA471" t="s">
        <v>9141</v>
      </c>
      <c r="AB471" t="s">
        <v>9142</v>
      </c>
      <c r="AC471" t="s">
        <v>9143</v>
      </c>
      <c r="AD471" t="s">
        <v>9144</v>
      </c>
      <c r="AE471" t="s">
        <v>9145</v>
      </c>
      <c r="AF471" t="s">
        <v>74</v>
      </c>
      <c r="AG471">
        <v>50</v>
      </c>
      <c r="AH471">
        <v>19</v>
      </c>
      <c r="AI471">
        <v>21</v>
      </c>
      <c r="AJ471">
        <v>9</v>
      </c>
      <c r="AK471">
        <v>88</v>
      </c>
      <c r="AL471" t="s">
        <v>5574</v>
      </c>
      <c r="AM471" t="s">
        <v>5575</v>
      </c>
      <c r="AN471" t="s">
        <v>5576</v>
      </c>
      <c r="AO471" t="s">
        <v>9146</v>
      </c>
      <c r="AP471" t="s">
        <v>9147</v>
      </c>
      <c r="AQ471" t="s">
        <v>74</v>
      </c>
      <c r="AR471" t="s">
        <v>9148</v>
      </c>
      <c r="AS471" t="s">
        <v>9149</v>
      </c>
      <c r="AT471" t="s">
        <v>8489</v>
      </c>
      <c r="AU471">
        <v>2014</v>
      </c>
      <c r="AV471">
        <v>26</v>
      </c>
      <c r="AW471">
        <v>7</v>
      </c>
      <c r="AX471" t="s">
        <v>74</v>
      </c>
      <c r="AY471" t="s">
        <v>74</v>
      </c>
      <c r="AZ471" t="s">
        <v>74</v>
      </c>
      <c r="BA471" t="s">
        <v>74</v>
      </c>
      <c r="BB471">
        <v>1403</v>
      </c>
      <c r="BC471">
        <v>1410</v>
      </c>
      <c r="BD471" t="s">
        <v>74</v>
      </c>
      <c r="BE471" t="s">
        <v>9150</v>
      </c>
      <c r="BF471" t="str">
        <f>HYPERLINK("http://dx.doi.org/10.1016/j.jes.2014.05.005","http://dx.doi.org/10.1016/j.jes.2014.05.005")</f>
        <v>http://dx.doi.org/10.1016/j.jes.2014.05.005</v>
      </c>
      <c r="BG471" t="s">
        <v>74</v>
      </c>
      <c r="BH471" t="s">
        <v>74</v>
      </c>
      <c r="BI471">
        <v>8</v>
      </c>
      <c r="BJ471" t="s">
        <v>4397</v>
      </c>
      <c r="BK471" t="s">
        <v>102</v>
      </c>
      <c r="BL471" t="s">
        <v>2553</v>
      </c>
      <c r="BM471" t="s">
        <v>9151</v>
      </c>
      <c r="BN471">
        <v>25079988</v>
      </c>
      <c r="BO471" t="s">
        <v>74</v>
      </c>
      <c r="BP471" t="s">
        <v>74</v>
      </c>
      <c r="BQ471" t="s">
        <v>74</v>
      </c>
      <c r="BR471" t="s">
        <v>105</v>
      </c>
      <c r="BS471" t="s">
        <v>9152</v>
      </c>
      <c r="BT471" t="str">
        <f>HYPERLINK("https%3A%2F%2Fwww.webofscience.com%2Fwos%2Fwoscc%2Ffull-record%2FWOS:000339036500005","View Full Record in Web of Science")</f>
        <v>View Full Record in Web of Science</v>
      </c>
    </row>
    <row r="472" spans="1:72" x14ac:dyDescent="0.15">
      <c r="A472" t="s">
        <v>72</v>
      </c>
      <c r="B472" t="s">
        <v>9153</v>
      </c>
      <c r="C472" t="s">
        <v>74</v>
      </c>
      <c r="D472" t="s">
        <v>74</v>
      </c>
      <c r="E472" t="s">
        <v>74</v>
      </c>
      <c r="F472" t="s">
        <v>9154</v>
      </c>
      <c r="G472" t="s">
        <v>74</v>
      </c>
      <c r="H472" t="s">
        <v>74</v>
      </c>
      <c r="I472" t="s">
        <v>9155</v>
      </c>
      <c r="J472" t="s">
        <v>432</v>
      </c>
      <c r="K472" t="s">
        <v>74</v>
      </c>
      <c r="L472" t="s">
        <v>74</v>
      </c>
      <c r="M472" t="s">
        <v>78</v>
      </c>
      <c r="N472" t="s">
        <v>79</v>
      </c>
      <c r="O472" t="s">
        <v>74</v>
      </c>
      <c r="P472" t="s">
        <v>74</v>
      </c>
      <c r="Q472" t="s">
        <v>74</v>
      </c>
      <c r="R472" t="s">
        <v>74</v>
      </c>
      <c r="S472" t="s">
        <v>74</v>
      </c>
      <c r="T472" t="s">
        <v>74</v>
      </c>
      <c r="U472" t="s">
        <v>9156</v>
      </c>
      <c r="V472" t="s">
        <v>9157</v>
      </c>
      <c r="W472" t="s">
        <v>9158</v>
      </c>
      <c r="X472" t="s">
        <v>9159</v>
      </c>
      <c r="Y472" t="s">
        <v>9160</v>
      </c>
      <c r="Z472" t="s">
        <v>9161</v>
      </c>
      <c r="AA472" t="s">
        <v>9162</v>
      </c>
      <c r="AB472" t="s">
        <v>9163</v>
      </c>
      <c r="AC472" t="s">
        <v>74</v>
      </c>
      <c r="AD472" t="s">
        <v>74</v>
      </c>
      <c r="AE472" t="s">
        <v>74</v>
      </c>
      <c r="AF472" t="s">
        <v>74</v>
      </c>
      <c r="AG472">
        <v>23</v>
      </c>
      <c r="AH472">
        <v>16</v>
      </c>
      <c r="AI472">
        <v>19</v>
      </c>
      <c r="AJ472">
        <v>2</v>
      </c>
      <c r="AK472">
        <v>12</v>
      </c>
      <c r="AL472" t="s">
        <v>280</v>
      </c>
      <c r="AM472" t="s">
        <v>281</v>
      </c>
      <c r="AN472" t="s">
        <v>282</v>
      </c>
      <c r="AO472" t="s">
        <v>444</v>
      </c>
      <c r="AP472" t="s">
        <v>445</v>
      </c>
      <c r="AQ472" t="s">
        <v>74</v>
      </c>
      <c r="AR472" t="s">
        <v>446</v>
      </c>
      <c r="AS472" t="s">
        <v>447</v>
      </c>
      <c r="AT472" t="s">
        <v>8489</v>
      </c>
      <c r="AU472">
        <v>2014</v>
      </c>
      <c r="AV472">
        <v>44</v>
      </c>
      <c r="AW472">
        <v>7</v>
      </c>
      <c r="AX472" t="s">
        <v>74</v>
      </c>
      <c r="AY472" t="s">
        <v>74</v>
      </c>
      <c r="AZ472" t="s">
        <v>74</v>
      </c>
      <c r="BA472" t="s">
        <v>74</v>
      </c>
      <c r="BB472">
        <v>1751</v>
      </c>
      <c r="BC472">
        <v>1775</v>
      </c>
      <c r="BD472" t="s">
        <v>74</v>
      </c>
      <c r="BE472" t="s">
        <v>9164</v>
      </c>
      <c r="BF472" t="str">
        <f>HYPERLINK("http://dx.doi.org/10.1175/JPO-D-13-0253.1","http://dx.doi.org/10.1175/JPO-D-13-0253.1")</f>
        <v>http://dx.doi.org/10.1175/JPO-D-13-0253.1</v>
      </c>
      <c r="BG472" t="s">
        <v>74</v>
      </c>
      <c r="BH472" t="s">
        <v>74</v>
      </c>
      <c r="BI472">
        <v>25</v>
      </c>
      <c r="BJ472" t="s">
        <v>152</v>
      </c>
      <c r="BK472" t="s">
        <v>102</v>
      </c>
      <c r="BL472" t="s">
        <v>152</v>
      </c>
      <c r="BM472" t="s">
        <v>9165</v>
      </c>
      <c r="BN472" t="s">
        <v>74</v>
      </c>
      <c r="BO472" t="s">
        <v>289</v>
      </c>
      <c r="BP472" t="s">
        <v>74</v>
      </c>
      <c r="BQ472" t="s">
        <v>74</v>
      </c>
      <c r="BR472" t="s">
        <v>105</v>
      </c>
      <c r="BS472" t="s">
        <v>9166</v>
      </c>
      <c r="BT472" t="str">
        <f>HYPERLINK("https%3A%2F%2Fwww.webofscience.com%2Fwos%2Fwoscc%2Ffull-record%2FWOS:000339183800005","View Full Record in Web of Science")</f>
        <v>View Full Record in Web of Science</v>
      </c>
    </row>
    <row r="473" spans="1:72" x14ac:dyDescent="0.15">
      <c r="A473" t="s">
        <v>72</v>
      </c>
      <c r="B473" t="s">
        <v>9167</v>
      </c>
      <c r="C473" t="s">
        <v>74</v>
      </c>
      <c r="D473" t="s">
        <v>74</v>
      </c>
      <c r="E473" t="s">
        <v>74</v>
      </c>
      <c r="F473" t="s">
        <v>9168</v>
      </c>
      <c r="G473" t="s">
        <v>74</v>
      </c>
      <c r="H473" t="s">
        <v>74</v>
      </c>
      <c r="I473" t="s">
        <v>9169</v>
      </c>
      <c r="J473" t="s">
        <v>432</v>
      </c>
      <c r="K473" t="s">
        <v>74</v>
      </c>
      <c r="L473" t="s">
        <v>74</v>
      </c>
      <c r="M473" t="s">
        <v>78</v>
      </c>
      <c r="N473" t="s">
        <v>79</v>
      </c>
      <c r="O473" t="s">
        <v>74</v>
      </c>
      <c r="P473" t="s">
        <v>74</v>
      </c>
      <c r="Q473" t="s">
        <v>74</v>
      </c>
      <c r="R473" t="s">
        <v>74</v>
      </c>
      <c r="S473" t="s">
        <v>74</v>
      </c>
      <c r="T473" t="s">
        <v>74</v>
      </c>
      <c r="U473" t="s">
        <v>9170</v>
      </c>
      <c r="V473" t="s">
        <v>9171</v>
      </c>
      <c r="W473" t="s">
        <v>9172</v>
      </c>
      <c r="X473" t="s">
        <v>5403</v>
      </c>
      <c r="Y473" t="s">
        <v>9173</v>
      </c>
      <c r="Z473" t="s">
        <v>9174</v>
      </c>
      <c r="AA473" t="s">
        <v>74</v>
      </c>
      <c r="AB473" t="s">
        <v>9175</v>
      </c>
      <c r="AC473" t="s">
        <v>9176</v>
      </c>
      <c r="AD473" t="s">
        <v>9177</v>
      </c>
      <c r="AE473" t="s">
        <v>9178</v>
      </c>
      <c r="AF473" t="s">
        <v>74</v>
      </c>
      <c r="AG473">
        <v>44</v>
      </c>
      <c r="AH473">
        <v>49</v>
      </c>
      <c r="AI473">
        <v>57</v>
      </c>
      <c r="AJ473">
        <v>2</v>
      </c>
      <c r="AK473">
        <v>17</v>
      </c>
      <c r="AL473" t="s">
        <v>280</v>
      </c>
      <c r="AM473" t="s">
        <v>281</v>
      </c>
      <c r="AN473" t="s">
        <v>282</v>
      </c>
      <c r="AO473" t="s">
        <v>444</v>
      </c>
      <c r="AP473" t="s">
        <v>445</v>
      </c>
      <c r="AQ473" t="s">
        <v>74</v>
      </c>
      <c r="AR473" t="s">
        <v>446</v>
      </c>
      <c r="AS473" t="s">
        <v>447</v>
      </c>
      <c r="AT473" t="s">
        <v>8489</v>
      </c>
      <c r="AU473">
        <v>2014</v>
      </c>
      <c r="AV473">
        <v>44</v>
      </c>
      <c r="AW473">
        <v>7</v>
      </c>
      <c r="AX473" t="s">
        <v>74</v>
      </c>
      <c r="AY473" t="s">
        <v>74</v>
      </c>
      <c r="AZ473" t="s">
        <v>74</v>
      </c>
      <c r="BA473" t="s">
        <v>74</v>
      </c>
      <c r="BB473">
        <v>1829</v>
      </c>
      <c r="BC473">
        <v>1853</v>
      </c>
      <c r="BD473" t="s">
        <v>74</v>
      </c>
      <c r="BE473" t="s">
        <v>9179</v>
      </c>
      <c r="BF473" t="str">
        <f>HYPERLINK("http://dx.doi.org/10.1175/JPO-D-13-071.1","http://dx.doi.org/10.1175/JPO-D-13-071.1")</f>
        <v>http://dx.doi.org/10.1175/JPO-D-13-071.1</v>
      </c>
      <c r="BG473" t="s">
        <v>74</v>
      </c>
      <c r="BH473" t="s">
        <v>74</v>
      </c>
      <c r="BI473">
        <v>25</v>
      </c>
      <c r="BJ473" t="s">
        <v>152</v>
      </c>
      <c r="BK473" t="s">
        <v>102</v>
      </c>
      <c r="BL473" t="s">
        <v>152</v>
      </c>
      <c r="BM473" t="s">
        <v>9165</v>
      </c>
      <c r="BN473" t="s">
        <v>74</v>
      </c>
      <c r="BO473" t="s">
        <v>1053</v>
      </c>
      <c r="BP473" t="s">
        <v>74</v>
      </c>
      <c r="BQ473" t="s">
        <v>74</v>
      </c>
      <c r="BR473" t="s">
        <v>105</v>
      </c>
      <c r="BS473" t="s">
        <v>9180</v>
      </c>
      <c r="BT473" t="str">
        <f>HYPERLINK("https%3A%2F%2Fwww.webofscience.com%2Fwos%2Fwoscc%2Ffull-record%2FWOS:000339183800009","View Full Record in Web of Science")</f>
        <v>View Full Record in Web of Science</v>
      </c>
    </row>
    <row r="474" spans="1:72" x14ac:dyDescent="0.15">
      <c r="A474" t="s">
        <v>72</v>
      </c>
      <c r="B474" t="s">
        <v>9181</v>
      </c>
      <c r="C474" t="s">
        <v>74</v>
      </c>
      <c r="D474" t="s">
        <v>74</v>
      </c>
      <c r="E474" t="s">
        <v>74</v>
      </c>
      <c r="F474" t="s">
        <v>9182</v>
      </c>
      <c r="G474" t="s">
        <v>74</v>
      </c>
      <c r="H474" t="s">
        <v>74</v>
      </c>
      <c r="I474" t="s">
        <v>9183</v>
      </c>
      <c r="J474" t="s">
        <v>9184</v>
      </c>
      <c r="K474" t="s">
        <v>74</v>
      </c>
      <c r="L474" t="s">
        <v>74</v>
      </c>
      <c r="M474" t="s">
        <v>78</v>
      </c>
      <c r="N474" t="s">
        <v>79</v>
      </c>
      <c r="O474" t="s">
        <v>74</v>
      </c>
      <c r="P474" t="s">
        <v>74</v>
      </c>
      <c r="Q474" t="s">
        <v>74</v>
      </c>
      <c r="R474" t="s">
        <v>74</v>
      </c>
      <c r="S474" t="s">
        <v>74</v>
      </c>
      <c r="T474" t="s">
        <v>9185</v>
      </c>
      <c r="U474" t="s">
        <v>9186</v>
      </c>
      <c r="V474" t="s">
        <v>9187</v>
      </c>
      <c r="W474" t="s">
        <v>9188</v>
      </c>
      <c r="X474" t="s">
        <v>9189</v>
      </c>
      <c r="Y474" t="s">
        <v>9190</v>
      </c>
      <c r="Z474" t="s">
        <v>9191</v>
      </c>
      <c r="AA474" t="s">
        <v>74</v>
      </c>
      <c r="AB474" t="s">
        <v>9192</v>
      </c>
      <c r="AC474" t="s">
        <v>74</v>
      </c>
      <c r="AD474" t="s">
        <v>74</v>
      </c>
      <c r="AE474" t="s">
        <v>74</v>
      </c>
      <c r="AF474" t="s">
        <v>74</v>
      </c>
      <c r="AG474">
        <v>51</v>
      </c>
      <c r="AH474">
        <v>60</v>
      </c>
      <c r="AI474">
        <v>67</v>
      </c>
      <c r="AJ474">
        <v>4</v>
      </c>
      <c r="AK474">
        <v>237</v>
      </c>
      <c r="AL474" t="s">
        <v>171</v>
      </c>
      <c r="AM474" t="s">
        <v>93</v>
      </c>
      <c r="AN474" t="s">
        <v>94</v>
      </c>
      <c r="AO474" t="s">
        <v>9193</v>
      </c>
      <c r="AP474" t="s">
        <v>9194</v>
      </c>
      <c r="AQ474" t="s">
        <v>74</v>
      </c>
      <c r="AR474" t="s">
        <v>9195</v>
      </c>
      <c r="AS474" t="s">
        <v>9196</v>
      </c>
      <c r="AT474" t="s">
        <v>8489</v>
      </c>
      <c r="AU474">
        <v>2014</v>
      </c>
      <c r="AV474">
        <v>30</v>
      </c>
      <c r="AW474">
        <v>3</v>
      </c>
      <c r="AX474" t="s">
        <v>74</v>
      </c>
      <c r="AY474" t="s">
        <v>74</v>
      </c>
      <c r="AZ474" t="s">
        <v>74</v>
      </c>
      <c r="BA474" t="s">
        <v>74</v>
      </c>
      <c r="BB474">
        <v>888</v>
      </c>
      <c r="BC474">
        <v>904</v>
      </c>
      <c r="BD474" t="s">
        <v>74</v>
      </c>
      <c r="BE474" t="s">
        <v>9197</v>
      </c>
      <c r="BF474" t="str">
        <f>HYPERLINK("http://dx.doi.org/10.1111/mms.12108","http://dx.doi.org/10.1111/mms.12108")</f>
        <v>http://dx.doi.org/10.1111/mms.12108</v>
      </c>
      <c r="BG474" t="s">
        <v>74</v>
      </c>
      <c r="BH474" t="s">
        <v>74</v>
      </c>
      <c r="BI474">
        <v>17</v>
      </c>
      <c r="BJ474" t="s">
        <v>3087</v>
      </c>
      <c r="BK474" t="s">
        <v>102</v>
      </c>
      <c r="BL474" t="s">
        <v>3087</v>
      </c>
      <c r="BM474" t="s">
        <v>9198</v>
      </c>
      <c r="BN474" t="s">
        <v>74</v>
      </c>
      <c r="BO474" t="s">
        <v>74</v>
      </c>
      <c r="BP474" t="s">
        <v>74</v>
      </c>
      <c r="BQ474" t="s">
        <v>74</v>
      </c>
      <c r="BR474" t="s">
        <v>105</v>
      </c>
      <c r="BS474" t="s">
        <v>9199</v>
      </c>
      <c r="BT474" t="str">
        <f>HYPERLINK("https%3A%2F%2Fwww.webofscience.com%2Fwos%2Fwoscc%2Ffull-record%2FWOS:000339101800003","View Full Record in Web of Science")</f>
        <v>View Full Record in Web of Science</v>
      </c>
    </row>
    <row r="475" spans="1:72" x14ac:dyDescent="0.15">
      <c r="A475" t="s">
        <v>72</v>
      </c>
      <c r="B475" t="s">
        <v>9200</v>
      </c>
      <c r="C475" t="s">
        <v>74</v>
      </c>
      <c r="D475" t="s">
        <v>74</v>
      </c>
      <c r="E475" t="s">
        <v>74</v>
      </c>
      <c r="F475" t="s">
        <v>9201</v>
      </c>
      <c r="G475" t="s">
        <v>74</v>
      </c>
      <c r="H475" t="s">
        <v>74</v>
      </c>
      <c r="I475" t="s">
        <v>9202</v>
      </c>
      <c r="J475" t="s">
        <v>9203</v>
      </c>
      <c r="K475" t="s">
        <v>74</v>
      </c>
      <c r="L475" t="s">
        <v>74</v>
      </c>
      <c r="M475" t="s">
        <v>78</v>
      </c>
      <c r="N475" t="s">
        <v>79</v>
      </c>
      <c r="O475" t="s">
        <v>74</v>
      </c>
      <c r="P475" t="s">
        <v>74</v>
      </c>
      <c r="Q475" t="s">
        <v>74</v>
      </c>
      <c r="R475" t="s">
        <v>74</v>
      </c>
      <c r="S475" t="s">
        <v>74</v>
      </c>
      <c r="T475" t="s">
        <v>9204</v>
      </c>
      <c r="U475" t="s">
        <v>9205</v>
      </c>
      <c r="V475" t="s">
        <v>9206</v>
      </c>
      <c r="W475" t="s">
        <v>9207</v>
      </c>
      <c r="X475" t="s">
        <v>9208</v>
      </c>
      <c r="Y475" t="s">
        <v>9209</v>
      </c>
      <c r="Z475" t="s">
        <v>9210</v>
      </c>
      <c r="AA475" t="s">
        <v>9211</v>
      </c>
      <c r="AB475" t="s">
        <v>9212</v>
      </c>
      <c r="AC475" t="s">
        <v>74</v>
      </c>
      <c r="AD475" t="s">
        <v>74</v>
      </c>
      <c r="AE475" t="s">
        <v>74</v>
      </c>
      <c r="AF475" t="s">
        <v>74</v>
      </c>
      <c r="AG475">
        <v>49</v>
      </c>
      <c r="AH475">
        <v>2</v>
      </c>
      <c r="AI475">
        <v>3</v>
      </c>
      <c r="AJ475">
        <v>0</v>
      </c>
      <c r="AK475">
        <v>27</v>
      </c>
      <c r="AL475" t="s">
        <v>418</v>
      </c>
      <c r="AM475" t="s">
        <v>251</v>
      </c>
      <c r="AN475" t="s">
        <v>419</v>
      </c>
      <c r="AO475" t="s">
        <v>9213</v>
      </c>
      <c r="AP475" t="s">
        <v>9214</v>
      </c>
      <c r="AQ475" t="s">
        <v>74</v>
      </c>
      <c r="AR475" t="s">
        <v>9203</v>
      </c>
      <c r="AS475" t="s">
        <v>9215</v>
      </c>
      <c r="AT475" t="s">
        <v>8489</v>
      </c>
      <c r="AU475">
        <v>2014</v>
      </c>
      <c r="AV475">
        <v>64</v>
      </c>
      <c r="AW475">
        <v>7</v>
      </c>
      <c r="AX475" t="s">
        <v>74</v>
      </c>
      <c r="AY475" t="s">
        <v>74</v>
      </c>
      <c r="AZ475" t="s">
        <v>74</v>
      </c>
      <c r="BA475" t="s">
        <v>74</v>
      </c>
      <c r="BB475">
        <v>593</v>
      </c>
      <c r="BC475">
        <v>600</v>
      </c>
      <c r="BD475" t="s">
        <v>74</v>
      </c>
      <c r="BE475" t="s">
        <v>9216</v>
      </c>
      <c r="BF475" t="str">
        <f>HYPERLINK("http://dx.doi.org/10.1093/biosci/biu074","http://dx.doi.org/10.1093/biosci/biu074")</f>
        <v>http://dx.doi.org/10.1093/biosci/biu074</v>
      </c>
      <c r="BG475" t="s">
        <v>74</v>
      </c>
      <c r="BH475" t="s">
        <v>74</v>
      </c>
      <c r="BI475">
        <v>8</v>
      </c>
      <c r="BJ475" t="s">
        <v>1300</v>
      </c>
      <c r="BK475" t="s">
        <v>102</v>
      </c>
      <c r="BL475" t="s">
        <v>1301</v>
      </c>
      <c r="BM475" t="s">
        <v>9217</v>
      </c>
      <c r="BN475" t="s">
        <v>74</v>
      </c>
      <c r="BO475" t="s">
        <v>74</v>
      </c>
      <c r="BP475" t="s">
        <v>74</v>
      </c>
      <c r="BQ475" t="s">
        <v>74</v>
      </c>
      <c r="BR475" t="s">
        <v>105</v>
      </c>
      <c r="BS475" t="s">
        <v>9218</v>
      </c>
      <c r="BT475" t="str">
        <f>HYPERLINK("https%3A%2F%2Fwww.webofscience.com%2Fwos%2Fwoscc%2Ffull-record%2FWOS:000338915200007","View Full Record in Web of Science")</f>
        <v>View Full Record in Web of Science</v>
      </c>
    </row>
    <row r="476" spans="1:72" x14ac:dyDescent="0.15">
      <c r="A476" t="s">
        <v>72</v>
      </c>
      <c r="B476" t="s">
        <v>9219</v>
      </c>
      <c r="C476" t="s">
        <v>74</v>
      </c>
      <c r="D476" t="s">
        <v>74</v>
      </c>
      <c r="E476" t="s">
        <v>74</v>
      </c>
      <c r="F476" t="s">
        <v>9220</v>
      </c>
      <c r="G476" t="s">
        <v>74</v>
      </c>
      <c r="H476" t="s">
        <v>74</v>
      </c>
      <c r="I476" t="s">
        <v>9221</v>
      </c>
      <c r="J476" t="s">
        <v>9222</v>
      </c>
      <c r="K476" t="s">
        <v>74</v>
      </c>
      <c r="L476" t="s">
        <v>74</v>
      </c>
      <c r="M476" t="s">
        <v>78</v>
      </c>
      <c r="N476" t="s">
        <v>79</v>
      </c>
      <c r="O476" t="s">
        <v>74</v>
      </c>
      <c r="P476" t="s">
        <v>74</v>
      </c>
      <c r="Q476" t="s">
        <v>74</v>
      </c>
      <c r="R476" t="s">
        <v>74</v>
      </c>
      <c r="S476" t="s">
        <v>74</v>
      </c>
      <c r="T476" t="s">
        <v>74</v>
      </c>
      <c r="U476" t="s">
        <v>9223</v>
      </c>
      <c r="V476" t="s">
        <v>9224</v>
      </c>
      <c r="W476" t="s">
        <v>9225</v>
      </c>
      <c r="X476" t="s">
        <v>9226</v>
      </c>
      <c r="Y476" t="s">
        <v>9227</v>
      </c>
      <c r="Z476" t="s">
        <v>9228</v>
      </c>
      <c r="AA476" t="s">
        <v>9229</v>
      </c>
      <c r="AB476" t="s">
        <v>9230</v>
      </c>
      <c r="AC476" t="s">
        <v>9231</v>
      </c>
      <c r="AD476" t="s">
        <v>9231</v>
      </c>
      <c r="AE476" t="s">
        <v>9232</v>
      </c>
      <c r="AF476" t="s">
        <v>74</v>
      </c>
      <c r="AG476">
        <v>101</v>
      </c>
      <c r="AH476">
        <v>22</v>
      </c>
      <c r="AI476">
        <v>25</v>
      </c>
      <c r="AJ476">
        <v>3</v>
      </c>
      <c r="AK476">
        <v>31</v>
      </c>
      <c r="AL476" t="s">
        <v>3837</v>
      </c>
      <c r="AM476" t="s">
        <v>3838</v>
      </c>
      <c r="AN476" t="s">
        <v>3839</v>
      </c>
      <c r="AO476" t="s">
        <v>9233</v>
      </c>
      <c r="AP476" t="s">
        <v>9234</v>
      </c>
      <c r="AQ476" t="s">
        <v>74</v>
      </c>
      <c r="AR476" t="s">
        <v>9235</v>
      </c>
      <c r="AS476" t="s">
        <v>9236</v>
      </c>
      <c r="AT476" t="s">
        <v>8489</v>
      </c>
      <c r="AU476">
        <v>2014</v>
      </c>
      <c r="AV476">
        <v>171</v>
      </c>
      <c r="AW476">
        <v>4</v>
      </c>
      <c r="AX476" t="s">
        <v>74</v>
      </c>
      <c r="AY476" t="s">
        <v>74</v>
      </c>
      <c r="AZ476" t="s">
        <v>74</v>
      </c>
      <c r="BA476" t="s">
        <v>74</v>
      </c>
      <c r="BB476">
        <v>591</v>
      </c>
      <c r="BC476">
        <v>604</v>
      </c>
      <c r="BD476" t="s">
        <v>74</v>
      </c>
      <c r="BE476" t="s">
        <v>9237</v>
      </c>
      <c r="BF476" t="str">
        <f>HYPERLINK("http://dx.doi.org/10.1144/jgs2014-009","http://dx.doi.org/10.1144/jgs2014-009")</f>
        <v>http://dx.doi.org/10.1144/jgs2014-009</v>
      </c>
      <c r="BG476" t="s">
        <v>74</v>
      </c>
      <c r="BH476" t="s">
        <v>74</v>
      </c>
      <c r="BI476">
        <v>14</v>
      </c>
      <c r="BJ476" t="s">
        <v>685</v>
      </c>
      <c r="BK476" t="s">
        <v>102</v>
      </c>
      <c r="BL476" t="s">
        <v>686</v>
      </c>
      <c r="BM476" t="s">
        <v>9238</v>
      </c>
      <c r="BN476" t="s">
        <v>74</v>
      </c>
      <c r="BO476" t="s">
        <v>262</v>
      </c>
      <c r="BP476" t="s">
        <v>74</v>
      </c>
      <c r="BQ476" t="s">
        <v>74</v>
      </c>
      <c r="BR476" t="s">
        <v>105</v>
      </c>
      <c r="BS476" t="s">
        <v>9239</v>
      </c>
      <c r="BT476" t="str">
        <f>HYPERLINK("https%3A%2F%2Fwww.webofscience.com%2Fwos%2Fwoscc%2Ffull-record%2FWOS:000338793100012","View Full Record in Web of Science")</f>
        <v>View Full Record in Web of Science</v>
      </c>
    </row>
    <row r="477" spans="1:72" x14ac:dyDescent="0.15">
      <c r="A477" t="s">
        <v>72</v>
      </c>
      <c r="B477" t="s">
        <v>9240</v>
      </c>
      <c r="C477" t="s">
        <v>74</v>
      </c>
      <c r="D477" t="s">
        <v>74</v>
      </c>
      <c r="E477" t="s">
        <v>74</v>
      </c>
      <c r="F477" t="s">
        <v>9241</v>
      </c>
      <c r="G477" t="s">
        <v>74</v>
      </c>
      <c r="H477" t="s">
        <v>74</v>
      </c>
      <c r="I477" t="s">
        <v>9242</v>
      </c>
      <c r="J477" t="s">
        <v>5819</v>
      </c>
      <c r="K477" t="s">
        <v>74</v>
      </c>
      <c r="L477" t="s">
        <v>74</v>
      </c>
      <c r="M477" t="s">
        <v>78</v>
      </c>
      <c r="N477" t="s">
        <v>79</v>
      </c>
      <c r="O477" t="s">
        <v>74</v>
      </c>
      <c r="P477" t="s">
        <v>74</v>
      </c>
      <c r="Q477" t="s">
        <v>74</v>
      </c>
      <c r="R477" t="s">
        <v>74</v>
      </c>
      <c r="S477" t="s">
        <v>74</v>
      </c>
      <c r="T477" t="s">
        <v>9243</v>
      </c>
      <c r="U477" t="s">
        <v>9244</v>
      </c>
      <c r="V477" t="s">
        <v>9245</v>
      </c>
      <c r="W477" t="s">
        <v>9246</v>
      </c>
      <c r="X477" t="s">
        <v>9247</v>
      </c>
      <c r="Y477" t="s">
        <v>9248</v>
      </c>
      <c r="Z477" t="s">
        <v>9249</v>
      </c>
      <c r="AA477" t="s">
        <v>9250</v>
      </c>
      <c r="AB477" t="s">
        <v>9251</v>
      </c>
      <c r="AC477" t="s">
        <v>9252</v>
      </c>
      <c r="AD477" t="s">
        <v>9253</v>
      </c>
      <c r="AE477" t="s">
        <v>9254</v>
      </c>
      <c r="AF477" t="s">
        <v>74</v>
      </c>
      <c r="AG477">
        <v>68</v>
      </c>
      <c r="AH477">
        <v>12</v>
      </c>
      <c r="AI477">
        <v>13</v>
      </c>
      <c r="AJ477">
        <v>2</v>
      </c>
      <c r="AK477">
        <v>57</v>
      </c>
      <c r="AL477" t="s">
        <v>2571</v>
      </c>
      <c r="AM477" t="s">
        <v>654</v>
      </c>
      <c r="AN477" t="s">
        <v>2572</v>
      </c>
      <c r="AO477" t="s">
        <v>5832</v>
      </c>
      <c r="AP477" t="s">
        <v>5833</v>
      </c>
      <c r="AQ477" t="s">
        <v>74</v>
      </c>
      <c r="AR477" t="s">
        <v>5834</v>
      </c>
      <c r="AS477" t="s">
        <v>5835</v>
      </c>
      <c r="AT477" t="s">
        <v>8489</v>
      </c>
      <c r="AU477">
        <v>2014</v>
      </c>
      <c r="AV477">
        <v>93</v>
      </c>
      <c r="AW477" t="s">
        <v>74</v>
      </c>
      <c r="AX477" t="s">
        <v>74</v>
      </c>
      <c r="AY477" t="s">
        <v>74</v>
      </c>
      <c r="AZ477" t="s">
        <v>74</v>
      </c>
      <c r="BA477" t="s">
        <v>74</v>
      </c>
      <c r="BB477">
        <v>77</v>
      </c>
      <c r="BC477">
        <v>86</v>
      </c>
      <c r="BD477" t="s">
        <v>74</v>
      </c>
      <c r="BE477" t="s">
        <v>9255</v>
      </c>
      <c r="BF477" t="str">
        <f>HYPERLINK("http://dx.doi.org/10.1016/j.anbehav.2014.04.019","http://dx.doi.org/10.1016/j.anbehav.2014.04.019")</f>
        <v>http://dx.doi.org/10.1016/j.anbehav.2014.04.019</v>
      </c>
      <c r="BG477" t="s">
        <v>74</v>
      </c>
      <c r="BH477" t="s">
        <v>74</v>
      </c>
      <c r="BI477">
        <v>10</v>
      </c>
      <c r="BJ477" t="s">
        <v>5837</v>
      </c>
      <c r="BK477" t="s">
        <v>102</v>
      </c>
      <c r="BL477" t="s">
        <v>5837</v>
      </c>
      <c r="BM477" t="s">
        <v>9256</v>
      </c>
      <c r="BN477" t="s">
        <v>74</v>
      </c>
      <c r="BO477" t="s">
        <v>74</v>
      </c>
      <c r="BP477" t="s">
        <v>74</v>
      </c>
      <c r="BQ477" t="s">
        <v>74</v>
      </c>
      <c r="BR477" t="s">
        <v>105</v>
      </c>
      <c r="BS477" t="s">
        <v>9257</v>
      </c>
      <c r="BT477" t="str">
        <f>HYPERLINK("https%3A%2F%2Fwww.webofscience.com%2Fwos%2Fwoscc%2Ffull-record%2FWOS:000338712900010","View Full Record in Web of Science")</f>
        <v>View Full Record in Web of Science</v>
      </c>
    </row>
    <row r="478" spans="1:72" x14ac:dyDescent="0.15">
      <c r="A478" t="s">
        <v>72</v>
      </c>
      <c r="B478" t="s">
        <v>9258</v>
      </c>
      <c r="C478" t="s">
        <v>74</v>
      </c>
      <c r="D478" t="s">
        <v>74</v>
      </c>
      <c r="E478" t="s">
        <v>74</v>
      </c>
      <c r="F478" t="s">
        <v>9259</v>
      </c>
      <c r="G478" t="s">
        <v>74</v>
      </c>
      <c r="H478" t="s">
        <v>74</v>
      </c>
      <c r="I478" t="s">
        <v>9260</v>
      </c>
      <c r="J478" t="s">
        <v>9261</v>
      </c>
      <c r="K478" t="s">
        <v>74</v>
      </c>
      <c r="L478" t="s">
        <v>74</v>
      </c>
      <c r="M478" t="s">
        <v>78</v>
      </c>
      <c r="N478" t="s">
        <v>79</v>
      </c>
      <c r="O478" t="s">
        <v>74</v>
      </c>
      <c r="P478" t="s">
        <v>74</v>
      </c>
      <c r="Q478" t="s">
        <v>74</v>
      </c>
      <c r="R478" t="s">
        <v>74</v>
      </c>
      <c r="S478" t="s">
        <v>74</v>
      </c>
      <c r="T478" t="s">
        <v>74</v>
      </c>
      <c r="U478" t="s">
        <v>9262</v>
      </c>
      <c r="V478" t="s">
        <v>9263</v>
      </c>
      <c r="W478" t="s">
        <v>9264</v>
      </c>
      <c r="X478" t="s">
        <v>2686</v>
      </c>
      <c r="Y478" t="s">
        <v>74</v>
      </c>
      <c r="Z478" t="s">
        <v>9265</v>
      </c>
      <c r="AA478" t="s">
        <v>9266</v>
      </c>
      <c r="AB478" t="s">
        <v>74</v>
      </c>
      <c r="AC478" t="s">
        <v>74</v>
      </c>
      <c r="AD478" t="s">
        <v>74</v>
      </c>
      <c r="AE478" t="s">
        <v>74</v>
      </c>
      <c r="AF478" t="s">
        <v>74</v>
      </c>
      <c r="AG478">
        <v>23</v>
      </c>
      <c r="AH478">
        <v>2</v>
      </c>
      <c r="AI478">
        <v>3</v>
      </c>
      <c r="AJ478">
        <v>0</v>
      </c>
      <c r="AK478">
        <v>5</v>
      </c>
      <c r="AL478" t="s">
        <v>3336</v>
      </c>
      <c r="AM478" t="s">
        <v>3337</v>
      </c>
      <c r="AN478" t="s">
        <v>3338</v>
      </c>
      <c r="AO478" t="s">
        <v>9267</v>
      </c>
      <c r="AP478" t="s">
        <v>9268</v>
      </c>
      <c r="AQ478" t="s">
        <v>74</v>
      </c>
      <c r="AR478" t="s">
        <v>9269</v>
      </c>
      <c r="AS478" t="s">
        <v>9270</v>
      </c>
      <c r="AT478" t="s">
        <v>8489</v>
      </c>
      <c r="AU478">
        <v>2014</v>
      </c>
      <c r="AV478">
        <v>49</v>
      </c>
      <c r="AW478">
        <v>4</v>
      </c>
      <c r="AX478" t="s">
        <v>74</v>
      </c>
      <c r="AY478" t="s">
        <v>74</v>
      </c>
      <c r="AZ478" t="s">
        <v>74</v>
      </c>
      <c r="BA478" t="s">
        <v>74</v>
      </c>
      <c r="BB478">
        <v>281</v>
      </c>
      <c r="BC478">
        <v>291</v>
      </c>
      <c r="BD478" t="s">
        <v>74</v>
      </c>
      <c r="BE478" t="s">
        <v>9271</v>
      </c>
      <c r="BF478" t="str">
        <f>HYPERLINK("http://dx.doi.org/10.1134/S0024490214030067","http://dx.doi.org/10.1134/S0024490214030067")</f>
        <v>http://dx.doi.org/10.1134/S0024490214030067</v>
      </c>
      <c r="BG478" t="s">
        <v>74</v>
      </c>
      <c r="BH478" t="s">
        <v>74</v>
      </c>
      <c r="BI478">
        <v>11</v>
      </c>
      <c r="BJ478" t="s">
        <v>9272</v>
      </c>
      <c r="BK478" t="s">
        <v>102</v>
      </c>
      <c r="BL478" t="s">
        <v>9272</v>
      </c>
      <c r="BM478" t="s">
        <v>9273</v>
      </c>
      <c r="BN478" t="s">
        <v>74</v>
      </c>
      <c r="BO478" t="s">
        <v>74</v>
      </c>
      <c r="BP478" t="s">
        <v>74</v>
      </c>
      <c r="BQ478" t="s">
        <v>74</v>
      </c>
      <c r="BR478" t="s">
        <v>105</v>
      </c>
      <c r="BS478" t="s">
        <v>9274</v>
      </c>
      <c r="BT478" t="str">
        <f>HYPERLINK("https%3A%2F%2Fwww.webofscience.com%2Fwos%2Fwoscc%2Ffull-record%2FWOS:000338832900001","View Full Record in Web of Science")</f>
        <v>View Full Record in Web of Science</v>
      </c>
    </row>
    <row r="479" spans="1:72" x14ac:dyDescent="0.15">
      <c r="A479" t="s">
        <v>72</v>
      </c>
      <c r="B479" t="s">
        <v>9275</v>
      </c>
      <c r="C479" t="s">
        <v>74</v>
      </c>
      <c r="D479" t="s">
        <v>74</v>
      </c>
      <c r="E479" t="s">
        <v>74</v>
      </c>
      <c r="F479" t="s">
        <v>9276</v>
      </c>
      <c r="G479" t="s">
        <v>74</v>
      </c>
      <c r="H479" t="s">
        <v>74</v>
      </c>
      <c r="I479" t="s">
        <v>9277</v>
      </c>
      <c r="J479" t="s">
        <v>9278</v>
      </c>
      <c r="K479" t="s">
        <v>74</v>
      </c>
      <c r="L479" t="s">
        <v>74</v>
      </c>
      <c r="M479" t="s">
        <v>78</v>
      </c>
      <c r="N479" t="s">
        <v>79</v>
      </c>
      <c r="O479" t="s">
        <v>74</v>
      </c>
      <c r="P479" t="s">
        <v>74</v>
      </c>
      <c r="Q479" t="s">
        <v>74</v>
      </c>
      <c r="R479" t="s">
        <v>74</v>
      </c>
      <c r="S479" t="s">
        <v>74</v>
      </c>
      <c r="T479" t="s">
        <v>9279</v>
      </c>
      <c r="U479" t="s">
        <v>9280</v>
      </c>
      <c r="V479" t="s">
        <v>9281</v>
      </c>
      <c r="W479" t="s">
        <v>9282</v>
      </c>
      <c r="X479" t="s">
        <v>9283</v>
      </c>
      <c r="Y479" t="s">
        <v>9284</v>
      </c>
      <c r="Z479" t="s">
        <v>9285</v>
      </c>
      <c r="AA479" t="s">
        <v>9286</v>
      </c>
      <c r="AB479" t="s">
        <v>9287</v>
      </c>
      <c r="AC479" t="s">
        <v>9288</v>
      </c>
      <c r="AD479" t="s">
        <v>9289</v>
      </c>
      <c r="AE479" t="s">
        <v>9290</v>
      </c>
      <c r="AF479" t="s">
        <v>74</v>
      </c>
      <c r="AG479">
        <v>51</v>
      </c>
      <c r="AH479">
        <v>16</v>
      </c>
      <c r="AI479">
        <v>16</v>
      </c>
      <c r="AJ479">
        <v>1</v>
      </c>
      <c r="AK479">
        <v>42</v>
      </c>
      <c r="AL479" t="s">
        <v>304</v>
      </c>
      <c r="AM479" t="s">
        <v>305</v>
      </c>
      <c r="AN479" t="s">
        <v>306</v>
      </c>
      <c r="AO479" t="s">
        <v>9291</v>
      </c>
      <c r="AP479" t="s">
        <v>9292</v>
      </c>
      <c r="AQ479" t="s">
        <v>74</v>
      </c>
      <c r="AR479" t="s">
        <v>9293</v>
      </c>
      <c r="AS479" t="s">
        <v>9294</v>
      </c>
      <c r="AT479" t="s">
        <v>8489</v>
      </c>
      <c r="AU479">
        <v>2014</v>
      </c>
      <c r="AV479">
        <v>36</v>
      </c>
      <c r="AW479">
        <v>7</v>
      </c>
      <c r="AX479" t="s">
        <v>74</v>
      </c>
      <c r="AY479" t="s">
        <v>74</v>
      </c>
      <c r="AZ479" t="s">
        <v>74</v>
      </c>
      <c r="BA479" t="s">
        <v>74</v>
      </c>
      <c r="BB479">
        <v>1771</v>
      </c>
      <c r="BC479">
        <v>1780</v>
      </c>
      <c r="BD479" t="s">
        <v>74</v>
      </c>
      <c r="BE479" t="s">
        <v>9295</v>
      </c>
      <c r="BF479" t="str">
        <f>HYPERLINK("http://dx.doi.org/10.1007/s11738-014-1551-7","http://dx.doi.org/10.1007/s11738-014-1551-7")</f>
        <v>http://dx.doi.org/10.1007/s11738-014-1551-7</v>
      </c>
      <c r="BG479" t="s">
        <v>74</v>
      </c>
      <c r="BH479" t="s">
        <v>74</v>
      </c>
      <c r="BI479">
        <v>10</v>
      </c>
      <c r="BJ479" t="s">
        <v>8464</v>
      </c>
      <c r="BK479" t="s">
        <v>102</v>
      </c>
      <c r="BL479" t="s">
        <v>8464</v>
      </c>
      <c r="BM479" t="s">
        <v>9296</v>
      </c>
      <c r="BN479" t="s">
        <v>74</v>
      </c>
      <c r="BO479" t="s">
        <v>9297</v>
      </c>
      <c r="BP479" t="s">
        <v>74</v>
      </c>
      <c r="BQ479" t="s">
        <v>74</v>
      </c>
      <c r="BR479" t="s">
        <v>105</v>
      </c>
      <c r="BS479" t="s">
        <v>9298</v>
      </c>
      <c r="BT479" t="str">
        <f>HYPERLINK("https%3A%2F%2Fwww.webofscience.com%2Fwos%2Fwoscc%2Ffull-record%2FWOS:000338283200016","View Full Record in Web of Science")</f>
        <v>View Full Record in Web of Science</v>
      </c>
    </row>
    <row r="480" spans="1:72" x14ac:dyDescent="0.15">
      <c r="A480" t="s">
        <v>72</v>
      </c>
      <c r="B480" t="s">
        <v>9299</v>
      </c>
      <c r="C480" t="s">
        <v>74</v>
      </c>
      <c r="D480" t="s">
        <v>74</v>
      </c>
      <c r="E480" t="s">
        <v>74</v>
      </c>
      <c r="F480" t="s">
        <v>9300</v>
      </c>
      <c r="G480" t="s">
        <v>74</v>
      </c>
      <c r="H480" t="s">
        <v>74</v>
      </c>
      <c r="I480" t="s">
        <v>9301</v>
      </c>
      <c r="J480" t="s">
        <v>2732</v>
      </c>
      <c r="K480" t="s">
        <v>74</v>
      </c>
      <c r="L480" t="s">
        <v>74</v>
      </c>
      <c r="M480" t="s">
        <v>78</v>
      </c>
      <c r="N480" t="s">
        <v>79</v>
      </c>
      <c r="O480" t="s">
        <v>74</v>
      </c>
      <c r="P480" t="s">
        <v>74</v>
      </c>
      <c r="Q480" t="s">
        <v>74</v>
      </c>
      <c r="R480" t="s">
        <v>74</v>
      </c>
      <c r="S480" t="s">
        <v>74</v>
      </c>
      <c r="T480" t="s">
        <v>9302</v>
      </c>
      <c r="U480" t="s">
        <v>9303</v>
      </c>
      <c r="V480" t="s">
        <v>9304</v>
      </c>
      <c r="W480" t="s">
        <v>9305</v>
      </c>
      <c r="X480" t="s">
        <v>9306</v>
      </c>
      <c r="Y480" t="s">
        <v>9307</v>
      </c>
      <c r="Z480" t="s">
        <v>9308</v>
      </c>
      <c r="AA480" t="s">
        <v>9309</v>
      </c>
      <c r="AB480" t="s">
        <v>9310</v>
      </c>
      <c r="AC480" t="s">
        <v>9311</v>
      </c>
      <c r="AD480" t="s">
        <v>9312</v>
      </c>
      <c r="AE480" t="s">
        <v>9313</v>
      </c>
      <c r="AF480" t="s">
        <v>74</v>
      </c>
      <c r="AG480">
        <v>71</v>
      </c>
      <c r="AH480">
        <v>29</v>
      </c>
      <c r="AI480">
        <v>31</v>
      </c>
      <c r="AJ480">
        <v>1</v>
      </c>
      <c r="AK480">
        <v>92</v>
      </c>
      <c r="AL480" t="s">
        <v>224</v>
      </c>
      <c r="AM480" t="s">
        <v>576</v>
      </c>
      <c r="AN480" t="s">
        <v>778</v>
      </c>
      <c r="AO480" t="s">
        <v>2745</v>
      </c>
      <c r="AP480" t="s">
        <v>2746</v>
      </c>
      <c r="AQ480" t="s">
        <v>74</v>
      </c>
      <c r="AR480" t="s">
        <v>2747</v>
      </c>
      <c r="AS480" t="s">
        <v>2748</v>
      </c>
      <c r="AT480" t="s">
        <v>8489</v>
      </c>
      <c r="AU480">
        <v>2014</v>
      </c>
      <c r="AV480">
        <v>43</v>
      </c>
      <c r="AW480" t="s">
        <v>1321</v>
      </c>
      <c r="AX480" t="s">
        <v>74</v>
      </c>
      <c r="AY480" t="s">
        <v>74</v>
      </c>
      <c r="AZ480" t="s">
        <v>74</v>
      </c>
      <c r="BA480" t="s">
        <v>74</v>
      </c>
      <c r="BB480">
        <v>37</v>
      </c>
      <c r="BC480">
        <v>52</v>
      </c>
      <c r="BD480" t="s">
        <v>74</v>
      </c>
      <c r="BE480" t="s">
        <v>9314</v>
      </c>
      <c r="BF480" t="str">
        <f>HYPERLINK("http://dx.doi.org/10.1007/s00382-013-1809-6","http://dx.doi.org/10.1007/s00382-013-1809-6")</f>
        <v>http://dx.doi.org/10.1007/s00382-013-1809-6</v>
      </c>
      <c r="BG480" t="s">
        <v>74</v>
      </c>
      <c r="BH480" t="s">
        <v>74</v>
      </c>
      <c r="BI480">
        <v>16</v>
      </c>
      <c r="BJ480" t="s">
        <v>177</v>
      </c>
      <c r="BK480" t="s">
        <v>102</v>
      </c>
      <c r="BL480" t="s">
        <v>177</v>
      </c>
      <c r="BM480" t="s">
        <v>9315</v>
      </c>
      <c r="BN480" t="s">
        <v>74</v>
      </c>
      <c r="BO480" t="s">
        <v>262</v>
      </c>
      <c r="BP480" t="s">
        <v>74</v>
      </c>
      <c r="BQ480" t="s">
        <v>74</v>
      </c>
      <c r="BR480" t="s">
        <v>105</v>
      </c>
      <c r="BS480" t="s">
        <v>9316</v>
      </c>
      <c r="BT480" t="str">
        <f>HYPERLINK("https%3A%2F%2Fwww.webofscience.com%2Fwos%2Fwoscc%2Ffull-record%2FWOS:000338337700003","View Full Record in Web of Science")</f>
        <v>View Full Record in Web of Science</v>
      </c>
    </row>
    <row r="481" spans="1:72" x14ac:dyDescent="0.15">
      <c r="A481" t="s">
        <v>72</v>
      </c>
      <c r="B481" t="s">
        <v>9317</v>
      </c>
      <c r="C481" t="s">
        <v>74</v>
      </c>
      <c r="D481" t="s">
        <v>74</v>
      </c>
      <c r="E481" t="s">
        <v>74</v>
      </c>
      <c r="F481" t="s">
        <v>9318</v>
      </c>
      <c r="G481" t="s">
        <v>74</v>
      </c>
      <c r="H481" t="s">
        <v>74</v>
      </c>
      <c r="I481" t="s">
        <v>9319</v>
      </c>
      <c r="J481" t="s">
        <v>3420</v>
      </c>
      <c r="K481" t="s">
        <v>74</v>
      </c>
      <c r="L481" t="s">
        <v>74</v>
      </c>
      <c r="M481" t="s">
        <v>78</v>
      </c>
      <c r="N481" t="s">
        <v>79</v>
      </c>
      <c r="O481" t="s">
        <v>74</v>
      </c>
      <c r="P481" t="s">
        <v>74</v>
      </c>
      <c r="Q481" t="s">
        <v>74</v>
      </c>
      <c r="R481" t="s">
        <v>74</v>
      </c>
      <c r="S481" t="s">
        <v>74</v>
      </c>
      <c r="T481" t="s">
        <v>9320</v>
      </c>
      <c r="U481" t="s">
        <v>9321</v>
      </c>
      <c r="V481" t="s">
        <v>9322</v>
      </c>
      <c r="W481" t="s">
        <v>9323</v>
      </c>
      <c r="X481" t="s">
        <v>9324</v>
      </c>
      <c r="Y481" t="s">
        <v>9325</v>
      </c>
      <c r="Z481" t="s">
        <v>9326</v>
      </c>
      <c r="AA481" t="s">
        <v>9327</v>
      </c>
      <c r="AB481" t="s">
        <v>9328</v>
      </c>
      <c r="AC481" t="s">
        <v>9329</v>
      </c>
      <c r="AD481" t="s">
        <v>9329</v>
      </c>
      <c r="AE481" t="s">
        <v>9330</v>
      </c>
      <c r="AF481" t="s">
        <v>74</v>
      </c>
      <c r="AG481">
        <v>80</v>
      </c>
      <c r="AH481">
        <v>21</v>
      </c>
      <c r="AI481">
        <v>21</v>
      </c>
      <c r="AJ481">
        <v>0</v>
      </c>
      <c r="AK481">
        <v>17</v>
      </c>
      <c r="AL481" t="s">
        <v>3430</v>
      </c>
      <c r="AM481" t="s">
        <v>3431</v>
      </c>
      <c r="AN481" t="s">
        <v>3432</v>
      </c>
      <c r="AO481" t="s">
        <v>3433</v>
      </c>
      <c r="AP481" t="s">
        <v>3434</v>
      </c>
      <c r="AQ481" t="s">
        <v>74</v>
      </c>
      <c r="AR481" t="s">
        <v>3420</v>
      </c>
      <c r="AS481" t="s">
        <v>3435</v>
      </c>
      <c r="AT481" t="s">
        <v>8489</v>
      </c>
      <c r="AU481">
        <v>2014</v>
      </c>
      <c r="AV481">
        <v>18</v>
      </c>
      <c r="AW481">
        <v>4</v>
      </c>
      <c r="AX481" t="s">
        <v>74</v>
      </c>
      <c r="AY481" t="s">
        <v>74</v>
      </c>
      <c r="AZ481" t="s">
        <v>74</v>
      </c>
      <c r="BA481" t="s">
        <v>74</v>
      </c>
      <c r="BB481">
        <v>707</v>
      </c>
      <c r="BC481">
        <v>721</v>
      </c>
      <c r="BD481" t="s">
        <v>74</v>
      </c>
      <c r="BE481" t="s">
        <v>9331</v>
      </c>
      <c r="BF481" t="str">
        <f>HYPERLINK("http://dx.doi.org/10.1007/s00792-014-0651-z","http://dx.doi.org/10.1007/s00792-014-0651-z")</f>
        <v>http://dx.doi.org/10.1007/s00792-014-0651-z</v>
      </c>
      <c r="BG481" t="s">
        <v>74</v>
      </c>
      <c r="BH481" t="s">
        <v>74</v>
      </c>
      <c r="BI481">
        <v>15</v>
      </c>
      <c r="BJ481" t="s">
        <v>3437</v>
      </c>
      <c r="BK481" t="s">
        <v>102</v>
      </c>
      <c r="BL481" t="s">
        <v>3437</v>
      </c>
      <c r="BM481" t="s">
        <v>9332</v>
      </c>
      <c r="BN481">
        <v>24893860</v>
      </c>
      <c r="BO481" t="s">
        <v>74</v>
      </c>
      <c r="BP481" t="s">
        <v>74</v>
      </c>
      <c r="BQ481" t="s">
        <v>74</v>
      </c>
      <c r="BR481" t="s">
        <v>105</v>
      </c>
      <c r="BS481" t="s">
        <v>9333</v>
      </c>
      <c r="BT481" t="str">
        <f>HYPERLINK("https%3A%2F%2Fwww.webofscience.com%2Fwos%2Fwoscc%2Ffull-record%2FWOS:000338294500007","View Full Record in Web of Science")</f>
        <v>View Full Record in Web of Science</v>
      </c>
    </row>
    <row r="482" spans="1:72" x14ac:dyDescent="0.15">
      <c r="A482" t="s">
        <v>72</v>
      </c>
      <c r="B482" t="s">
        <v>9334</v>
      </c>
      <c r="C482" t="s">
        <v>74</v>
      </c>
      <c r="D482" t="s">
        <v>74</v>
      </c>
      <c r="E482" t="s">
        <v>74</v>
      </c>
      <c r="F482" t="s">
        <v>9335</v>
      </c>
      <c r="G482" t="s">
        <v>74</v>
      </c>
      <c r="H482" t="s">
        <v>74</v>
      </c>
      <c r="I482" t="s">
        <v>9336</v>
      </c>
      <c r="J482" t="s">
        <v>765</v>
      </c>
      <c r="K482" t="s">
        <v>74</v>
      </c>
      <c r="L482" t="s">
        <v>74</v>
      </c>
      <c r="M482" t="s">
        <v>78</v>
      </c>
      <c r="N482" t="s">
        <v>79</v>
      </c>
      <c r="O482" t="s">
        <v>74</v>
      </c>
      <c r="P482" t="s">
        <v>74</v>
      </c>
      <c r="Q482" t="s">
        <v>74</v>
      </c>
      <c r="R482" t="s">
        <v>74</v>
      </c>
      <c r="S482" t="s">
        <v>74</v>
      </c>
      <c r="T482" t="s">
        <v>9337</v>
      </c>
      <c r="U482" t="s">
        <v>9338</v>
      </c>
      <c r="V482" t="s">
        <v>9339</v>
      </c>
      <c r="W482" t="s">
        <v>9340</v>
      </c>
      <c r="X482" t="s">
        <v>9341</v>
      </c>
      <c r="Y482" t="s">
        <v>9342</v>
      </c>
      <c r="Z482" t="s">
        <v>9343</v>
      </c>
      <c r="AA482" t="s">
        <v>9344</v>
      </c>
      <c r="AB482" t="s">
        <v>9345</v>
      </c>
      <c r="AC482" t="s">
        <v>9346</v>
      </c>
      <c r="AD482" t="s">
        <v>9347</v>
      </c>
      <c r="AE482" t="s">
        <v>9348</v>
      </c>
      <c r="AF482" t="s">
        <v>74</v>
      </c>
      <c r="AG482">
        <v>40</v>
      </c>
      <c r="AH482">
        <v>5</v>
      </c>
      <c r="AI482">
        <v>6</v>
      </c>
      <c r="AJ482">
        <v>0</v>
      </c>
      <c r="AK482">
        <v>19</v>
      </c>
      <c r="AL482" t="s">
        <v>224</v>
      </c>
      <c r="AM482" t="s">
        <v>576</v>
      </c>
      <c r="AN482" t="s">
        <v>778</v>
      </c>
      <c r="AO482" t="s">
        <v>779</v>
      </c>
      <c r="AP482" t="s">
        <v>780</v>
      </c>
      <c r="AQ482" t="s">
        <v>74</v>
      </c>
      <c r="AR482" t="s">
        <v>781</v>
      </c>
      <c r="AS482" t="s">
        <v>782</v>
      </c>
      <c r="AT482" t="s">
        <v>8489</v>
      </c>
      <c r="AU482">
        <v>2014</v>
      </c>
      <c r="AV482">
        <v>37</v>
      </c>
      <c r="AW482">
        <v>7</v>
      </c>
      <c r="AX482" t="s">
        <v>74</v>
      </c>
      <c r="AY482" t="s">
        <v>74</v>
      </c>
      <c r="AZ482" t="s">
        <v>74</v>
      </c>
      <c r="BA482" t="s">
        <v>74</v>
      </c>
      <c r="BB482">
        <v>903</v>
      </c>
      <c r="BC482">
        <v>910</v>
      </c>
      <c r="BD482" t="s">
        <v>74</v>
      </c>
      <c r="BE482" t="s">
        <v>9349</v>
      </c>
      <c r="BF482" t="str">
        <f>HYPERLINK("http://dx.doi.org/10.1007/s00300-014-1489-7","http://dx.doi.org/10.1007/s00300-014-1489-7")</f>
        <v>http://dx.doi.org/10.1007/s00300-014-1489-7</v>
      </c>
      <c r="BG482" t="s">
        <v>74</v>
      </c>
      <c r="BH482" t="s">
        <v>74</v>
      </c>
      <c r="BI482">
        <v>8</v>
      </c>
      <c r="BJ482" t="s">
        <v>784</v>
      </c>
      <c r="BK482" t="s">
        <v>102</v>
      </c>
      <c r="BL482" t="s">
        <v>785</v>
      </c>
      <c r="BM482" t="s">
        <v>9350</v>
      </c>
      <c r="BN482" t="s">
        <v>74</v>
      </c>
      <c r="BO482" t="s">
        <v>74</v>
      </c>
      <c r="BP482" t="s">
        <v>74</v>
      </c>
      <c r="BQ482" t="s">
        <v>74</v>
      </c>
      <c r="BR482" t="s">
        <v>105</v>
      </c>
      <c r="BS482" t="s">
        <v>9351</v>
      </c>
      <c r="BT482" t="str">
        <f>HYPERLINK("https%3A%2F%2Fwww.webofscience.com%2Fwos%2Fwoscc%2Ffull-record%2FWOS:000338278300001","View Full Record in Web of Science")</f>
        <v>View Full Record in Web of Science</v>
      </c>
    </row>
    <row r="483" spans="1:72" x14ac:dyDescent="0.15">
      <c r="A483" t="s">
        <v>72</v>
      </c>
      <c r="B483" t="s">
        <v>9352</v>
      </c>
      <c r="C483" t="s">
        <v>74</v>
      </c>
      <c r="D483" t="s">
        <v>74</v>
      </c>
      <c r="E483" t="s">
        <v>74</v>
      </c>
      <c r="F483" t="s">
        <v>9353</v>
      </c>
      <c r="G483" t="s">
        <v>74</v>
      </c>
      <c r="H483" t="s">
        <v>74</v>
      </c>
      <c r="I483" t="s">
        <v>9354</v>
      </c>
      <c r="J483" t="s">
        <v>765</v>
      </c>
      <c r="K483" t="s">
        <v>74</v>
      </c>
      <c r="L483" t="s">
        <v>74</v>
      </c>
      <c r="M483" t="s">
        <v>78</v>
      </c>
      <c r="N483" t="s">
        <v>79</v>
      </c>
      <c r="O483" t="s">
        <v>74</v>
      </c>
      <c r="P483" t="s">
        <v>74</v>
      </c>
      <c r="Q483" t="s">
        <v>74</v>
      </c>
      <c r="R483" t="s">
        <v>74</v>
      </c>
      <c r="S483" t="s">
        <v>74</v>
      </c>
      <c r="T483" t="s">
        <v>9355</v>
      </c>
      <c r="U483" t="s">
        <v>9356</v>
      </c>
      <c r="V483" t="s">
        <v>9357</v>
      </c>
      <c r="W483" t="s">
        <v>9358</v>
      </c>
      <c r="X483" t="s">
        <v>9359</v>
      </c>
      <c r="Y483" t="s">
        <v>9360</v>
      </c>
      <c r="Z483" t="s">
        <v>9361</v>
      </c>
      <c r="AA483" t="s">
        <v>74</v>
      </c>
      <c r="AB483" t="s">
        <v>9362</v>
      </c>
      <c r="AC483" t="s">
        <v>9363</v>
      </c>
      <c r="AD483" t="s">
        <v>9364</v>
      </c>
      <c r="AE483" t="s">
        <v>9365</v>
      </c>
      <c r="AF483" t="s">
        <v>74</v>
      </c>
      <c r="AG483">
        <v>96</v>
      </c>
      <c r="AH483">
        <v>33</v>
      </c>
      <c r="AI483">
        <v>39</v>
      </c>
      <c r="AJ483">
        <v>1</v>
      </c>
      <c r="AK483">
        <v>87</v>
      </c>
      <c r="AL483" t="s">
        <v>224</v>
      </c>
      <c r="AM483" t="s">
        <v>576</v>
      </c>
      <c r="AN483" t="s">
        <v>577</v>
      </c>
      <c r="AO483" t="s">
        <v>779</v>
      </c>
      <c r="AP483" t="s">
        <v>780</v>
      </c>
      <c r="AQ483" t="s">
        <v>74</v>
      </c>
      <c r="AR483" t="s">
        <v>781</v>
      </c>
      <c r="AS483" t="s">
        <v>782</v>
      </c>
      <c r="AT483" t="s">
        <v>8489</v>
      </c>
      <c r="AU483">
        <v>2014</v>
      </c>
      <c r="AV483">
        <v>37</v>
      </c>
      <c r="AW483">
        <v>7</v>
      </c>
      <c r="AX483" t="s">
        <v>74</v>
      </c>
      <c r="AY483" t="s">
        <v>74</v>
      </c>
      <c r="AZ483" t="s">
        <v>74</v>
      </c>
      <c r="BA483" t="s">
        <v>74</v>
      </c>
      <c r="BB483">
        <v>967</v>
      </c>
      <c r="BC483">
        <v>980</v>
      </c>
      <c r="BD483" t="s">
        <v>74</v>
      </c>
      <c r="BE483" t="s">
        <v>9366</v>
      </c>
      <c r="BF483" t="str">
        <f>HYPERLINK("http://dx.doi.org/10.1007/s00300-014-1494-x","http://dx.doi.org/10.1007/s00300-014-1494-x")</f>
        <v>http://dx.doi.org/10.1007/s00300-014-1494-x</v>
      </c>
      <c r="BG483" t="s">
        <v>74</v>
      </c>
      <c r="BH483" t="s">
        <v>74</v>
      </c>
      <c r="BI483">
        <v>14</v>
      </c>
      <c r="BJ483" t="s">
        <v>784</v>
      </c>
      <c r="BK483" t="s">
        <v>102</v>
      </c>
      <c r="BL483" t="s">
        <v>785</v>
      </c>
      <c r="BM483" t="s">
        <v>9350</v>
      </c>
      <c r="BN483" t="s">
        <v>74</v>
      </c>
      <c r="BO483" t="s">
        <v>74</v>
      </c>
      <c r="BP483" t="s">
        <v>74</v>
      </c>
      <c r="BQ483" t="s">
        <v>74</v>
      </c>
      <c r="BR483" t="s">
        <v>105</v>
      </c>
      <c r="BS483" t="s">
        <v>9367</v>
      </c>
      <c r="BT483" t="str">
        <f>HYPERLINK("https%3A%2F%2Fwww.webofscience.com%2Fwos%2Fwoscc%2Ffull-record%2FWOS:000338278300005","View Full Record in Web of Science")</f>
        <v>View Full Record in Web of Science</v>
      </c>
    </row>
    <row r="484" spans="1:72" x14ac:dyDescent="0.15">
      <c r="A484" t="s">
        <v>72</v>
      </c>
      <c r="B484" t="s">
        <v>9368</v>
      </c>
      <c r="C484" t="s">
        <v>74</v>
      </c>
      <c r="D484" t="s">
        <v>74</v>
      </c>
      <c r="E484" t="s">
        <v>74</v>
      </c>
      <c r="F484" t="s">
        <v>9369</v>
      </c>
      <c r="G484" t="s">
        <v>74</v>
      </c>
      <c r="H484" t="s">
        <v>74</v>
      </c>
      <c r="I484" t="s">
        <v>9370</v>
      </c>
      <c r="J484" t="s">
        <v>9371</v>
      </c>
      <c r="K484" t="s">
        <v>74</v>
      </c>
      <c r="L484" t="s">
        <v>74</v>
      </c>
      <c r="M484" t="s">
        <v>78</v>
      </c>
      <c r="N484" t="s">
        <v>79</v>
      </c>
      <c r="O484" t="s">
        <v>74</v>
      </c>
      <c r="P484" t="s">
        <v>74</v>
      </c>
      <c r="Q484" t="s">
        <v>74</v>
      </c>
      <c r="R484" t="s">
        <v>74</v>
      </c>
      <c r="S484" t="s">
        <v>74</v>
      </c>
      <c r="T484" t="s">
        <v>74</v>
      </c>
      <c r="U484" t="s">
        <v>9372</v>
      </c>
      <c r="V484" t="s">
        <v>74</v>
      </c>
      <c r="W484" t="s">
        <v>9373</v>
      </c>
      <c r="X484" t="s">
        <v>74</v>
      </c>
      <c r="Y484" t="s">
        <v>9374</v>
      </c>
      <c r="Z484" t="s">
        <v>9375</v>
      </c>
      <c r="AA484" t="s">
        <v>9376</v>
      </c>
      <c r="AB484" t="s">
        <v>9377</v>
      </c>
      <c r="AC484" t="s">
        <v>9378</v>
      </c>
      <c r="AD484" t="s">
        <v>9378</v>
      </c>
      <c r="AE484" t="s">
        <v>9379</v>
      </c>
      <c r="AF484" t="s">
        <v>74</v>
      </c>
      <c r="AG484">
        <v>20</v>
      </c>
      <c r="AH484">
        <v>4</v>
      </c>
      <c r="AI484">
        <v>4</v>
      </c>
      <c r="AJ484">
        <v>0</v>
      </c>
      <c r="AK484">
        <v>4</v>
      </c>
      <c r="AL484" t="s">
        <v>9380</v>
      </c>
      <c r="AM484" t="s">
        <v>9381</v>
      </c>
      <c r="AN484" t="s">
        <v>9382</v>
      </c>
      <c r="AO484" t="s">
        <v>9383</v>
      </c>
      <c r="AP484" t="s">
        <v>74</v>
      </c>
      <c r="AQ484" t="s">
        <v>74</v>
      </c>
      <c r="AR484" t="s">
        <v>9384</v>
      </c>
      <c r="AS484" t="s">
        <v>9385</v>
      </c>
      <c r="AT484" t="s">
        <v>9030</v>
      </c>
      <c r="AU484">
        <v>2014</v>
      </c>
      <c r="AV484">
        <v>85</v>
      </c>
      <c r="AW484">
        <v>4</v>
      </c>
      <c r="AX484" t="s">
        <v>74</v>
      </c>
      <c r="AY484" t="s">
        <v>74</v>
      </c>
      <c r="AZ484" t="s">
        <v>74</v>
      </c>
      <c r="BA484" t="s">
        <v>74</v>
      </c>
      <c r="BB484">
        <v>852</v>
      </c>
      <c r="BC484">
        <v>862</v>
      </c>
      <c r="BD484" t="s">
        <v>74</v>
      </c>
      <c r="BE484" t="s">
        <v>9386</v>
      </c>
      <c r="BF484" t="str">
        <f>HYPERLINK("http://dx.doi.org/10.1785/0220130223","http://dx.doi.org/10.1785/0220130223")</f>
        <v>http://dx.doi.org/10.1785/0220130223</v>
      </c>
      <c r="BG484" t="s">
        <v>74</v>
      </c>
      <c r="BH484" t="s">
        <v>74</v>
      </c>
      <c r="BI484">
        <v>11</v>
      </c>
      <c r="BJ484" t="s">
        <v>425</v>
      </c>
      <c r="BK484" t="s">
        <v>102</v>
      </c>
      <c r="BL484" t="s">
        <v>425</v>
      </c>
      <c r="BM484" t="s">
        <v>9387</v>
      </c>
      <c r="BN484" t="s">
        <v>74</v>
      </c>
      <c r="BO484" t="s">
        <v>74</v>
      </c>
      <c r="BP484" t="s">
        <v>74</v>
      </c>
      <c r="BQ484" t="s">
        <v>74</v>
      </c>
      <c r="BR484" t="s">
        <v>105</v>
      </c>
      <c r="BS484" t="s">
        <v>9388</v>
      </c>
      <c r="BT484" t="str">
        <f>HYPERLINK("https%3A%2F%2Fwww.webofscience.com%2Fwos%2Fwoscc%2Ffull-record%2FWOS:000338182000012","View Full Record in Web of Science")</f>
        <v>View Full Record in Web of Science</v>
      </c>
    </row>
    <row r="485" spans="1:72" x14ac:dyDescent="0.15">
      <c r="A485" t="s">
        <v>72</v>
      </c>
      <c r="B485" t="s">
        <v>9389</v>
      </c>
      <c r="C485" t="s">
        <v>74</v>
      </c>
      <c r="D485" t="s">
        <v>74</v>
      </c>
      <c r="E485" t="s">
        <v>74</v>
      </c>
      <c r="F485" t="s">
        <v>9390</v>
      </c>
      <c r="G485" t="s">
        <v>74</v>
      </c>
      <c r="H485" t="s">
        <v>74</v>
      </c>
      <c r="I485" t="s">
        <v>9391</v>
      </c>
      <c r="J485" t="s">
        <v>9392</v>
      </c>
      <c r="K485" t="s">
        <v>74</v>
      </c>
      <c r="L485" t="s">
        <v>74</v>
      </c>
      <c r="M485" t="s">
        <v>78</v>
      </c>
      <c r="N485" t="s">
        <v>79</v>
      </c>
      <c r="O485" t="s">
        <v>74</v>
      </c>
      <c r="P485" t="s">
        <v>74</v>
      </c>
      <c r="Q485" t="s">
        <v>74</v>
      </c>
      <c r="R485" t="s">
        <v>74</v>
      </c>
      <c r="S485" t="s">
        <v>74</v>
      </c>
      <c r="T485" t="s">
        <v>74</v>
      </c>
      <c r="U485" t="s">
        <v>9393</v>
      </c>
      <c r="V485" t="s">
        <v>9394</v>
      </c>
      <c r="W485" t="s">
        <v>9395</v>
      </c>
      <c r="X485" t="s">
        <v>9396</v>
      </c>
      <c r="Y485" t="s">
        <v>9397</v>
      </c>
      <c r="Z485" t="s">
        <v>9398</v>
      </c>
      <c r="AA485" t="s">
        <v>9399</v>
      </c>
      <c r="AB485" t="s">
        <v>9400</v>
      </c>
      <c r="AC485" t="s">
        <v>9401</v>
      </c>
      <c r="AD485" t="s">
        <v>9402</v>
      </c>
      <c r="AE485" t="s">
        <v>9403</v>
      </c>
      <c r="AF485" t="s">
        <v>74</v>
      </c>
      <c r="AG485">
        <v>57</v>
      </c>
      <c r="AH485">
        <v>45</v>
      </c>
      <c r="AI485">
        <v>55</v>
      </c>
      <c r="AJ485">
        <v>0</v>
      </c>
      <c r="AK485">
        <v>26</v>
      </c>
      <c r="AL485" t="s">
        <v>92</v>
      </c>
      <c r="AM485" t="s">
        <v>93</v>
      </c>
      <c r="AN485" t="s">
        <v>94</v>
      </c>
      <c r="AO485" t="s">
        <v>9404</v>
      </c>
      <c r="AP485" t="s">
        <v>9405</v>
      </c>
      <c r="AQ485" t="s">
        <v>74</v>
      </c>
      <c r="AR485" t="s">
        <v>9406</v>
      </c>
      <c r="AS485" t="s">
        <v>9407</v>
      </c>
      <c r="AT485" t="s">
        <v>9030</v>
      </c>
      <c r="AU485">
        <v>2014</v>
      </c>
      <c r="AV485">
        <v>26</v>
      </c>
      <c r="AW485">
        <v>4</v>
      </c>
      <c r="AX485" t="s">
        <v>74</v>
      </c>
      <c r="AY485" t="s">
        <v>74</v>
      </c>
      <c r="AZ485" t="s">
        <v>74</v>
      </c>
      <c r="BA485" t="s">
        <v>74</v>
      </c>
      <c r="BB485">
        <v>437</v>
      </c>
      <c r="BC485">
        <v>445</v>
      </c>
      <c r="BD485" t="s">
        <v>74</v>
      </c>
      <c r="BE485" t="s">
        <v>9408</v>
      </c>
      <c r="BF485" t="str">
        <f>HYPERLINK("http://dx.doi.org/10.1002/ajhb.22524","http://dx.doi.org/10.1002/ajhb.22524")</f>
        <v>http://dx.doi.org/10.1002/ajhb.22524</v>
      </c>
      <c r="BG485" t="s">
        <v>74</v>
      </c>
      <c r="BH485" t="s">
        <v>74</v>
      </c>
      <c r="BI485">
        <v>9</v>
      </c>
      <c r="BJ485" t="s">
        <v>9409</v>
      </c>
      <c r="BK485" t="s">
        <v>1690</v>
      </c>
      <c r="BL485" t="s">
        <v>9410</v>
      </c>
      <c r="BM485" t="s">
        <v>9411</v>
      </c>
      <c r="BN485">
        <v>24644044</v>
      </c>
      <c r="BO485" t="s">
        <v>74</v>
      </c>
      <c r="BP485" t="s">
        <v>74</v>
      </c>
      <c r="BQ485" t="s">
        <v>74</v>
      </c>
      <c r="BR485" t="s">
        <v>105</v>
      </c>
      <c r="BS485" t="s">
        <v>9412</v>
      </c>
      <c r="BT485" t="str">
        <f>HYPERLINK("https%3A%2F%2Fwww.webofscience.com%2Fwos%2Fwoscc%2Ffull-record%2FWOS:000337678600001","View Full Record in Web of Science")</f>
        <v>View Full Record in Web of Science</v>
      </c>
    </row>
    <row r="486" spans="1:72" x14ac:dyDescent="0.15">
      <c r="A486" t="s">
        <v>72</v>
      </c>
      <c r="B486" t="s">
        <v>9413</v>
      </c>
      <c r="C486" t="s">
        <v>74</v>
      </c>
      <c r="D486" t="s">
        <v>74</v>
      </c>
      <c r="E486" t="s">
        <v>74</v>
      </c>
      <c r="F486" t="s">
        <v>9414</v>
      </c>
      <c r="G486" t="s">
        <v>74</v>
      </c>
      <c r="H486" t="s">
        <v>74</v>
      </c>
      <c r="I486" t="s">
        <v>9415</v>
      </c>
      <c r="J486" t="s">
        <v>9416</v>
      </c>
      <c r="K486" t="s">
        <v>74</v>
      </c>
      <c r="L486" t="s">
        <v>74</v>
      </c>
      <c r="M486" t="s">
        <v>78</v>
      </c>
      <c r="N486" t="s">
        <v>79</v>
      </c>
      <c r="O486" t="s">
        <v>74</v>
      </c>
      <c r="P486" t="s">
        <v>74</v>
      </c>
      <c r="Q486" t="s">
        <v>74</v>
      </c>
      <c r="R486" t="s">
        <v>74</v>
      </c>
      <c r="S486" t="s">
        <v>74</v>
      </c>
      <c r="T486" t="s">
        <v>9417</v>
      </c>
      <c r="U486" t="s">
        <v>9418</v>
      </c>
      <c r="V486" t="s">
        <v>9419</v>
      </c>
      <c r="W486" t="s">
        <v>9420</v>
      </c>
      <c r="X486" t="s">
        <v>5941</v>
      </c>
      <c r="Y486" t="s">
        <v>9421</v>
      </c>
      <c r="Z486" t="s">
        <v>9422</v>
      </c>
      <c r="AA486" t="s">
        <v>9423</v>
      </c>
      <c r="AB486" t="s">
        <v>9424</v>
      </c>
      <c r="AC486" t="s">
        <v>74</v>
      </c>
      <c r="AD486" t="s">
        <v>74</v>
      </c>
      <c r="AE486" t="s">
        <v>74</v>
      </c>
      <c r="AF486" t="s">
        <v>74</v>
      </c>
      <c r="AG486">
        <v>47</v>
      </c>
      <c r="AH486">
        <v>17</v>
      </c>
      <c r="AI486">
        <v>17</v>
      </c>
      <c r="AJ486">
        <v>0</v>
      </c>
      <c r="AK486">
        <v>32</v>
      </c>
      <c r="AL486" t="s">
        <v>171</v>
      </c>
      <c r="AM486" t="s">
        <v>93</v>
      </c>
      <c r="AN486" t="s">
        <v>94</v>
      </c>
      <c r="AO486" t="s">
        <v>9425</v>
      </c>
      <c r="AP486" t="s">
        <v>9426</v>
      </c>
      <c r="AQ486" t="s">
        <v>74</v>
      </c>
      <c r="AR486" t="s">
        <v>9427</v>
      </c>
      <c r="AS486" t="s">
        <v>9428</v>
      </c>
      <c r="AT486" t="s">
        <v>8489</v>
      </c>
      <c r="AU486">
        <v>2014</v>
      </c>
      <c r="AV486">
        <v>33</v>
      </c>
      <c r="AW486">
        <v>7</v>
      </c>
      <c r="AX486" t="s">
        <v>74</v>
      </c>
      <c r="AY486" t="s">
        <v>74</v>
      </c>
      <c r="AZ486" t="s">
        <v>74</v>
      </c>
      <c r="BA486" t="s">
        <v>74</v>
      </c>
      <c r="BB486">
        <v>1638</v>
      </c>
      <c r="BC486">
        <v>1649</v>
      </c>
      <c r="BD486" t="s">
        <v>74</v>
      </c>
      <c r="BE486" t="s">
        <v>9429</v>
      </c>
      <c r="BF486" t="str">
        <f>HYPERLINK("http://dx.doi.org/10.1002/etc.2603","http://dx.doi.org/10.1002/etc.2603")</f>
        <v>http://dx.doi.org/10.1002/etc.2603</v>
      </c>
      <c r="BG486" t="s">
        <v>74</v>
      </c>
      <c r="BH486" t="s">
        <v>74</v>
      </c>
      <c r="BI486">
        <v>12</v>
      </c>
      <c r="BJ486" t="s">
        <v>9430</v>
      </c>
      <c r="BK486" t="s">
        <v>102</v>
      </c>
      <c r="BL486" t="s">
        <v>9431</v>
      </c>
      <c r="BM486" t="s">
        <v>9432</v>
      </c>
      <c r="BN486">
        <v>24733631</v>
      </c>
      <c r="BO486" t="s">
        <v>74</v>
      </c>
      <c r="BP486" t="s">
        <v>74</v>
      </c>
      <c r="BQ486" t="s">
        <v>74</v>
      </c>
      <c r="BR486" t="s">
        <v>105</v>
      </c>
      <c r="BS486" t="s">
        <v>9433</v>
      </c>
      <c r="BT486" t="str">
        <f>HYPERLINK("https%3A%2F%2Fwww.webofscience.com%2Fwos%2Fwoscc%2Ffull-record%2FWOS:000337784500027","View Full Record in Web of Science")</f>
        <v>View Full Record in Web of Science</v>
      </c>
    </row>
    <row r="487" spans="1:72" x14ac:dyDescent="0.15">
      <c r="A487" t="s">
        <v>72</v>
      </c>
      <c r="B487" t="s">
        <v>9434</v>
      </c>
      <c r="C487" t="s">
        <v>74</v>
      </c>
      <c r="D487" t="s">
        <v>74</v>
      </c>
      <c r="E487" t="s">
        <v>74</v>
      </c>
      <c r="F487" t="s">
        <v>9435</v>
      </c>
      <c r="G487" t="s">
        <v>74</v>
      </c>
      <c r="H487" t="s">
        <v>74</v>
      </c>
      <c r="I487" t="s">
        <v>9436</v>
      </c>
      <c r="J487" t="s">
        <v>9437</v>
      </c>
      <c r="K487" t="s">
        <v>74</v>
      </c>
      <c r="L487" t="s">
        <v>74</v>
      </c>
      <c r="M487" t="s">
        <v>78</v>
      </c>
      <c r="N487" t="s">
        <v>79</v>
      </c>
      <c r="O487" t="s">
        <v>74</v>
      </c>
      <c r="P487" t="s">
        <v>74</v>
      </c>
      <c r="Q487" t="s">
        <v>74</v>
      </c>
      <c r="R487" t="s">
        <v>74</v>
      </c>
      <c r="S487" t="s">
        <v>74</v>
      </c>
      <c r="T487" t="s">
        <v>74</v>
      </c>
      <c r="U487" t="s">
        <v>9438</v>
      </c>
      <c r="V487" t="s">
        <v>9439</v>
      </c>
      <c r="W487" t="s">
        <v>9440</v>
      </c>
      <c r="X487" t="s">
        <v>9441</v>
      </c>
      <c r="Y487" t="s">
        <v>9442</v>
      </c>
      <c r="Z487" t="s">
        <v>9443</v>
      </c>
      <c r="AA487" t="s">
        <v>9444</v>
      </c>
      <c r="AB487" t="s">
        <v>9445</v>
      </c>
      <c r="AC487" t="s">
        <v>9446</v>
      </c>
      <c r="AD487" t="s">
        <v>9447</v>
      </c>
      <c r="AE487" t="s">
        <v>9448</v>
      </c>
      <c r="AF487" t="s">
        <v>74</v>
      </c>
      <c r="AG487">
        <v>48</v>
      </c>
      <c r="AH487">
        <v>38</v>
      </c>
      <c r="AI487">
        <v>38</v>
      </c>
      <c r="AJ487">
        <v>2</v>
      </c>
      <c r="AK487">
        <v>22</v>
      </c>
      <c r="AL487" t="s">
        <v>171</v>
      </c>
      <c r="AM487" t="s">
        <v>93</v>
      </c>
      <c r="AN487" t="s">
        <v>94</v>
      </c>
      <c r="AO487" t="s">
        <v>9449</v>
      </c>
      <c r="AP487" t="s">
        <v>9450</v>
      </c>
      <c r="AQ487" t="s">
        <v>74</v>
      </c>
      <c r="AR487" t="s">
        <v>9451</v>
      </c>
      <c r="AS487" t="s">
        <v>9452</v>
      </c>
      <c r="AT487" t="s">
        <v>9030</v>
      </c>
      <c r="AU487">
        <v>2014</v>
      </c>
      <c r="AV487">
        <v>29</v>
      </c>
      <c r="AW487">
        <v>4</v>
      </c>
      <c r="AX487" t="s">
        <v>74</v>
      </c>
      <c r="AY487" t="s">
        <v>74</v>
      </c>
      <c r="AZ487" t="s">
        <v>74</v>
      </c>
      <c r="BA487" t="s">
        <v>74</v>
      </c>
      <c r="BB487">
        <v>277</v>
      </c>
      <c r="BC487">
        <v>299</v>
      </c>
      <c r="BD487" t="s">
        <v>74</v>
      </c>
      <c r="BE487" t="s">
        <v>9453</v>
      </c>
      <c r="BF487" t="str">
        <f>HYPERLINK("http://dx.doi.org/10.1002/gea.21483","http://dx.doi.org/10.1002/gea.21483")</f>
        <v>http://dx.doi.org/10.1002/gea.21483</v>
      </c>
      <c r="BG487" t="s">
        <v>74</v>
      </c>
      <c r="BH487" t="s">
        <v>74</v>
      </c>
      <c r="BI487">
        <v>23</v>
      </c>
      <c r="BJ487" t="s">
        <v>9454</v>
      </c>
      <c r="BK487" t="s">
        <v>8301</v>
      </c>
      <c r="BL487" t="s">
        <v>9455</v>
      </c>
      <c r="BM487" t="s">
        <v>9456</v>
      </c>
      <c r="BN487" t="s">
        <v>74</v>
      </c>
      <c r="BO487" t="s">
        <v>74</v>
      </c>
      <c r="BP487" t="s">
        <v>74</v>
      </c>
      <c r="BQ487" t="s">
        <v>74</v>
      </c>
      <c r="BR487" t="s">
        <v>105</v>
      </c>
      <c r="BS487" t="s">
        <v>9457</v>
      </c>
      <c r="BT487" t="str">
        <f>HYPERLINK("https%3A%2F%2Fwww.webofscience.com%2Fwos%2Fwoscc%2Ffull-record%2FWOS:000337721100001","View Full Record in Web of Science")</f>
        <v>View Full Record in Web of Science</v>
      </c>
    </row>
    <row r="488" spans="1:72" x14ac:dyDescent="0.15">
      <c r="A488" t="s">
        <v>72</v>
      </c>
      <c r="B488" t="s">
        <v>9458</v>
      </c>
      <c r="C488" t="s">
        <v>74</v>
      </c>
      <c r="D488" t="s">
        <v>74</v>
      </c>
      <c r="E488" t="s">
        <v>74</v>
      </c>
      <c r="F488" t="s">
        <v>9459</v>
      </c>
      <c r="G488" t="s">
        <v>74</v>
      </c>
      <c r="H488" t="s">
        <v>74</v>
      </c>
      <c r="I488" t="s">
        <v>9460</v>
      </c>
      <c r="J488" t="s">
        <v>3542</v>
      </c>
      <c r="K488" t="s">
        <v>74</v>
      </c>
      <c r="L488" t="s">
        <v>74</v>
      </c>
      <c r="M488" t="s">
        <v>78</v>
      </c>
      <c r="N488" t="s">
        <v>79</v>
      </c>
      <c r="O488" t="s">
        <v>74</v>
      </c>
      <c r="P488" t="s">
        <v>74</v>
      </c>
      <c r="Q488" t="s">
        <v>74</v>
      </c>
      <c r="R488" t="s">
        <v>74</v>
      </c>
      <c r="S488" t="s">
        <v>74</v>
      </c>
      <c r="T488" t="s">
        <v>9461</v>
      </c>
      <c r="U488" t="s">
        <v>9462</v>
      </c>
      <c r="V488" t="s">
        <v>9463</v>
      </c>
      <c r="W488" t="s">
        <v>9464</v>
      </c>
      <c r="X488" t="s">
        <v>9465</v>
      </c>
      <c r="Y488" t="s">
        <v>9466</v>
      </c>
      <c r="Z488" t="s">
        <v>9467</v>
      </c>
      <c r="AA488" t="s">
        <v>9468</v>
      </c>
      <c r="AB488" t="s">
        <v>9469</v>
      </c>
      <c r="AC488" t="s">
        <v>9470</v>
      </c>
      <c r="AD488" t="s">
        <v>9471</v>
      </c>
      <c r="AE488" t="s">
        <v>9472</v>
      </c>
      <c r="AF488" t="s">
        <v>74</v>
      </c>
      <c r="AG488">
        <v>59</v>
      </c>
      <c r="AH488">
        <v>12</v>
      </c>
      <c r="AI488">
        <v>12</v>
      </c>
      <c r="AJ488">
        <v>0</v>
      </c>
      <c r="AK488">
        <v>19</v>
      </c>
      <c r="AL488" t="s">
        <v>123</v>
      </c>
      <c r="AM488" t="s">
        <v>124</v>
      </c>
      <c r="AN488" t="s">
        <v>125</v>
      </c>
      <c r="AO488" t="s">
        <v>3551</v>
      </c>
      <c r="AP488" t="s">
        <v>3552</v>
      </c>
      <c r="AQ488" t="s">
        <v>74</v>
      </c>
      <c r="AR488" t="s">
        <v>3553</v>
      </c>
      <c r="AS488" t="s">
        <v>3554</v>
      </c>
      <c r="AT488" t="s">
        <v>8489</v>
      </c>
      <c r="AU488">
        <v>2014</v>
      </c>
      <c r="AV488">
        <v>118</v>
      </c>
      <c r="AW488" t="s">
        <v>74</v>
      </c>
      <c r="AX488" t="s">
        <v>74</v>
      </c>
      <c r="AY488" t="s">
        <v>74</v>
      </c>
      <c r="AZ488" t="s">
        <v>74</v>
      </c>
      <c r="BA488" t="s">
        <v>74</v>
      </c>
      <c r="BB488">
        <v>16</v>
      </c>
      <c r="BC488">
        <v>24</v>
      </c>
      <c r="BD488" t="s">
        <v>74</v>
      </c>
      <c r="BE488" t="s">
        <v>9473</v>
      </c>
      <c r="BF488" t="str">
        <f>HYPERLINK("http://dx.doi.org/10.1016/j.gloplacha.2014.03.011","http://dx.doi.org/10.1016/j.gloplacha.2014.03.011")</f>
        <v>http://dx.doi.org/10.1016/j.gloplacha.2014.03.011</v>
      </c>
      <c r="BG488" t="s">
        <v>74</v>
      </c>
      <c r="BH488" t="s">
        <v>74</v>
      </c>
      <c r="BI488">
        <v>9</v>
      </c>
      <c r="BJ488" t="s">
        <v>1427</v>
      </c>
      <c r="BK488" t="s">
        <v>102</v>
      </c>
      <c r="BL488" t="s">
        <v>1428</v>
      </c>
      <c r="BM488" t="s">
        <v>9474</v>
      </c>
      <c r="BN488" t="s">
        <v>74</v>
      </c>
      <c r="BO488" t="s">
        <v>74</v>
      </c>
      <c r="BP488" t="s">
        <v>74</v>
      </c>
      <c r="BQ488" t="s">
        <v>74</v>
      </c>
      <c r="BR488" t="s">
        <v>105</v>
      </c>
      <c r="BS488" t="s">
        <v>9475</v>
      </c>
      <c r="BT488" t="str">
        <f>HYPERLINK("https%3A%2F%2Fwww.webofscience.com%2Fwos%2Fwoscc%2Ffull-record%2FWOS:000337875900002","View Full Record in Web of Science")</f>
        <v>View Full Record in Web of Science</v>
      </c>
    </row>
    <row r="489" spans="1:72" x14ac:dyDescent="0.15">
      <c r="A489" t="s">
        <v>72</v>
      </c>
      <c r="B489" t="s">
        <v>9476</v>
      </c>
      <c r="C489" t="s">
        <v>74</v>
      </c>
      <c r="D489" t="s">
        <v>74</v>
      </c>
      <c r="E489" t="s">
        <v>74</v>
      </c>
      <c r="F489" t="s">
        <v>9477</v>
      </c>
      <c r="G489" t="s">
        <v>74</v>
      </c>
      <c r="H489" t="s">
        <v>74</v>
      </c>
      <c r="I489" t="s">
        <v>9478</v>
      </c>
      <c r="J489" t="s">
        <v>267</v>
      </c>
      <c r="K489" t="s">
        <v>74</v>
      </c>
      <c r="L489" t="s">
        <v>74</v>
      </c>
      <c r="M489" t="s">
        <v>78</v>
      </c>
      <c r="N489" t="s">
        <v>79</v>
      </c>
      <c r="O489" t="s">
        <v>74</v>
      </c>
      <c r="P489" t="s">
        <v>74</v>
      </c>
      <c r="Q489" t="s">
        <v>74</v>
      </c>
      <c r="R489" t="s">
        <v>74</v>
      </c>
      <c r="S489" t="s">
        <v>74</v>
      </c>
      <c r="T489" t="s">
        <v>74</v>
      </c>
      <c r="U489" t="s">
        <v>9479</v>
      </c>
      <c r="V489" t="s">
        <v>9480</v>
      </c>
      <c r="W489" t="s">
        <v>9481</v>
      </c>
      <c r="X489" t="s">
        <v>9482</v>
      </c>
      <c r="Y489" t="s">
        <v>9483</v>
      </c>
      <c r="Z489" t="s">
        <v>9484</v>
      </c>
      <c r="AA489" t="s">
        <v>9485</v>
      </c>
      <c r="AB489" t="s">
        <v>9486</v>
      </c>
      <c r="AC489" t="s">
        <v>9487</v>
      </c>
      <c r="AD489" t="s">
        <v>9488</v>
      </c>
      <c r="AE489" t="s">
        <v>9489</v>
      </c>
      <c r="AF489" t="s">
        <v>74</v>
      </c>
      <c r="AG489">
        <v>54</v>
      </c>
      <c r="AH489">
        <v>68</v>
      </c>
      <c r="AI489">
        <v>71</v>
      </c>
      <c r="AJ489">
        <v>2</v>
      </c>
      <c r="AK489">
        <v>49</v>
      </c>
      <c r="AL489" t="s">
        <v>280</v>
      </c>
      <c r="AM489" t="s">
        <v>281</v>
      </c>
      <c r="AN489" t="s">
        <v>282</v>
      </c>
      <c r="AO489" t="s">
        <v>283</v>
      </c>
      <c r="AP489" t="s">
        <v>284</v>
      </c>
      <c r="AQ489" t="s">
        <v>74</v>
      </c>
      <c r="AR489" t="s">
        <v>285</v>
      </c>
      <c r="AS489" t="s">
        <v>286</v>
      </c>
      <c r="AT489" t="s">
        <v>9490</v>
      </c>
      <c r="AU489">
        <v>2014</v>
      </c>
      <c r="AV489">
        <v>27</v>
      </c>
      <c r="AW489">
        <v>13</v>
      </c>
      <c r="AX489" t="s">
        <v>74</v>
      </c>
      <c r="AY489" t="s">
        <v>74</v>
      </c>
      <c r="AZ489" t="s">
        <v>74</v>
      </c>
      <c r="BA489" t="s">
        <v>74</v>
      </c>
      <c r="BB489">
        <v>4923</v>
      </c>
      <c r="BC489">
        <v>4936</v>
      </c>
      <c r="BD489" t="s">
        <v>74</v>
      </c>
      <c r="BE489" t="s">
        <v>9491</v>
      </c>
      <c r="BF489" t="str">
        <f>HYPERLINK("http://dx.doi.org/10.1175/JCLI-D-13-00615.1","http://dx.doi.org/10.1175/JCLI-D-13-00615.1")</f>
        <v>http://dx.doi.org/10.1175/JCLI-D-13-00615.1</v>
      </c>
      <c r="BG489" t="s">
        <v>74</v>
      </c>
      <c r="BH489" t="s">
        <v>74</v>
      </c>
      <c r="BI489">
        <v>14</v>
      </c>
      <c r="BJ489" t="s">
        <v>177</v>
      </c>
      <c r="BK489" t="s">
        <v>102</v>
      </c>
      <c r="BL489" t="s">
        <v>177</v>
      </c>
      <c r="BM489" t="s">
        <v>9492</v>
      </c>
      <c r="BN489" t="s">
        <v>74</v>
      </c>
      <c r="BO489" t="s">
        <v>179</v>
      </c>
      <c r="BP489" t="s">
        <v>74</v>
      </c>
      <c r="BQ489" t="s">
        <v>74</v>
      </c>
      <c r="BR489" t="s">
        <v>105</v>
      </c>
      <c r="BS489" t="s">
        <v>9493</v>
      </c>
      <c r="BT489" t="str">
        <f>HYPERLINK("https%3A%2F%2Fwww.webofscience.com%2Fwos%2Fwoscc%2Ffull-record%2FWOS:000337988200009","View Full Record in Web of Science")</f>
        <v>View Full Record in Web of Science</v>
      </c>
    </row>
    <row r="490" spans="1:72" x14ac:dyDescent="0.15">
      <c r="A490" t="s">
        <v>72</v>
      </c>
      <c r="B490" t="s">
        <v>9494</v>
      </c>
      <c r="C490" t="s">
        <v>74</v>
      </c>
      <c r="D490" t="s">
        <v>74</v>
      </c>
      <c r="E490" t="s">
        <v>74</v>
      </c>
      <c r="F490" t="s">
        <v>9495</v>
      </c>
      <c r="G490" t="s">
        <v>74</v>
      </c>
      <c r="H490" t="s">
        <v>74</v>
      </c>
      <c r="I490" t="s">
        <v>9496</v>
      </c>
      <c r="J490" t="s">
        <v>9497</v>
      </c>
      <c r="K490" t="s">
        <v>74</v>
      </c>
      <c r="L490" t="s">
        <v>74</v>
      </c>
      <c r="M490" t="s">
        <v>78</v>
      </c>
      <c r="N490" t="s">
        <v>79</v>
      </c>
      <c r="O490" t="s">
        <v>74</v>
      </c>
      <c r="P490" t="s">
        <v>74</v>
      </c>
      <c r="Q490" t="s">
        <v>74</v>
      </c>
      <c r="R490" t="s">
        <v>74</v>
      </c>
      <c r="S490" t="s">
        <v>74</v>
      </c>
      <c r="T490" t="s">
        <v>74</v>
      </c>
      <c r="U490" t="s">
        <v>9498</v>
      </c>
      <c r="V490" t="s">
        <v>9499</v>
      </c>
      <c r="W490" t="s">
        <v>9500</v>
      </c>
      <c r="X490" t="s">
        <v>9501</v>
      </c>
      <c r="Y490" t="s">
        <v>9502</v>
      </c>
      <c r="Z490" t="s">
        <v>9503</v>
      </c>
      <c r="AA490" t="s">
        <v>9504</v>
      </c>
      <c r="AB490" t="s">
        <v>9505</v>
      </c>
      <c r="AC490" t="s">
        <v>9506</v>
      </c>
      <c r="AD490" t="s">
        <v>9507</v>
      </c>
      <c r="AE490" t="s">
        <v>9508</v>
      </c>
      <c r="AF490" t="s">
        <v>74</v>
      </c>
      <c r="AG490">
        <v>37</v>
      </c>
      <c r="AH490">
        <v>30</v>
      </c>
      <c r="AI490">
        <v>30</v>
      </c>
      <c r="AJ490">
        <v>1</v>
      </c>
      <c r="AK490">
        <v>28</v>
      </c>
      <c r="AL490" t="s">
        <v>280</v>
      </c>
      <c r="AM490" t="s">
        <v>281</v>
      </c>
      <c r="AN490" t="s">
        <v>282</v>
      </c>
      <c r="AO490" t="s">
        <v>9509</v>
      </c>
      <c r="AP490" t="s">
        <v>9510</v>
      </c>
      <c r="AQ490" t="s">
        <v>74</v>
      </c>
      <c r="AR490" t="s">
        <v>9511</v>
      </c>
      <c r="AS490" t="s">
        <v>9512</v>
      </c>
      <c r="AT490" t="s">
        <v>8489</v>
      </c>
      <c r="AU490">
        <v>2014</v>
      </c>
      <c r="AV490">
        <v>71</v>
      </c>
      <c r="AW490">
        <v>7</v>
      </c>
      <c r="AX490" t="s">
        <v>74</v>
      </c>
      <c r="AY490" t="s">
        <v>74</v>
      </c>
      <c r="AZ490" t="s">
        <v>74</v>
      </c>
      <c r="BA490" t="s">
        <v>74</v>
      </c>
      <c r="BB490">
        <v>2335</v>
      </c>
      <c r="BC490">
        <v>2353</v>
      </c>
      <c r="BD490" t="s">
        <v>74</v>
      </c>
      <c r="BE490" t="s">
        <v>9513</v>
      </c>
      <c r="BF490" t="str">
        <f>HYPERLINK("http://dx.doi.org/10.1175/JAS-D-13-0290.1","http://dx.doi.org/10.1175/JAS-D-13-0290.1")</f>
        <v>http://dx.doi.org/10.1175/JAS-D-13-0290.1</v>
      </c>
      <c r="BG490" t="s">
        <v>74</v>
      </c>
      <c r="BH490" t="s">
        <v>74</v>
      </c>
      <c r="BI490">
        <v>19</v>
      </c>
      <c r="BJ490" t="s">
        <v>177</v>
      </c>
      <c r="BK490" t="s">
        <v>102</v>
      </c>
      <c r="BL490" t="s">
        <v>177</v>
      </c>
      <c r="BM490" t="s">
        <v>9514</v>
      </c>
      <c r="BN490" t="s">
        <v>74</v>
      </c>
      <c r="BO490" t="s">
        <v>179</v>
      </c>
      <c r="BP490" t="s">
        <v>74</v>
      </c>
      <c r="BQ490" t="s">
        <v>74</v>
      </c>
      <c r="BR490" t="s">
        <v>105</v>
      </c>
      <c r="BS490" t="s">
        <v>9515</v>
      </c>
      <c r="BT490" t="str">
        <f>HYPERLINK("https%3A%2F%2Fwww.webofscience.com%2Fwos%2Fwoscc%2Ffull-record%2FWOS:000337920200004","View Full Record in Web of Science")</f>
        <v>View Full Record in Web of Science</v>
      </c>
    </row>
    <row r="491" spans="1:72" x14ac:dyDescent="0.15">
      <c r="A491" t="s">
        <v>72</v>
      </c>
      <c r="B491" t="s">
        <v>9516</v>
      </c>
      <c r="C491" t="s">
        <v>74</v>
      </c>
      <c r="D491" t="s">
        <v>74</v>
      </c>
      <c r="E491" t="s">
        <v>74</v>
      </c>
      <c r="F491" t="s">
        <v>9517</v>
      </c>
      <c r="G491" t="s">
        <v>74</v>
      </c>
      <c r="H491" t="s">
        <v>74</v>
      </c>
      <c r="I491" t="s">
        <v>9518</v>
      </c>
      <c r="J491" t="s">
        <v>9519</v>
      </c>
      <c r="K491" t="s">
        <v>74</v>
      </c>
      <c r="L491" t="s">
        <v>74</v>
      </c>
      <c r="M491" t="s">
        <v>78</v>
      </c>
      <c r="N491" t="s">
        <v>79</v>
      </c>
      <c r="O491" t="s">
        <v>74</v>
      </c>
      <c r="P491" t="s">
        <v>74</v>
      </c>
      <c r="Q491" t="s">
        <v>74</v>
      </c>
      <c r="R491" t="s">
        <v>74</v>
      </c>
      <c r="S491" t="s">
        <v>74</v>
      </c>
      <c r="T491" t="s">
        <v>74</v>
      </c>
      <c r="U491" t="s">
        <v>9520</v>
      </c>
      <c r="V491" t="s">
        <v>9521</v>
      </c>
      <c r="W491" t="s">
        <v>9522</v>
      </c>
      <c r="X491" t="s">
        <v>2785</v>
      </c>
      <c r="Y491" t="s">
        <v>9523</v>
      </c>
      <c r="Z491" t="s">
        <v>9524</v>
      </c>
      <c r="AA491" t="s">
        <v>2788</v>
      </c>
      <c r="AB491" t="s">
        <v>9525</v>
      </c>
      <c r="AC491" t="s">
        <v>9526</v>
      </c>
      <c r="AD491" t="s">
        <v>9527</v>
      </c>
      <c r="AE491" t="s">
        <v>9528</v>
      </c>
      <c r="AF491" t="s">
        <v>74</v>
      </c>
      <c r="AG491">
        <v>34</v>
      </c>
      <c r="AH491">
        <v>32</v>
      </c>
      <c r="AI491">
        <v>37</v>
      </c>
      <c r="AJ491">
        <v>2</v>
      </c>
      <c r="AK491">
        <v>22</v>
      </c>
      <c r="AL491" t="s">
        <v>280</v>
      </c>
      <c r="AM491" t="s">
        <v>281</v>
      </c>
      <c r="AN491" t="s">
        <v>282</v>
      </c>
      <c r="AO491" t="s">
        <v>9529</v>
      </c>
      <c r="AP491" t="s">
        <v>9530</v>
      </c>
      <c r="AQ491" t="s">
        <v>74</v>
      </c>
      <c r="AR491" t="s">
        <v>9531</v>
      </c>
      <c r="AS491" t="s">
        <v>9532</v>
      </c>
      <c r="AT491" t="s">
        <v>8489</v>
      </c>
      <c r="AU491">
        <v>2014</v>
      </c>
      <c r="AV491">
        <v>142</v>
      </c>
      <c r="AW491">
        <v>7</v>
      </c>
      <c r="AX491" t="s">
        <v>74</v>
      </c>
      <c r="AY491" t="s">
        <v>74</v>
      </c>
      <c r="AZ491" t="s">
        <v>74</v>
      </c>
      <c r="BA491" t="s">
        <v>74</v>
      </c>
      <c r="BB491">
        <v>2361</v>
      </c>
      <c r="BC491">
        <v>2378</v>
      </c>
      <c r="BD491" t="s">
        <v>74</v>
      </c>
      <c r="BE491" t="s">
        <v>9533</v>
      </c>
      <c r="BF491" t="str">
        <f>HYPERLINK("http://dx.doi.org/10.1175/MWR-D-13-00382.1","http://dx.doi.org/10.1175/MWR-D-13-00382.1")</f>
        <v>http://dx.doi.org/10.1175/MWR-D-13-00382.1</v>
      </c>
      <c r="BG491" t="s">
        <v>74</v>
      </c>
      <c r="BH491" t="s">
        <v>74</v>
      </c>
      <c r="BI491">
        <v>18</v>
      </c>
      <c r="BJ491" t="s">
        <v>177</v>
      </c>
      <c r="BK491" t="s">
        <v>102</v>
      </c>
      <c r="BL491" t="s">
        <v>177</v>
      </c>
      <c r="BM491" t="s">
        <v>9534</v>
      </c>
      <c r="BN491" t="s">
        <v>74</v>
      </c>
      <c r="BO491" t="s">
        <v>289</v>
      </c>
      <c r="BP491" t="s">
        <v>74</v>
      </c>
      <c r="BQ491" t="s">
        <v>74</v>
      </c>
      <c r="BR491" t="s">
        <v>105</v>
      </c>
      <c r="BS491" t="s">
        <v>9535</v>
      </c>
      <c r="BT491" t="str">
        <f>HYPERLINK("https%3A%2F%2Fwww.webofscience.com%2Fwos%2Fwoscc%2Ffull-record%2FWOS:000337963300002","View Full Record in Web of Science")</f>
        <v>View Full Record in Web of Science</v>
      </c>
    </row>
    <row r="492" spans="1:72" x14ac:dyDescent="0.15">
      <c r="A492" t="s">
        <v>72</v>
      </c>
      <c r="B492" t="s">
        <v>9536</v>
      </c>
      <c r="C492" t="s">
        <v>74</v>
      </c>
      <c r="D492" t="s">
        <v>74</v>
      </c>
      <c r="E492" t="s">
        <v>74</v>
      </c>
      <c r="F492" t="s">
        <v>9537</v>
      </c>
      <c r="G492" t="s">
        <v>74</v>
      </c>
      <c r="H492" t="s">
        <v>74</v>
      </c>
      <c r="I492" t="s">
        <v>9538</v>
      </c>
      <c r="J492" t="s">
        <v>9539</v>
      </c>
      <c r="K492" t="s">
        <v>74</v>
      </c>
      <c r="L492" t="s">
        <v>74</v>
      </c>
      <c r="M492" t="s">
        <v>78</v>
      </c>
      <c r="N492" t="s">
        <v>79</v>
      </c>
      <c r="O492" t="s">
        <v>74</v>
      </c>
      <c r="P492" t="s">
        <v>74</v>
      </c>
      <c r="Q492" t="s">
        <v>74</v>
      </c>
      <c r="R492" t="s">
        <v>74</v>
      </c>
      <c r="S492" t="s">
        <v>74</v>
      </c>
      <c r="T492" t="s">
        <v>9540</v>
      </c>
      <c r="U492" t="s">
        <v>9541</v>
      </c>
      <c r="V492" t="s">
        <v>9542</v>
      </c>
      <c r="W492" t="s">
        <v>9543</v>
      </c>
      <c r="X492" t="s">
        <v>9544</v>
      </c>
      <c r="Y492" t="s">
        <v>9545</v>
      </c>
      <c r="Z492" t="s">
        <v>9546</v>
      </c>
      <c r="AA492" t="s">
        <v>9547</v>
      </c>
      <c r="AB492" t="s">
        <v>9548</v>
      </c>
      <c r="AC492" t="s">
        <v>9549</v>
      </c>
      <c r="AD492" t="s">
        <v>9550</v>
      </c>
      <c r="AE492" t="s">
        <v>9551</v>
      </c>
      <c r="AF492" t="s">
        <v>74</v>
      </c>
      <c r="AG492">
        <v>111</v>
      </c>
      <c r="AH492">
        <v>40</v>
      </c>
      <c r="AI492">
        <v>45</v>
      </c>
      <c r="AJ492">
        <v>1</v>
      </c>
      <c r="AK492">
        <v>106</v>
      </c>
      <c r="AL492" t="s">
        <v>171</v>
      </c>
      <c r="AM492" t="s">
        <v>93</v>
      </c>
      <c r="AN492" t="s">
        <v>94</v>
      </c>
      <c r="AO492" t="s">
        <v>9552</v>
      </c>
      <c r="AP492" t="s">
        <v>9553</v>
      </c>
      <c r="AQ492" t="s">
        <v>74</v>
      </c>
      <c r="AR492" t="s">
        <v>9554</v>
      </c>
      <c r="AS492" t="s">
        <v>9555</v>
      </c>
      <c r="AT492" t="s">
        <v>8489</v>
      </c>
      <c r="AU492">
        <v>2014</v>
      </c>
      <c r="AV492">
        <v>20</v>
      </c>
      <c r="AW492">
        <v>7</v>
      </c>
      <c r="AX492" t="s">
        <v>74</v>
      </c>
      <c r="AY492" t="s">
        <v>74</v>
      </c>
      <c r="AZ492" t="s">
        <v>74</v>
      </c>
      <c r="BA492" t="s">
        <v>74</v>
      </c>
      <c r="BB492">
        <v>2100</v>
      </c>
      <c r="BC492">
        <v>2107</v>
      </c>
      <c r="BD492" t="s">
        <v>74</v>
      </c>
      <c r="BE492" t="s">
        <v>9556</v>
      </c>
      <c r="BF492" t="str">
        <f>HYPERLINK("http://dx.doi.org/10.1111/gcb.12554","http://dx.doi.org/10.1111/gcb.12554")</f>
        <v>http://dx.doi.org/10.1111/gcb.12554</v>
      </c>
      <c r="BG492" t="s">
        <v>74</v>
      </c>
      <c r="BH492" t="s">
        <v>74</v>
      </c>
      <c r="BI492">
        <v>8</v>
      </c>
      <c r="BJ492" t="s">
        <v>5858</v>
      </c>
      <c r="BK492" t="s">
        <v>102</v>
      </c>
      <c r="BL492" t="s">
        <v>785</v>
      </c>
      <c r="BM492" t="s">
        <v>9557</v>
      </c>
      <c r="BN492">
        <v>24615959</v>
      </c>
      <c r="BO492" t="s">
        <v>74</v>
      </c>
      <c r="BP492" t="s">
        <v>74</v>
      </c>
      <c r="BQ492" t="s">
        <v>74</v>
      </c>
      <c r="BR492" t="s">
        <v>105</v>
      </c>
      <c r="BS492" t="s">
        <v>9558</v>
      </c>
      <c r="BT492" t="str">
        <f>HYPERLINK("https%3A%2F%2Fwww.webofscience.com%2Fwos%2Fwoscc%2Ffull-record%2FWOS:000337680700007","View Full Record in Web of Science")</f>
        <v>View Full Record in Web of Science</v>
      </c>
    </row>
    <row r="493" spans="1:72" x14ac:dyDescent="0.15">
      <c r="A493" t="s">
        <v>72</v>
      </c>
      <c r="B493" t="s">
        <v>9559</v>
      </c>
      <c r="C493" t="s">
        <v>74</v>
      </c>
      <c r="D493" t="s">
        <v>74</v>
      </c>
      <c r="E493" t="s">
        <v>74</v>
      </c>
      <c r="F493" t="s">
        <v>9560</v>
      </c>
      <c r="G493" t="s">
        <v>74</v>
      </c>
      <c r="H493" t="s">
        <v>74</v>
      </c>
      <c r="I493" t="s">
        <v>9561</v>
      </c>
      <c r="J493" t="s">
        <v>9562</v>
      </c>
      <c r="K493" t="s">
        <v>74</v>
      </c>
      <c r="L493" t="s">
        <v>74</v>
      </c>
      <c r="M493" t="s">
        <v>78</v>
      </c>
      <c r="N493" t="s">
        <v>79</v>
      </c>
      <c r="O493" t="s">
        <v>74</v>
      </c>
      <c r="P493" t="s">
        <v>74</v>
      </c>
      <c r="Q493" t="s">
        <v>74</v>
      </c>
      <c r="R493" t="s">
        <v>74</v>
      </c>
      <c r="S493" t="s">
        <v>74</v>
      </c>
      <c r="T493" t="s">
        <v>74</v>
      </c>
      <c r="U493" t="s">
        <v>9563</v>
      </c>
      <c r="V493" t="s">
        <v>9564</v>
      </c>
      <c r="W493" t="s">
        <v>9565</v>
      </c>
      <c r="X493" t="s">
        <v>7576</v>
      </c>
      <c r="Y493" t="s">
        <v>9566</v>
      </c>
      <c r="Z493" t="s">
        <v>9567</v>
      </c>
      <c r="AA493" t="s">
        <v>9568</v>
      </c>
      <c r="AB493" t="s">
        <v>9569</v>
      </c>
      <c r="AC493" t="s">
        <v>9570</v>
      </c>
      <c r="AD493" t="s">
        <v>9571</v>
      </c>
      <c r="AE493" t="s">
        <v>9572</v>
      </c>
      <c r="AF493" t="s">
        <v>74</v>
      </c>
      <c r="AG493">
        <v>42</v>
      </c>
      <c r="AH493">
        <v>140</v>
      </c>
      <c r="AI493">
        <v>156</v>
      </c>
      <c r="AJ493">
        <v>3</v>
      </c>
      <c r="AK493">
        <v>105</v>
      </c>
      <c r="AL493" t="s">
        <v>171</v>
      </c>
      <c r="AM493" t="s">
        <v>93</v>
      </c>
      <c r="AN493" t="s">
        <v>94</v>
      </c>
      <c r="AO493" t="s">
        <v>9573</v>
      </c>
      <c r="AP493" t="s">
        <v>9574</v>
      </c>
      <c r="AQ493" t="s">
        <v>74</v>
      </c>
      <c r="AR493" t="s">
        <v>9575</v>
      </c>
      <c r="AS493" t="s">
        <v>9576</v>
      </c>
      <c r="AT493" t="s">
        <v>9030</v>
      </c>
      <c r="AU493">
        <v>2014</v>
      </c>
      <c r="AV493">
        <v>31</v>
      </c>
      <c r="AW493">
        <v>4</v>
      </c>
      <c r="AX493" t="s">
        <v>74</v>
      </c>
      <c r="AY493" t="s">
        <v>74</v>
      </c>
      <c r="AZ493" t="s">
        <v>258</v>
      </c>
      <c r="BA493" t="s">
        <v>74</v>
      </c>
      <c r="BB493">
        <v>571</v>
      </c>
      <c r="BC493">
        <v>590</v>
      </c>
      <c r="BD493" t="s">
        <v>74</v>
      </c>
      <c r="BE493" t="s">
        <v>9577</v>
      </c>
      <c r="BF493" t="str">
        <f>HYPERLINK("http://dx.doi.org/10.1002/rob.21508","http://dx.doi.org/10.1002/rob.21508")</f>
        <v>http://dx.doi.org/10.1002/rob.21508</v>
      </c>
      <c r="BG493" t="s">
        <v>74</v>
      </c>
      <c r="BH493" t="s">
        <v>74</v>
      </c>
      <c r="BI493">
        <v>20</v>
      </c>
      <c r="BJ493" t="s">
        <v>9578</v>
      </c>
      <c r="BK493" t="s">
        <v>102</v>
      </c>
      <c r="BL493" t="s">
        <v>9578</v>
      </c>
      <c r="BM493" t="s">
        <v>9579</v>
      </c>
      <c r="BN493" t="s">
        <v>74</v>
      </c>
      <c r="BO493" t="s">
        <v>262</v>
      </c>
      <c r="BP493" t="s">
        <v>74</v>
      </c>
      <c r="BQ493" t="s">
        <v>74</v>
      </c>
      <c r="BR493" t="s">
        <v>105</v>
      </c>
      <c r="BS493" t="s">
        <v>9580</v>
      </c>
      <c r="BT493" t="str">
        <f>HYPERLINK("https%3A%2F%2Fwww.webofscience.com%2Fwos%2Fwoscc%2Ffull-record%2FWOS:000337679200006","View Full Record in Web of Science")</f>
        <v>View Full Record in Web of Science</v>
      </c>
    </row>
    <row r="494" spans="1:72" x14ac:dyDescent="0.15">
      <c r="A494" t="s">
        <v>72</v>
      </c>
      <c r="B494" t="s">
        <v>9581</v>
      </c>
      <c r="C494" t="s">
        <v>74</v>
      </c>
      <c r="D494" t="s">
        <v>74</v>
      </c>
      <c r="E494" t="s">
        <v>74</v>
      </c>
      <c r="F494" t="s">
        <v>9582</v>
      </c>
      <c r="G494" t="s">
        <v>74</v>
      </c>
      <c r="H494" t="s">
        <v>74</v>
      </c>
      <c r="I494" t="s">
        <v>9583</v>
      </c>
      <c r="J494" t="s">
        <v>2272</v>
      </c>
      <c r="K494" t="s">
        <v>74</v>
      </c>
      <c r="L494" t="s">
        <v>74</v>
      </c>
      <c r="M494" t="s">
        <v>78</v>
      </c>
      <c r="N494" t="s">
        <v>79</v>
      </c>
      <c r="O494" t="s">
        <v>74</v>
      </c>
      <c r="P494" t="s">
        <v>74</v>
      </c>
      <c r="Q494" t="s">
        <v>74</v>
      </c>
      <c r="R494" t="s">
        <v>74</v>
      </c>
      <c r="S494" t="s">
        <v>74</v>
      </c>
      <c r="T494" t="s">
        <v>74</v>
      </c>
      <c r="U494" t="s">
        <v>9584</v>
      </c>
      <c r="V494" t="s">
        <v>9585</v>
      </c>
      <c r="W494" t="s">
        <v>9586</v>
      </c>
      <c r="X494" t="s">
        <v>9587</v>
      </c>
      <c r="Y494" t="s">
        <v>9588</v>
      </c>
      <c r="Z494" t="s">
        <v>7134</v>
      </c>
      <c r="AA494" t="s">
        <v>74</v>
      </c>
      <c r="AB494" t="s">
        <v>74</v>
      </c>
      <c r="AC494" t="s">
        <v>9589</v>
      </c>
      <c r="AD494" t="s">
        <v>3150</v>
      </c>
      <c r="AE494" t="s">
        <v>9590</v>
      </c>
      <c r="AF494" t="s">
        <v>74</v>
      </c>
      <c r="AG494">
        <v>41</v>
      </c>
      <c r="AH494">
        <v>7</v>
      </c>
      <c r="AI494">
        <v>8</v>
      </c>
      <c r="AJ494">
        <v>1</v>
      </c>
      <c r="AK494">
        <v>34</v>
      </c>
      <c r="AL494" t="s">
        <v>2284</v>
      </c>
      <c r="AM494" t="s">
        <v>2285</v>
      </c>
      <c r="AN494" t="s">
        <v>2286</v>
      </c>
      <c r="AO494" t="s">
        <v>2287</v>
      </c>
      <c r="AP494" t="s">
        <v>2288</v>
      </c>
      <c r="AQ494" t="s">
        <v>74</v>
      </c>
      <c r="AR494" t="s">
        <v>2289</v>
      </c>
      <c r="AS494" t="s">
        <v>2290</v>
      </c>
      <c r="AT494" t="s">
        <v>9030</v>
      </c>
      <c r="AU494">
        <v>2014</v>
      </c>
      <c r="AV494">
        <v>87</v>
      </c>
      <c r="AW494">
        <v>4</v>
      </c>
      <c r="AX494" t="s">
        <v>74</v>
      </c>
      <c r="AY494" t="s">
        <v>74</v>
      </c>
      <c r="AZ494" t="s">
        <v>74</v>
      </c>
      <c r="BA494" t="s">
        <v>74</v>
      </c>
      <c r="BB494">
        <v>499</v>
      </c>
      <c r="BC494">
        <v>506</v>
      </c>
      <c r="BD494" t="s">
        <v>74</v>
      </c>
      <c r="BE494" t="s">
        <v>9591</v>
      </c>
      <c r="BF494" t="str">
        <f>HYPERLINK("http://dx.doi.org/10.1086/676664","http://dx.doi.org/10.1086/676664")</f>
        <v>http://dx.doi.org/10.1086/676664</v>
      </c>
      <c r="BG494" t="s">
        <v>74</v>
      </c>
      <c r="BH494" t="s">
        <v>74</v>
      </c>
      <c r="BI494">
        <v>8</v>
      </c>
      <c r="BJ494" t="s">
        <v>312</v>
      </c>
      <c r="BK494" t="s">
        <v>102</v>
      </c>
      <c r="BL494" t="s">
        <v>312</v>
      </c>
      <c r="BM494" t="s">
        <v>9592</v>
      </c>
      <c r="BN494">
        <v>24940914</v>
      </c>
      <c r="BO494" t="s">
        <v>74</v>
      </c>
      <c r="BP494" t="s">
        <v>74</v>
      </c>
      <c r="BQ494" t="s">
        <v>74</v>
      </c>
      <c r="BR494" t="s">
        <v>105</v>
      </c>
      <c r="BS494" t="s">
        <v>9593</v>
      </c>
      <c r="BT494" t="str">
        <f>HYPERLINK("https%3A%2F%2Fwww.webofscience.com%2Fwos%2Fwoscc%2Ffull-record%2FWOS:000337738400001","View Full Record in Web of Science")</f>
        <v>View Full Record in Web of Science</v>
      </c>
    </row>
    <row r="495" spans="1:72" x14ac:dyDescent="0.15">
      <c r="A495" t="s">
        <v>72</v>
      </c>
      <c r="B495" t="s">
        <v>9594</v>
      </c>
      <c r="C495" t="s">
        <v>74</v>
      </c>
      <c r="D495" t="s">
        <v>74</v>
      </c>
      <c r="E495" t="s">
        <v>74</v>
      </c>
      <c r="F495" t="s">
        <v>9595</v>
      </c>
      <c r="G495" t="s">
        <v>74</v>
      </c>
      <c r="H495" t="s">
        <v>74</v>
      </c>
      <c r="I495" t="s">
        <v>9596</v>
      </c>
      <c r="J495" t="s">
        <v>9597</v>
      </c>
      <c r="K495" t="s">
        <v>74</v>
      </c>
      <c r="L495" t="s">
        <v>74</v>
      </c>
      <c r="M495" t="s">
        <v>78</v>
      </c>
      <c r="N495" t="s">
        <v>79</v>
      </c>
      <c r="O495" t="s">
        <v>74</v>
      </c>
      <c r="P495" t="s">
        <v>74</v>
      </c>
      <c r="Q495" t="s">
        <v>74</v>
      </c>
      <c r="R495" t="s">
        <v>74</v>
      </c>
      <c r="S495" t="s">
        <v>74</v>
      </c>
      <c r="T495" t="s">
        <v>9598</v>
      </c>
      <c r="U495" t="s">
        <v>9599</v>
      </c>
      <c r="V495" t="s">
        <v>9600</v>
      </c>
      <c r="W495" t="s">
        <v>9601</v>
      </c>
      <c r="X495" t="s">
        <v>9602</v>
      </c>
      <c r="Y495" t="s">
        <v>9603</v>
      </c>
      <c r="Z495" t="s">
        <v>9604</v>
      </c>
      <c r="AA495" t="s">
        <v>74</v>
      </c>
      <c r="AB495" t="s">
        <v>74</v>
      </c>
      <c r="AC495" t="s">
        <v>9605</v>
      </c>
      <c r="AD495" t="s">
        <v>9606</v>
      </c>
      <c r="AE495" t="s">
        <v>9607</v>
      </c>
      <c r="AF495" t="s">
        <v>74</v>
      </c>
      <c r="AG495">
        <v>19</v>
      </c>
      <c r="AH495">
        <v>5</v>
      </c>
      <c r="AI495">
        <v>5</v>
      </c>
      <c r="AJ495">
        <v>2</v>
      </c>
      <c r="AK495">
        <v>69</v>
      </c>
      <c r="AL495" t="s">
        <v>224</v>
      </c>
      <c r="AM495" t="s">
        <v>225</v>
      </c>
      <c r="AN495" t="s">
        <v>226</v>
      </c>
      <c r="AO495" t="s">
        <v>9608</v>
      </c>
      <c r="AP495" t="s">
        <v>9609</v>
      </c>
      <c r="AQ495" t="s">
        <v>74</v>
      </c>
      <c r="AR495" t="s">
        <v>9597</v>
      </c>
      <c r="AS495" t="s">
        <v>9610</v>
      </c>
      <c r="AT495" t="s">
        <v>8489</v>
      </c>
      <c r="AU495">
        <v>2014</v>
      </c>
      <c r="AV495">
        <v>100</v>
      </c>
      <c r="AW495">
        <v>1</v>
      </c>
      <c r="AX495" t="s">
        <v>74</v>
      </c>
      <c r="AY495" t="s">
        <v>74</v>
      </c>
      <c r="AZ495" t="s">
        <v>74</v>
      </c>
      <c r="BA495" t="s">
        <v>74</v>
      </c>
      <c r="BB495">
        <v>273</v>
      </c>
      <c r="BC495">
        <v>286</v>
      </c>
      <c r="BD495" t="s">
        <v>74</v>
      </c>
      <c r="BE495" t="s">
        <v>9611</v>
      </c>
      <c r="BF495" t="str">
        <f>HYPERLINK("http://dx.doi.org/10.1007/s11192-013-1190-6","http://dx.doi.org/10.1007/s11192-013-1190-6")</f>
        <v>http://dx.doi.org/10.1007/s11192-013-1190-6</v>
      </c>
      <c r="BG495" t="s">
        <v>74</v>
      </c>
      <c r="BH495" t="s">
        <v>74</v>
      </c>
      <c r="BI495">
        <v>14</v>
      </c>
      <c r="BJ495" t="s">
        <v>9612</v>
      </c>
      <c r="BK495" t="s">
        <v>1690</v>
      </c>
      <c r="BL495" t="s">
        <v>9613</v>
      </c>
      <c r="BM495" t="s">
        <v>9614</v>
      </c>
      <c r="BN495" t="s">
        <v>74</v>
      </c>
      <c r="BO495" t="s">
        <v>74</v>
      </c>
      <c r="BP495" t="s">
        <v>74</v>
      </c>
      <c r="BQ495" t="s">
        <v>74</v>
      </c>
      <c r="BR495" t="s">
        <v>105</v>
      </c>
      <c r="BS495" t="s">
        <v>9615</v>
      </c>
      <c r="BT495" t="str">
        <f>HYPERLINK("https%3A%2F%2Fwww.webofscience.com%2Fwos%2Fwoscc%2Ffull-record%2FWOS:000337171300015","View Full Record in Web of Science")</f>
        <v>View Full Record in Web of Science</v>
      </c>
    </row>
    <row r="496" spans="1:72" x14ac:dyDescent="0.15">
      <c r="A496" t="s">
        <v>72</v>
      </c>
      <c r="B496" t="s">
        <v>9616</v>
      </c>
      <c r="C496" t="s">
        <v>74</v>
      </c>
      <c r="D496" t="s">
        <v>74</v>
      </c>
      <c r="E496" t="s">
        <v>74</v>
      </c>
      <c r="F496" t="s">
        <v>9617</v>
      </c>
      <c r="G496" t="s">
        <v>74</v>
      </c>
      <c r="H496" t="s">
        <v>74</v>
      </c>
      <c r="I496" t="s">
        <v>9618</v>
      </c>
      <c r="J496" t="s">
        <v>9619</v>
      </c>
      <c r="K496" t="s">
        <v>74</v>
      </c>
      <c r="L496" t="s">
        <v>74</v>
      </c>
      <c r="M496" t="s">
        <v>78</v>
      </c>
      <c r="N496" t="s">
        <v>79</v>
      </c>
      <c r="O496" t="s">
        <v>74</v>
      </c>
      <c r="P496" t="s">
        <v>74</v>
      </c>
      <c r="Q496" t="s">
        <v>74</v>
      </c>
      <c r="R496" t="s">
        <v>74</v>
      </c>
      <c r="S496" t="s">
        <v>74</v>
      </c>
      <c r="T496" t="s">
        <v>9620</v>
      </c>
      <c r="U496" t="s">
        <v>9621</v>
      </c>
      <c r="V496" t="s">
        <v>9622</v>
      </c>
      <c r="W496" t="s">
        <v>9623</v>
      </c>
      <c r="X496" t="s">
        <v>9624</v>
      </c>
      <c r="Y496" t="s">
        <v>9625</v>
      </c>
      <c r="Z496" t="s">
        <v>9626</v>
      </c>
      <c r="AA496" t="s">
        <v>9627</v>
      </c>
      <c r="AB496" t="s">
        <v>9628</v>
      </c>
      <c r="AC496" t="s">
        <v>9629</v>
      </c>
      <c r="AD496" t="s">
        <v>9630</v>
      </c>
      <c r="AE496" t="s">
        <v>9631</v>
      </c>
      <c r="AF496" t="s">
        <v>74</v>
      </c>
      <c r="AG496">
        <v>16</v>
      </c>
      <c r="AH496">
        <v>6</v>
      </c>
      <c r="AI496">
        <v>8</v>
      </c>
      <c r="AJ496">
        <v>0</v>
      </c>
      <c r="AK496">
        <v>21</v>
      </c>
      <c r="AL496" t="s">
        <v>224</v>
      </c>
      <c r="AM496" t="s">
        <v>225</v>
      </c>
      <c r="AN496" t="s">
        <v>226</v>
      </c>
      <c r="AO496" t="s">
        <v>9632</v>
      </c>
      <c r="AP496" t="s">
        <v>9633</v>
      </c>
      <c r="AQ496" t="s">
        <v>74</v>
      </c>
      <c r="AR496" t="s">
        <v>9634</v>
      </c>
      <c r="AS496" t="s">
        <v>9635</v>
      </c>
      <c r="AT496" t="s">
        <v>8489</v>
      </c>
      <c r="AU496">
        <v>2014</v>
      </c>
      <c r="AV496">
        <v>59</v>
      </c>
      <c r="AW496">
        <v>4</v>
      </c>
      <c r="AX496" t="s">
        <v>74</v>
      </c>
      <c r="AY496" t="s">
        <v>74</v>
      </c>
      <c r="AZ496" t="s">
        <v>74</v>
      </c>
      <c r="BA496" t="s">
        <v>74</v>
      </c>
      <c r="BB496">
        <v>303</v>
      </c>
      <c r="BC496">
        <v>306</v>
      </c>
      <c r="BD496" t="s">
        <v>74</v>
      </c>
      <c r="BE496" t="s">
        <v>9636</v>
      </c>
      <c r="BF496" t="str">
        <f>HYPERLINK("http://dx.doi.org/10.1007/s12223-013-0295-x","http://dx.doi.org/10.1007/s12223-013-0295-x")</f>
        <v>http://dx.doi.org/10.1007/s12223-013-0295-x</v>
      </c>
      <c r="BG496" t="s">
        <v>74</v>
      </c>
      <c r="BH496" t="s">
        <v>74</v>
      </c>
      <c r="BI496">
        <v>4</v>
      </c>
      <c r="BJ496" t="s">
        <v>487</v>
      </c>
      <c r="BK496" t="s">
        <v>102</v>
      </c>
      <c r="BL496" t="s">
        <v>487</v>
      </c>
      <c r="BM496" t="s">
        <v>9637</v>
      </c>
      <c r="BN496">
        <v>24442675</v>
      </c>
      <c r="BO496" t="s">
        <v>74</v>
      </c>
      <c r="BP496" t="s">
        <v>74</v>
      </c>
      <c r="BQ496" t="s">
        <v>74</v>
      </c>
      <c r="BR496" t="s">
        <v>105</v>
      </c>
      <c r="BS496" t="s">
        <v>9638</v>
      </c>
      <c r="BT496" t="str">
        <f>HYPERLINK("https%3A%2F%2Fwww.webofscience.com%2Fwos%2Fwoscc%2Ffull-record%2FWOS:000337031400006","View Full Record in Web of Science")</f>
        <v>View Full Record in Web of Science</v>
      </c>
    </row>
    <row r="497" spans="1:72" x14ac:dyDescent="0.15">
      <c r="A497" t="s">
        <v>72</v>
      </c>
      <c r="B497" t="s">
        <v>9639</v>
      </c>
      <c r="C497" t="s">
        <v>74</v>
      </c>
      <c r="D497" t="s">
        <v>74</v>
      </c>
      <c r="E497" t="s">
        <v>74</v>
      </c>
      <c r="F497" t="s">
        <v>9640</v>
      </c>
      <c r="G497" t="s">
        <v>74</v>
      </c>
      <c r="H497" t="s">
        <v>74</v>
      </c>
      <c r="I497" t="s">
        <v>9641</v>
      </c>
      <c r="J497" t="s">
        <v>9642</v>
      </c>
      <c r="K497" t="s">
        <v>74</v>
      </c>
      <c r="L497" t="s">
        <v>74</v>
      </c>
      <c r="M497" t="s">
        <v>78</v>
      </c>
      <c r="N497" t="s">
        <v>79</v>
      </c>
      <c r="O497" t="s">
        <v>74</v>
      </c>
      <c r="P497" t="s">
        <v>74</v>
      </c>
      <c r="Q497" t="s">
        <v>74</v>
      </c>
      <c r="R497" t="s">
        <v>74</v>
      </c>
      <c r="S497" t="s">
        <v>74</v>
      </c>
      <c r="T497" t="s">
        <v>9643</v>
      </c>
      <c r="U497" t="s">
        <v>9644</v>
      </c>
      <c r="V497" t="s">
        <v>9645</v>
      </c>
      <c r="W497" t="s">
        <v>9646</v>
      </c>
      <c r="X497" t="s">
        <v>9647</v>
      </c>
      <c r="Y497" t="s">
        <v>9648</v>
      </c>
      <c r="Z497" t="s">
        <v>9649</v>
      </c>
      <c r="AA497" t="s">
        <v>9650</v>
      </c>
      <c r="AB497" t="s">
        <v>9651</v>
      </c>
      <c r="AC497" t="s">
        <v>9652</v>
      </c>
      <c r="AD497" t="s">
        <v>9653</v>
      </c>
      <c r="AE497" t="s">
        <v>9654</v>
      </c>
      <c r="AF497" t="s">
        <v>74</v>
      </c>
      <c r="AG497">
        <v>88</v>
      </c>
      <c r="AH497">
        <v>57</v>
      </c>
      <c r="AI497">
        <v>62</v>
      </c>
      <c r="AJ497">
        <v>0</v>
      </c>
      <c r="AK497">
        <v>35</v>
      </c>
      <c r="AL497" t="s">
        <v>9655</v>
      </c>
      <c r="AM497" t="s">
        <v>9656</v>
      </c>
      <c r="AN497" t="s">
        <v>9657</v>
      </c>
      <c r="AO497" t="s">
        <v>9658</v>
      </c>
      <c r="AP497" t="s">
        <v>9659</v>
      </c>
      <c r="AQ497" t="s">
        <v>74</v>
      </c>
      <c r="AR497" t="s">
        <v>9660</v>
      </c>
      <c r="AS497" t="s">
        <v>9661</v>
      </c>
      <c r="AT497" t="s">
        <v>8489</v>
      </c>
      <c r="AU497">
        <v>2014</v>
      </c>
      <c r="AV497">
        <v>101</v>
      </c>
      <c r="AW497">
        <v>7</v>
      </c>
      <c r="AX497" t="s">
        <v>74</v>
      </c>
      <c r="AY497" t="s">
        <v>74</v>
      </c>
      <c r="AZ497" t="s">
        <v>74</v>
      </c>
      <c r="BA497" t="s">
        <v>74</v>
      </c>
      <c r="BB497">
        <v>1207</v>
      </c>
      <c r="BC497">
        <v>1228</v>
      </c>
      <c r="BD497" t="s">
        <v>74</v>
      </c>
      <c r="BE497" t="s">
        <v>9662</v>
      </c>
      <c r="BF497" t="str">
        <f>HYPERLINK("http://dx.doi.org/10.3732/ajb.1400071","http://dx.doi.org/10.3732/ajb.1400071")</f>
        <v>http://dx.doi.org/10.3732/ajb.1400071</v>
      </c>
      <c r="BG497" t="s">
        <v>74</v>
      </c>
      <c r="BH497" t="s">
        <v>74</v>
      </c>
      <c r="BI497">
        <v>22</v>
      </c>
      <c r="BJ497" t="s">
        <v>8464</v>
      </c>
      <c r="BK497" t="s">
        <v>102</v>
      </c>
      <c r="BL497" t="s">
        <v>8464</v>
      </c>
      <c r="BM497" t="s">
        <v>9663</v>
      </c>
      <c r="BN497">
        <v>25016009</v>
      </c>
      <c r="BO497" t="s">
        <v>179</v>
      </c>
      <c r="BP497" t="s">
        <v>74</v>
      </c>
      <c r="BQ497" t="s">
        <v>74</v>
      </c>
      <c r="BR497" t="s">
        <v>105</v>
      </c>
      <c r="BS497" t="s">
        <v>9664</v>
      </c>
      <c r="BT497" t="str">
        <f>HYPERLINK("https%3A%2F%2Fwww.webofscience.com%2Fwos%2Fwoscc%2Ffull-record%2FWOS:000340453800013","View Full Record in Web of Science")</f>
        <v>View Full Record in Web of Science</v>
      </c>
    </row>
    <row r="498" spans="1:72" x14ac:dyDescent="0.15">
      <c r="A498" t="s">
        <v>72</v>
      </c>
      <c r="B498" t="s">
        <v>9665</v>
      </c>
      <c r="C498" t="s">
        <v>74</v>
      </c>
      <c r="D498" t="s">
        <v>74</v>
      </c>
      <c r="E498" t="s">
        <v>74</v>
      </c>
      <c r="F498" t="s">
        <v>9666</v>
      </c>
      <c r="G498" t="s">
        <v>74</v>
      </c>
      <c r="H498" t="s">
        <v>74</v>
      </c>
      <c r="I498" t="s">
        <v>9667</v>
      </c>
      <c r="J498" t="s">
        <v>9668</v>
      </c>
      <c r="K498" t="s">
        <v>74</v>
      </c>
      <c r="L498" t="s">
        <v>74</v>
      </c>
      <c r="M498" t="s">
        <v>78</v>
      </c>
      <c r="N498" t="s">
        <v>79</v>
      </c>
      <c r="O498" t="s">
        <v>74</v>
      </c>
      <c r="P498" t="s">
        <v>74</v>
      </c>
      <c r="Q498" t="s">
        <v>74</v>
      </c>
      <c r="R498" t="s">
        <v>74</v>
      </c>
      <c r="S498" t="s">
        <v>74</v>
      </c>
      <c r="T498" t="s">
        <v>74</v>
      </c>
      <c r="U498" t="s">
        <v>9669</v>
      </c>
      <c r="V498" t="s">
        <v>9670</v>
      </c>
      <c r="W498" t="s">
        <v>9671</v>
      </c>
      <c r="X498" t="s">
        <v>9672</v>
      </c>
      <c r="Y498" t="s">
        <v>9673</v>
      </c>
      <c r="Z498" t="s">
        <v>6825</v>
      </c>
      <c r="AA498" t="s">
        <v>9674</v>
      </c>
      <c r="AB498" t="s">
        <v>9675</v>
      </c>
      <c r="AC498" t="s">
        <v>9676</v>
      </c>
      <c r="AD498" t="s">
        <v>9676</v>
      </c>
      <c r="AE498" t="s">
        <v>9677</v>
      </c>
      <c r="AF498" t="s">
        <v>74</v>
      </c>
      <c r="AG498">
        <v>65</v>
      </c>
      <c r="AH498">
        <v>52</v>
      </c>
      <c r="AI498">
        <v>56</v>
      </c>
      <c r="AJ498">
        <v>0</v>
      </c>
      <c r="AK498">
        <v>36</v>
      </c>
      <c r="AL498" t="s">
        <v>9678</v>
      </c>
      <c r="AM498" t="s">
        <v>332</v>
      </c>
      <c r="AN498" t="s">
        <v>9679</v>
      </c>
      <c r="AO498" t="s">
        <v>9680</v>
      </c>
      <c r="AP498" t="s">
        <v>9681</v>
      </c>
      <c r="AQ498" t="s">
        <v>74</v>
      </c>
      <c r="AR498" t="s">
        <v>9682</v>
      </c>
      <c r="AS498" t="s">
        <v>9683</v>
      </c>
      <c r="AT498" t="s">
        <v>8489</v>
      </c>
      <c r="AU498">
        <v>2014</v>
      </c>
      <c r="AV498">
        <v>80</v>
      </c>
      <c r="AW498">
        <v>13</v>
      </c>
      <c r="AX498" t="s">
        <v>74</v>
      </c>
      <c r="AY498" t="s">
        <v>74</v>
      </c>
      <c r="AZ498" t="s">
        <v>74</v>
      </c>
      <c r="BA498" t="s">
        <v>74</v>
      </c>
      <c r="BB498">
        <v>4021</v>
      </c>
      <c r="BC498">
        <v>4033</v>
      </c>
      <c r="BD498" t="s">
        <v>74</v>
      </c>
      <c r="BE498" t="s">
        <v>9684</v>
      </c>
      <c r="BF498" t="str">
        <f>HYPERLINK("http://dx.doi.org/10.1128/AEM.03939-13","http://dx.doi.org/10.1128/AEM.03939-13")</f>
        <v>http://dx.doi.org/10.1128/AEM.03939-13</v>
      </c>
      <c r="BG498" t="s">
        <v>74</v>
      </c>
      <c r="BH498" t="s">
        <v>74</v>
      </c>
      <c r="BI498">
        <v>13</v>
      </c>
      <c r="BJ498" t="s">
        <v>487</v>
      </c>
      <c r="BK498" t="s">
        <v>102</v>
      </c>
      <c r="BL498" t="s">
        <v>487</v>
      </c>
      <c r="BM498" t="s">
        <v>9685</v>
      </c>
      <c r="BN498">
        <v>24771028</v>
      </c>
      <c r="BO498" t="s">
        <v>1053</v>
      </c>
      <c r="BP498" t="s">
        <v>74</v>
      </c>
      <c r="BQ498" t="s">
        <v>74</v>
      </c>
      <c r="BR498" t="s">
        <v>105</v>
      </c>
      <c r="BS498" t="s">
        <v>9686</v>
      </c>
      <c r="BT498" t="str">
        <f>HYPERLINK("https%3A%2F%2Fwww.webofscience.com%2Fwos%2Fwoscc%2Ffull-record%2FWOS:000337241400026","View Full Record in Web of Science")</f>
        <v>View Full Record in Web of Science</v>
      </c>
    </row>
    <row r="499" spans="1:72" x14ac:dyDescent="0.15">
      <c r="A499" t="s">
        <v>72</v>
      </c>
      <c r="B499" t="s">
        <v>9687</v>
      </c>
      <c r="C499" t="s">
        <v>74</v>
      </c>
      <c r="D499" t="s">
        <v>74</v>
      </c>
      <c r="E499" t="s">
        <v>74</v>
      </c>
      <c r="F499" t="s">
        <v>9688</v>
      </c>
      <c r="G499" t="s">
        <v>74</v>
      </c>
      <c r="H499" t="s">
        <v>74</v>
      </c>
      <c r="I499" t="s">
        <v>9689</v>
      </c>
      <c r="J499" t="s">
        <v>9690</v>
      </c>
      <c r="K499" t="s">
        <v>74</v>
      </c>
      <c r="L499" t="s">
        <v>74</v>
      </c>
      <c r="M499" t="s">
        <v>78</v>
      </c>
      <c r="N499" t="s">
        <v>79</v>
      </c>
      <c r="O499" t="s">
        <v>74</v>
      </c>
      <c r="P499" t="s">
        <v>74</v>
      </c>
      <c r="Q499" t="s">
        <v>74</v>
      </c>
      <c r="R499" t="s">
        <v>74</v>
      </c>
      <c r="S499" t="s">
        <v>74</v>
      </c>
      <c r="T499" t="s">
        <v>9691</v>
      </c>
      <c r="U499" t="s">
        <v>9692</v>
      </c>
      <c r="V499" t="s">
        <v>9693</v>
      </c>
      <c r="W499" t="s">
        <v>9694</v>
      </c>
      <c r="X499" t="s">
        <v>2858</v>
      </c>
      <c r="Y499" t="s">
        <v>9695</v>
      </c>
      <c r="Z499" t="s">
        <v>9696</v>
      </c>
      <c r="AA499" t="s">
        <v>9697</v>
      </c>
      <c r="AB499" t="s">
        <v>9698</v>
      </c>
      <c r="AC499" t="s">
        <v>9699</v>
      </c>
      <c r="AD499" t="s">
        <v>9700</v>
      </c>
      <c r="AE499" t="s">
        <v>9701</v>
      </c>
      <c r="AF499" t="s">
        <v>74</v>
      </c>
      <c r="AG499">
        <v>20</v>
      </c>
      <c r="AH499">
        <v>41</v>
      </c>
      <c r="AI499">
        <v>45</v>
      </c>
      <c r="AJ499">
        <v>4</v>
      </c>
      <c r="AK499">
        <v>50</v>
      </c>
      <c r="AL499" t="s">
        <v>9702</v>
      </c>
      <c r="AM499" t="s">
        <v>550</v>
      </c>
      <c r="AN499" t="s">
        <v>9703</v>
      </c>
      <c r="AO499" t="s">
        <v>9704</v>
      </c>
      <c r="AP499" t="s">
        <v>9705</v>
      </c>
      <c r="AQ499" t="s">
        <v>74</v>
      </c>
      <c r="AR499" t="s">
        <v>9706</v>
      </c>
      <c r="AS499" t="s">
        <v>9707</v>
      </c>
      <c r="AT499" t="s">
        <v>8489</v>
      </c>
      <c r="AU499">
        <v>2014</v>
      </c>
      <c r="AV499">
        <v>37</v>
      </c>
      <c r="AW499">
        <v>7</v>
      </c>
      <c r="AX499" t="s">
        <v>74</v>
      </c>
      <c r="AY499" t="s">
        <v>74</v>
      </c>
      <c r="AZ499" t="s">
        <v>74</v>
      </c>
      <c r="BA499" t="s">
        <v>74</v>
      </c>
      <c r="BB499">
        <v>839</v>
      </c>
      <c r="BC499">
        <v>844</v>
      </c>
      <c r="BD499" t="s">
        <v>74</v>
      </c>
      <c r="BE499" t="s">
        <v>9708</v>
      </c>
      <c r="BF499" t="str">
        <f>HYPERLINK("http://dx.doi.org/10.1007/s12272-013-0246-8","http://dx.doi.org/10.1007/s12272-013-0246-8")</f>
        <v>http://dx.doi.org/10.1007/s12272-013-0246-8</v>
      </c>
      <c r="BG499" t="s">
        <v>74</v>
      </c>
      <c r="BH499" t="s">
        <v>74</v>
      </c>
      <c r="BI499">
        <v>6</v>
      </c>
      <c r="BJ499" t="s">
        <v>9709</v>
      </c>
      <c r="BK499" t="s">
        <v>102</v>
      </c>
      <c r="BL499" t="s">
        <v>9710</v>
      </c>
      <c r="BM499" t="s">
        <v>9711</v>
      </c>
      <c r="BN499">
        <v>24078435</v>
      </c>
      <c r="BO499" t="s">
        <v>74</v>
      </c>
      <c r="BP499" t="s">
        <v>74</v>
      </c>
      <c r="BQ499" t="s">
        <v>74</v>
      </c>
      <c r="BR499" t="s">
        <v>105</v>
      </c>
      <c r="BS499" t="s">
        <v>9712</v>
      </c>
      <c r="BT499" t="str">
        <f>HYPERLINK("https%3A%2F%2Fwww.webofscience.com%2Fwos%2Fwoscc%2Ffull-record%2FWOS:000338779800003","View Full Record in Web of Science")</f>
        <v>View Full Record in Web of Science</v>
      </c>
    </row>
    <row r="500" spans="1:72" x14ac:dyDescent="0.15">
      <c r="A500" t="s">
        <v>72</v>
      </c>
      <c r="B500" t="s">
        <v>9713</v>
      </c>
      <c r="C500" t="s">
        <v>74</v>
      </c>
      <c r="D500" t="s">
        <v>74</v>
      </c>
      <c r="E500" t="s">
        <v>74</v>
      </c>
      <c r="F500" t="s">
        <v>9714</v>
      </c>
      <c r="G500" t="s">
        <v>74</v>
      </c>
      <c r="H500" t="s">
        <v>74</v>
      </c>
      <c r="I500" t="s">
        <v>9715</v>
      </c>
      <c r="J500" t="s">
        <v>9716</v>
      </c>
      <c r="K500" t="s">
        <v>74</v>
      </c>
      <c r="L500" t="s">
        <v>74</v>
      </c>
      <c r="M500" t="s">
        <v>78</v>
      </c>
      <c r="N500" t="s">
        <v>79</v>
      </c>
      <c r="O500" t="s">
        <v>74</v>
      </c>
      <c r="P500" t="s">
        <v>74</v>
      </c>
      <c r="Q500" t="s">
        <v>74</v>
      </c>
      <c r="R500" t="s">
        <v>74</v>
      </c>
      <c r="S500" t="s">
        <v>74</v>
      </c>
      <c r="T500" t="s">
        <v>74</v>
      </c>
      <c r="U500" t="s">
        <v>9717</v>
      </c>
      <c r="V500" t="s">
        <v>9718</v>
      </c>
      <c r="W500" t="s">
        <v>9719</v>
      </c>
      <c r="X500" t="s">
        <v>9720</v>
      </c>
      <c r="Y500" t="s">
        <v>74</v>
      </c>
      <c r="Z500" t="s">
        <v>74</v>
      </c>
      <c r="AA500" t="s">
        <v>9721</v>
      </c>
      <c r="AB500" t="s">
        <v>9722</v>
      </c>
      <c r="AC500" t="s">
        <v>9723</v>
      </c>
      <c r="AD500" t="s">
        <v>9724</v>
      </c>
      <c r="AE500" t="s">
        <v>74</v>
      </c>
      <c r="AF500" t="s">
        <v>74</v>
      </c>
      <c r="AG500">
        <v>672</v>
      </c>
      <c r="AH500">
        <v>168</v>
      </c>
      <c r="AI500">
        <v>184</v>
      </c>
      <c r="AJ500">
        <v>5</v>
      </c>
      <c r="AK500">
        <v>163</v>
      </c>
      <c r="AL500" t="s">
        <v>280</v>
      </c>
      <c r="AM500" t="s">
        <v>281</v>
      </c>
      <c r="AN500" t="s">
        <v>4726</v>
      </c>
      <c r="AO500" t="s">
        <v>9725</v>
      </c>
      <c r="AP500" t="s">
        <v>9726</v>
      </c>
      <c r="AQ500" t="s">
        <v>74</v>
      </c>
      <c r="AR500" t="s">
        <v>9727</v>
      </c>
      <c r="AS500" t="s">
        <v>9728</v>
      </c>
      <c r="AT500" t="s">
        <v>8489</v>
      </c>
      <c r="AU500">
        <v>2014</v>
      </c>
      <c r="AV500">
        <v>95</v>
      </c>
      <c r="AW500">
        <v>7</v>
      </c>
      <c r="AX500" t="s">
        <v>74</v>
      </c>
      <c r="AY500" t="s">
        <v>1792</v>
      </c>
      <c r="AZ500" t="s">
        <v>74</v>
      </c>
      <c r="BA500" t="s">
        <v>74</v>
      </c>
      <c r="BB500" t="s">
        <v>9729</v>
      </c>
      <c r="BC500" t="s">
        <v>9730</v>
      </c>
      <c r="BD500" t="s">
        <v>74</v>
      </c>
      <c r="BE500" t="s">
        <v>9731</v>
      </c>
      <c r="BF500" t="str">
        <f>HYPERLINK("http://dx.doi.org/10.1175/2014BAMSStateoftheClimate.1","http://dx.doi.org/10.1175/2014BAMSStateoftheClimate.1")</f>
        <v>http://dx.doi.org/10.1175/2014BAMSStateoftheClimate.1</v>
      </c>
      <c r="BG500" t="s">
        <v>74</v>
      </c>
      <c r="BH500" t="s">
        <v>74</v>
      </c>
      <c r="BI500">
        <v>257</v>
      </c>
      <c r="BJ500" t="s">
        <v>177</v>
      </c>
      <c r="BK500" t="s">
        <v>102</v>
      </c>
      <c r="BL500" t="s">
        <v>177</v>
      </c>
      <c r="BM500" t="s">
        <v>9732</v>
      </c>
      <c r="BN500" t="s">
        <v>74</v>
      </c>
      <c r="BO500" t="s">
        <v>9733</v>
      </c>
      <c r="BP500" t="s">
        <v>74</v>
      </c>
      <c r="BQ500" t="s">
        <v>74</v>
      </c>
      <c r="BR500" t="s">
        <v>105</v>
      </c>
      <c r="BS500" t="s">
        <v>9734</v>
      </c>
      <c r="BT500" t="str">
        <f>HYPERLINK("https%3A%2F%2Fwww.webofscience.com%2Fwos%2Fwoscc%2Ffull-record%2FWOS:000340980900001","View Full Record in Web of Science")</f>
        <v>View Full Record in Web of Science</v>
      </c>
    </row>
    <row r="501" spans="1:72" x14ac:dyDescent="0.15">
      <c r="A501" t="s">
        <v>72</v>
      </c>
      <c r="B501" t="s">
        <v>9735</v>
      </c>
      <c r="C501" t="s">
        <v>74</v>
      </c>
      <c r="D501" t="s">
        <v>74</v>
      </c>
      <c r="E501" t="s">
        <v>74</v>
      </c>
      <c r="F501" t="s">
        <v>9736</v>
      </c>
      <c r="G501" t="s">
        <v>74</v>
      </c>
      <c r="H501" t="s">
        <v>74</v>
      </c>
      <c r="I501" t="s">
        <v>9737</v>
      </c>
      <c r="J501" t="s">
        <v>9738</v>
      </c>
      <c r="K501" t="s">
        <v>74</v>
      </c>
      <c r="L501" t="s">
        <v>74</v>
      </c>
      <c r="M501" t="s">
        <v>78</v>
      </c>
      <c r="N501" t="s">
        <v>79</v>
      </c>
      <c r="O501" t="s">
        <v>74</v>
      </c>
      <c r="P501" t="s">
        <v>74</v>
      </c>
      <c r="Q501" t="s">
        <v>74</v>
      </c>
      <c r="R501" t="s">
        <v>74</v>
      </c>
      <c r="S501" t="s">
        <v>74</v>
      </c>
      <c r="T501" t="s">
        <v>74</v>
      </c>
      <c r="U501" t="s">
        <v>9739</v>
      </c>
      <c r="V501" t="s">
        <v>9740</v>
      </c>
      <c r="W501" t="s">
        <v>9741</v>
      </c>
      <c r="X501" t="s">
        <v>9742</v>
      </c>
      <c r="Y501" t="s">
        <v>9743</v>
      </c>
      <c r="Z501" t="s">
        <v>9744</v>
      </c>
      <c r="AA501" t="s">
        <v>9745</v>
      </c>
      <c r="AB501" t="s">
        <v>9746</v>
      </c>
      <c r="AC501" t="s">
        <v>9747</v>
      </c>
      <c r="AD501" t="s">
        <v>9748</v>
      </c>
      <c r="AE501" t="s">
        <v>9749</v>
      </c>
      <c r="AF501" t="s">
        <v>74</v>
      </c>
      <c r="AG501">
        <v>50</v>
      </c>
      <c r="AH501">
        <v>9</v>
      </c>
      <c r="AI501">
        <v>10</v>
      </c>
      <c r="AJ501">
        <v>0</v>
      </c>
      <c r="AK501">
        <v>39</v>
      </c>
      <c r="AL501" t="s">
        <v>9750</v>
      </c>
      <c r="AM501" t="s">
        <v>9751</v>
      </c>
      <c r="AN501" t="s">
        <v>9752</v>
      </c>
      <c r="AO501" t="s">
        <v>9753</v>
      </c>
      <c r="AP501" t="s">
        <v>9754</v>
      </c>
      <c r="AQ501" t="s">
        <v>74</v>
      </c>
      <c r="AR501" t="s">
        <v>9755</v>
      </c>
      <c r="AS501" t="s">
        <v>9756</v>
      </c>
      <c r="AT501" t="s">
        <v>8489</v>
      </c>
      <c r="AU501">
        <v>2014</v>
      </c>
      <c r="AV501">
        <v>71</v>
      </c>
      <c r="AW501">
        <v>7</v>
      </c>
      <c r="AX501" t="s">
        <v>74</v>
      </c>
      <c r="AY501" t="s">
        <v>74</v>
      </c>
      <c r="AZ501" t="s">
        <v>74</v>
      </c>
      <c r="BA501" t="s">
        <v>74</v>
      </c>
      <c r="BB501">
        <v>984</v>
      </c>
      <c r="BC501">
        <v>991</v>
      </c>
      <c r="BD501" t="s">
        <v>74</v>
      </c>
      <c r="BE501" t="s">
        <v>9757</v>
      </c>
      <c r="BF501" t="str">
        <f>HYPERLINK("http://dx.doi.org/10.1139/cjfas-2013-0479","http://dx.doi.org/10.1139/cjfas-2013-0479")</f>
        <v>http://dx.doi.org/10.1139/cjfas-2013-0479</v>
      </c>
      <c r="BG501" t="s">
        <v>74</v>
      </c>
      <c r="BH501" t="s">
        <v>74</v>
      </c>
      <c r="BI501">
        <v>8</v>
      </c>
      <c r="BJ501" t="s">
        <v>9758</v>
      </c>
      <c r="BK501" t="s">
        <v>102</v>
      </c>
      <c r="BL501" t="s">
        <v>9758</v>
      </c>
      <c r="BM501" t="s">
        <v>9759</v>
      </c>
      <c r="BN501" t="s">
        <v>74</v>
      </c>
      <c r="BO501" t="s">
        <v>74</v>
      </c>
      <c r="BP501" t="s">
        <v>74</v>
      </c>
      <c r="BQ501" t="s">
        <v>74</v>
      </c>
      <c r="BR501" t="s">
        <v>105</v>
      </c>
      <c r="BS501" t="s">
        <v>9760</v>
      </c>
      <c r="BT501" t="str">
        <f>HYPERLINK("https%3A%2F%2Fwww.webofscience.com%2Fwos%2Fwoscc%2Ffull-record%2FWOS:000338999600003","View Full Record in Web of Science")</f>
        <v>View Full Record in Web of Science</v>
      </c>
    </row>
    <row r="502" spans="1:72" x14ac:dyDescent="0.15">
      <c r="A502" t="s">
        <v>72</v>
      </c>
      <c r="B502" t="s">
        <v>9761</v>
      </c>
      <c r="C502" t="s">
        <v>74</v>
      </c>
      <c r="D502" t="s">
        <v>74</v>
      </c>
      <c r="E502" t="s">
        <v>74</v>
      </c>
      <c r="F502" t="s">
        <v>9762</v>
      </c>
      <c r="G502" t="s">
        <v>74</v>
      </c>
      <c r="H502" t="s">
        <v>74</v>
      </c>
      <c r="I502" t="s">
        <v>9763</v>
      </c>
      <c r="J502" t="s">
        <v>2984</v>
      </c>
      <c r="K502" t="s">
        <v>74</v>
      </c>
      <c r="L502" t="s">
        <v>74</v>
      </c>
      <c r="M502" t="s">
        <v>78</v>
      </c>
      <c r="N502" t="s">
        <v>79</v>
      </c>
      <c r="O502" t="s">
        <v>74</v>
      </c>
      <c r="P502" t="s">
        <v>74</v>
      </c>
      <c r="Q502" t="s">
        <v>74</v>
      </c>
      <c r="R502" t="s">
        <v>74</v>
      </c>
      <c r="S502" t="s">
        <v>74</v>
      </c>
      <c r="T502" t="s">
        <v>9764</v>
      </c>
      <c r="U502" t="s">
        <v>9765</v>
      </c>
      <c r="V502" t="s">
        <v>9766</v>
      </c>
      <c r="W502" t="s">
        <v>9767</v>
      </c>
      <c r="X502" t="s">
        <v>9768</v>
      </c>
      <c r="Y502" t="s">
        <v>9769</v>
      </c>
      <c r="Z502" t="s">
        <v>9770</v>
      </c>
      <c r="AA502" t="s">
        <v>9771</v>
      </c>
      <c r="AB502" t="s">
        <v>9772</v>
      </c>
      <c r="AC502" t="s">
        <v>9773</v>
      </c>
      <c r="AD502" t="s">
        <v>9774</v>
      </c>
      <c r="AE502" t="s">
        <v>9775</v>
      </c>
      <c r="AF502" t="s">
        <v>74</v>
      </c>
      <c r="AG502">
        <v>54</v>
      </c>
      <c r="AH502">
        <v>105</v>
      </c>
      <c r="AI502">
        <v>117</v>
      </c>
      <c r="AJ502">
        <v>0</v>
      </c>
      <c r="AK502">
        <v>11</v>
      </c>
      <c r="AL502" t="s">
        <v>753</v>
      </c>
      <c r="AM502" t="s">
        <v>124</v>
      </c>
      <c r="AN502" t="s">
        <v>754</v>
      </c>
      <c r="AO502" t="s">
        <v>2997</v>
      </c>
      <c r="AP502" t="s">
        <v>2998</v>
      </c>
      <c r="AQ502" t="s">
        <v>74</v>
      </c>
      <c r="AR502" t="s">
        <v>2999</v>
      </c>
      <c r="AS502" t="s">
        <v>3000</v>
      </c>
      <c r="AT502" t="s">
        <v>9490</v>
      </c>
      <c r="AU502">
        <v>2014</v>
      </c>
      <c r="AV502">
        <v>397</v>
      </c>
      <c r="AW502" t="s">
        <v>74</v>
      </c>
      <c r="AX502" t="s">
        <v>74</v>
      </c>
      <c r="AY502" t="s">
        <v>74</v>
      </c>
      <c r="AZ502" t="s">
        <v>74</v>
      </c>
      <c r="BA502" t="s">
        <v>74</v>
      </c>
      <c r="BB502">
        <v>32</v>
      </c>
      <c r="BC502">
        <v>41</v>
      </c>
      <c r="BD502" t="s">
        <v>74</v>
      </c>
      <c r="BE502" t="s">
        <v>9776</v>
      </c>
      <c r="BF502" t="str">
        <f>HYPERLINK("http://dx.doi.org/10.1016/j.epsl.2014.04.019","http://dx.doi.org/10.1016/j.epsl.2014.04.019")</f>
        <v>http://dx.doi.org/10.1016/j.epsl.2014.04.019</v>
      </c>
      <c r="BG502" t="s">
        <v>74</v>
      </c>
      <c r="BH502" t="s">
        <v>74</v>
      </c>
      <c r="BI502">
        <v>10</v>
      </c>
      <c r="BJ502" t="s">
        <v>425</v>
      </c>
      <c r="BK502" t="s">
        <v>102</v>
      </c>
      <c r="BL502" t="s">
        <v>425</v>
      </c>
      <c r="BM502" t="s">
        <v>9777</v>
      </c>
      <c r="BN502" t="s">
        <v>74</v>
      </c>
      <c r="BO502" t="s">
        <v>1564</v>
      </c>
      <c r="BP502" t="s">
        <v>74</v>
      </c>
      <c r="BQ502" t="s">
        <v>74</v>
      </c>
      <c r="BR502" t="s">
        <v>105</v>
      </c>
      <c r="BS502" t="s">
        <v>9778</v>
      </c>
      <c r="BT502" t="str">
        <f>HYPERLINK("https%3A%2F%2Fwww.webofscience.com%2Fwos%2Fwoscc%2Ffull-record%2FWOS:000337554400004","View Full Record in Web of Science")</f>
        <v>View Full Record in Web of Science</v>
      </c>
    </row>
    <row r="503" spans="1:72" x14ac:dyDescent="0.15">
      <c r="A503" t="s">
        <v>72</v>
      </c>
      <c r="B503" t="s">
        <v>9779</v>
      </c>
      <c r="C503" t="s">
        <v>74</v>
      </c>
      <c r="D503" t="s">
        <v>74</v>
      </c>
      <c r="E503" t="s">
        <v>74</v>
      </c>
      <c r="F503" t="s">
        <v>9780</v>
      </c>
      <c r="G503" t="s">
        <v>74</v>
      </c>
      <c r="H503" t="s">
        <v>74</v>
      </c>
      <c r="I503" t="s">
        <v>9781</v>
      </c>
      <c r="J503" t="s">
        <v>6658</v>
      </c>
      <c r="K503" t="s">
        <v>74</v>
      </c>
      <c r="L503" t="s">
        <v>74</v>
      </c>
      <c r="M503" t="s">
        <v>78</v>
      </c>
      <c r="N503" t="s">
        <v>79</v>
      </c>
      <c r="O503" t="s">
        <v>74</v>
      </c>
      <c r="P503" t="s">
        <v>74</v>
      </c>
      <c r="Q503" t="s">
        <v>74</v>
      </c>
      <c r="R503" t="s">
        <v>74</v>
      </c>
      <c r="S503" t="s">
        <v>74</v>
      </c>
      <c r="T503" t="s">
        <v>9782</v>
      </c>
      <c r="U503" t="s">
        <v>9783</v>
      </c>
      <c r="V503" t="s">
        <v>9784</v>
      </c>
      <c r="W503" t="s">
        <v>9785</v>
      </c>
      <c r="X503" t="s">
        <v>9786</v>
      </c>
      <c r="Y503" t="s">
        <v>9787</v>
      </c>
      <c r="Z503" t="s">
        <v>9788</v>
      </c>
      <c r="AA503" t="s">
        <v>9789</v>
      </c>
      <c r="AB503" t="s">
        <v>9790</v>
      </c>
      <c r="AC503" t="s">
        <v>9791</v>
      </c>
      <c r="AD503" t="s">
        <v>9792</v>
      </c>
      <c r="AE503" t="s">
        <v>9793</v>
      </c>
      <c r="AF503" t="s">
        <v>74</v>
      </c>
      <c r="AG503">
        <v>116</v>
      </c>
      <c r="AH503">
        <v>41</v>
      </c>
      <c r="AI503">
        <v>46</v>
      </c>
      <c r="AJ503">
        <v>1</v>
      </c>
      <c r="AK503">
        <v>42</v>
      </c>
      <c r="AL503" t="s">
        <v>753</v>
      </c>
      <c r="AM503" t="s">
        <v>124</v>
      </c>
      <c r="AN503" t="s">
        <v>754</v>
      </c>
      <c r="AO503" t="s">
        <v>6671</v>
      </c>
      <c r="AP503" t="s">
        <v>6672</v>
      </c>
      <c r="AQ503" t="s">
        <v>74</v>
      </c>
      <c r="AR503" t="s">
        <v>6673</v>
      </c>
      <c r="AS503" t="s">
        <v>6674</v>
      </c>
      <c r="AT503" t="s">
        <v>8489</v>
      </c>
      <c r="AU503">
        <v>2014</v>
      </c>
      <c r="AV503">
        <v>134</v>
      </c>
      <c r="AW503" t="s">
        <v>74</v>
      </c>
      <c r="AX503" t="s">
        <v>74</v>
      </c>
      <c r="AY503" t="s">
        <v>74</v>
      </c>
      <c r="AZ503" t="s">
        <v>74</v>
      </c>
      <c r="BA503" t="s">
        <v>74</v>
      </c>
      <c r="BB503">
        <v>81</v>
      </c>
      <c r="BC503">
        <v>97</v>
      </c>
      <c r="BD503" t="s">
        <v>74</v>
      </c>
      <c r="BE503" t="s">
        <v>9794</v>
      </c>
      <c r="BF503" t="str">
        <f>HYPERLINK("http://dx.doi.org/10.1016/j.earscirev.2014.03.006","http://dx.doi.org/10.1016/j.earscirev.2014.03.006")</f>
        <v>http://dx.doi.org/10.1016/j.earscirev.2014.03.006</v>
      </c>
      <c r="BG503" t="s">
        <v>74</v>
      </c>
      <c r="BH503" t="s">
        <v>74</v>
      </c>
      <c r="BI503">
        <v>17</v>
      </c>
      <c r="BJ503" t="s">
        <v>685</v>
      </c>
      <c r="BK503" t="s">
        <v>102</v>
      </c>
      <c r="BL503" t="s">
        <v>686</v>
      </c>
      <c r="BM503" t="s">
        <v>9795</v>
      </c>
      <c r="BN503" t="s">
        <v>74</v>
      </c>
      <c r="BO503" t="s">
        <v>74</v>
      </c>
      <c r="BP503" t="s">
        <v>74</v>
      </c>
      <c r="BQ503" t="s">
        <v>74</v>
      </c>
      <c r="BR503" t="s">
        <v>105</v>
      </c>
      <c r="BS503" t="s">
        <v>9796</v>
      </c>
      <c r="BT503" t="str">
        <f>HYPERLINK("https%3A%2F%2Fwww.webofscience.com%2Fwos%2Fwoscc%2Ffull-record%2FWOS:000337855800004","View Full Record in Web of Science")</f>
        <v>View Full Record in Web of Science</v>
      </c>
    </row>
    <row r="504" spans="1:72" x14ac:dyDescent="0.15">
      <c r="A504" t="s">
        <v>72</v>
      </c>
      <c r="B504" t="s">
        <v>9797</v>
      </c>
      <c r="C504" t="s">
        <v>74</v>
      </c>
      <c r="D504" t="s">
        <v>74</v>
      </c>
      <c r="E504" t="s">
        <v>74</v>
      </c>
      <c r="F504" t="s">
        <v>9798</v>
      </c>
      <c r="G504" t="s">
        <v>74</v>
      </c>
      <c r="H504" t="s">
        <v>74</v>
      </c>
      <c r="I504" t="s">
        <v>9799</v>
      </c>
      <c r="J504" t="s">
        <v>6702</v>
      </c>
      <c r="K504" t="s">
        <v>74</v>
      </c>
      <c r="L504" t="s">
        <v>74</v>
      </c>
      <c r="M504" t="s">
        <v>78</v>
      </c>
      <c r="N504" t="s">
        <v>79</v>
      </c>
      <c r="O504" t="s">
        <v>74</v>
      </c>
      <c r="P504" t="s">
        <v>74</v>
      </c>
      <c r="Q504" t="s">
        <v>74</v>
      </c>
      <c r="R504" t="s">
        <v>74</v>
      </c>
      <c r="S504" t="s">
        <v>74</v>
      </c>
      <c r="T504" t="s">
        <v>9800</v>
      </c>
      <c r="U504" t="s">
        <v>9801</v>
      </c>
      <c r="V504" t="s">
        <v>9802</v>
      </c>
      <c r="W504" t="s">
        <v>9803</v>
      </c>
      <c r="X504" t="s">
        <v>9804</v>
      </c>
      <c r="Y504" t="s">
        <v>9805</v>
      </c>
      <c r="Z504" t="s">
        <v>9806</v>
      </c>
      <c r="AA504" t="s">
        <v>9807</v>
      </c>
      <c r="AB504" t="s">
        <v>9808</v>
      </c>
      <c r="AC504" t="s">
        <v>9809</v>
      </c>
      <c r="AD504" t="s">
        <v>9810</v>
      </c>
      <c r="AE504" t="s">
        <v>9811</v>
      </c>
      <c r="AF504" t="s">
        <v>74</v>
      </c>
      <c r="AG504">
        <v>56</v>
      </c>
      <c r="AH504">
        <v>15</v>
      </c>
      <c r="AI504">
        <v>16</v>
      </c>
      <c r="AJ504">
        <v>0</v>
      </c>
      <c r="AK504">
        <v>90</v>
      </c>
      <c r="AL504" t="s">
        <v>171</v>
      </c>
      <c r="AM504" t="s">
        <v>93</v>
      </c>
      <c r="AN504" t="s">
        <v>94</v>
      </c>
      <c r="AO504" t="s">
        <v>6715</v>
      </c>
      <c r="AP504" t="s">
        <v>6716</v>
      </c>
      <c r="AQ504" t="s">
        <v>74</v>
      </c>
      <c r="AR504" t="s">
        <v>6702</v>
      </c>
      <c r="AS504" t="s">
        <v>5627</v>
      </c>
      <c r="AT504" t="s">
        <v>8489</v>
      </c>
      <c r="AU504">
        <v>2014</v>
      </c>
      <c r="AV504">
        <v>95</v>
      </c>
      <c r="AW504">
        <v>7</v>
      </c>
      <c r="AX504" t="s">
        <v>74</v>
      </c>
      <c r="AY504" t="s">
        <v>74</v>
      </c>
      <c r="AZ504" t="s">
        <v>74</v>
      </c>
      <c r="BA504" t="s">
        <v>74</v>
      </c>
      <c r="BB504">
        <v>2016</v>
      </c>
      <c r="BC504">
        <v>2025</v>
      </c>
      <c r="BD504" t="s">
        <v>74</v>
      </c>
      <c r="BE504" t="s">
        <v>9812</v>
      </c>
      <c r="BF504" t="str">
        <f>HYPERLINK("http://dx.doi.org/10.1890/13-0789.1","http://dx.doi.org/10.1890/13-0789.1")</f>
        <v>http://dx.doi.org/10.1890/13-0789.1</v>
      </c>
      <c r="BG504" t="s">
        <v>74</v>
      </c>
      <c r="BH504" t="s">
        <v>74</v>
      </c>
      <c r="BI504">
        <v>10</v>
      </c>
      <c r="BJ504" t="s">
        <v>5627</v>
      </c>
      <c r="BK504" t="s">
        <v>102</v>
      </c>
      <c r="BL504" t="s">
        <v>2553</v>
      </c>
      <c r="BM504" t="s">
        <v>9090</v>
      </c>
      <c r="BN504">
        <v>25163132</v>
      </c>
      <c r="BO504" t="s">
        <v>3920</v>
      </c>
      <c r="BP504" t="s">
        <v>74</v>
      </c>
      <c r="BQ504" t="s">
        <v>74</v>
      </c>
      <c r="BR504" t="s">
        <v>105</v>
      </c>
      <c r="BS504" t="s">
        <v>9813</v>
      </c>
      <c r="BT504" t="str">
        <f>HYPERLINK("https%3A%2F%2Fwww.webofscience.com%2Fwos%2Fwoscc%2Ffull-record%2FWOS:000339470500028","View Full Record in Web of Science")</f>
        <v>View Full Record in Web of Science</v>
      </c>
    </row>
    <row r="505" spans="1:72" x14ac:dyDescent="0.15">
      <c r="A505" t="s">
        <v>72</v>
      </c>
      <c r="B505" t="s">
        <v>9814</v>
      </c>
      <c r="C505" t="s">
        <v>74</v>
      </c>
      <c r="D505" t="s">
        <v>74</v>
      </c>
      <c r="E505" t="s">
        <v>74</v>
      </c>
      <c r="F505" t="s">
        <v>9815</v>
      </c>
      <c r="G505" t="s">
        <v>74</v>
      </c>
      <c r="H505" t="s">
        <v>74</v>
      </c>
      <c r="I505" t="s">
        <v>9816</v>
      </c>
      <c r="J505" t="s">
        <v>9817</v>
      </c>
      <c r="K505" t="s">
        <v>74</v>
      </c>
      <c r="L505" t="s">
        <v>74</v>
      </c>
      <c r="M505" t="s">
        <v>78</v>
      </c>
      <c r="N505" t="s">
        <v>79</v>
      </c>
      <c r="O505" t="s">
        <v>74</v>
      </c>
      <c r="P505" t="s">
        <v>74</v>
      </c>
      <c r="Q505" t="s">
        <v>74</v>
      </c>
      <c r="R505" t="s">
        <v>74</v>
      </c>
      <c r="S505" t="s">
        <v>74</v>
      </c>
      <c r="T505" t="s">
        <v>74</v>
      </c>
      <c r="U505" t="s">
        <v>9818</v>
      </c>
      <c r="V505" t="s">
        <v>9819</v>
      </c>
      <c r="W505" t="s">
        <v>9820</v>
      </c>
      <c r="X505" t="s">
        <v>9821</v>
      </c>
      <c r="Y505" t="s">
        <v>9822</v>
      </c>
      <c r="Z505" t="s">
        <v>9823</v>
      </c>
      <c r="AA505" t="s">
        <v>9824</v>
      </c>
      <c r="AB505" t="s">
        <v>9825</v>
      </c>
      <c r="AC505" t="s">
        <v>9826</v>
      </c>
      <c r="AD505" t="s">
        <v>9827</v>
      </c>
      <c r="AE505" t="s">
        <v>74</v>
      </c>
      <c r="AF505" t="s">
        <v>74</v>
      </c>
      <c r="AG505">
        <v>56</v>
      </c>
      <c r="AH505">
        <v>15</v>
      </c>
      <c r="AI505">
        <v>16</v>
      </c>
      <c r="AJ505">
        <v>1</v>
      </c>
      <c r="AK505">
        <v>27</v>
      </c>
      <c r="AL505" t="s">
        <v>9828</v>
      </c>
      <c r="AM505" t="s">
        <v>726</v>
      </c>
      <c r="AN505" t="s">
        <v>9829</v>
      </c>
      <c r="AO505" t="s">
        <v>9830</v>
      </c>
      <c r="AP505" t="s">
        <v>9831</v>
      </c>
      <c r="AQ505" t="s">
        <v>74</v>
      </c>
      <c r="AR505" t="s">
        <v>9817</v>
      </c>
      <c r="AS505" t="s">
        <v>9832</v>
      </c>
      <c r="AT505" t="s">
        <v>8489</v>
      </c>
      <c r="AU505">
        <v>2014</v>
      </c>
      <c r="AV505">
        <v>197</v>
      </c>
      <c r="AW505">
        <v>3</v>
      </c>
      <c r="AX505" t="s">
        <v>74</v>
      </c>
      <c r="AY505" t="s">
        <v>74</v>
      </c>
      <c r="AZ505" t="s">
        <v>74</v>
      </c>
      <c r="BA505" t="s">
        <v>74</v>
      </c>
      <c r="BB505">
        <v>925</v>
      </c>
      <c r="BC505" t="s">
        <v>4545</v>
      </c>
      <c r="BD505" t="s">
        <v>74</v>
      </c>
      <c r="BE505" t="s">
        <v>9833</v>
      </c>
      <c r="BF505" t="str">
        <f>HYPERLINK("http://dx.doi.org/10.1534/genetics.114.161299","http://dx.doi.org/10.1534/genetics.114.161299")</f>
        <v>http://dx.doi.org/10.1534/genetics.114.161299</v>
      </c>
      <c r="BG505" t="s">
        <v>74</v>
      </c>
      <c r="BH505" t="s">
        <v>74</v>
      </c>
      <c r="BI505">
        <v>19</v>
      </c>
      <c r="BJ505" t="s">
        <v>5954</v>
      </c>
      <c r="BK505" t="s">
        <v>102</v>
      </c>
      <c r="BL505" t="s">
        <v>5954</v>
      </c>
      <c r="BM505" t="s">
        <v>9834</v>
      </c>
      <c r="BN505">
        <v>24793089</v>
      </c>
      <c r="BO505" t="s">
        <v>9835</v>
      </c>
      <c r="BP505" t="s">
        <v>74</v>
      </c>
      <c r="BQ505" t="s">
        <v>74</v>
      </c>
      <c r="BR505" t="s">
        <v>105</v>
      </c>
      <c r="BS505" t="s">
        <v>9836</v>
      </c>
      <c r="BT505" t="str">
        <f>HYPERLINK("https%3A%2F%2Fwww.webofscience.com%2Fwos%2Fwoscc%2Ffull-record%2FWOS:000339391900011","View Full Record in Web of Science")</f>
        <v>View Full Record in Web of Science</v>
      </c>
    </row>
    <row r="506" spans="1:72" x14ac:dyDescent="0.15">
      <c r="A506" t="s">
        <v>72</v>
      </c>
      <c r="B506" t="s">
        <v>9837</v>
      </c>
      <c r="C506" t="s">
        <v>74</v>
      </c>
      <c r="D506" t="s">
        <v>74</v>
      </c>
      <c r="E506" t="s">
        <v>74</v>
      </c>
      <c r="F506" t="s">
        <v>9838</v>
      </c>
      <c r="G506" t="s">
        <v>74</v>
      </c>
      <c r="H506" t="s">
        <v>74</v>
      </c>
      <c r="I506" t="s">
        <v>9839</v>
      </c>
      <c r="J506" t="s">
        <v>9840</v>
      </c>
      <c r="K506" t="s">
        <v>74</v>
      </c>
      <c r="L506" t="s">
        <v>74</v>
      </c>
      <c r="M506" t="s">
        <v>78</v>
      </c>
      <c r="N506" t="s">
        <v>1516</v>
      </c>
      <c r="O506" t="s">
        <v>74</v>
      </c>
      <c r="P506" t="s">
        <v>74</v>
      </c>
      <c r="Q506" t="s">
        <v>74</v>
      </c>
      <c r="R506" t="s">
        <v>74</v>
      </c>
      <c r="S506" t="s">
        <v>74</v>
      </c>
      <c r="T506" t="s">
        <v>74</v>
      </c>
      <c r="U506" t="s">
        <v>74</v>
      </c>
      <c r="V506" t="s">
        <v>9841</v>
      </c>
      <c r="W506" t="s">
        <v>9842</v>
      </c>
      <c r="X506" t="s">
        <v>9843</v>
      </c>
      <c r="Y506" t="s">
        <v>9844</v>
      </c>
      <c r="Z506" t="s">
        <v>9845</v>
      </c>
      <c r="AA506" t="s">
        <v>9846</v>
      </c>
      <c r="AB506" t="s">
        <v>9847</v>
      </c>
      <c r="AC506" t="s">
        <v>9848</v>
      </c>
      <c r="AD506" t="s">
        <v>9849</v>
      </c>
      <c r="AE506" t="s">
        <v>9850</v>
      </c>
      <c r="AF506" t="s">
        <v>74</v>
      </c>
      <c r="AG506">
        <v>6</v>
      </c>
      <c r="AH506">
        <v>4</v>
      </c>
      <c r="AI506">
        <v>4</v>
      </c>
      <c r="AJ506">
        <v>0</v>
      </c>
      <c r="AK506">
        <v>1</v>
      </c>
      <c r="AL506" t="s">
        <v>9678</v>
      </c>
      <c r="AM506" t="s">
        <v>332</v>
      </c>
      <c r="AN506" t="s">
        <v>9679</v>
      </c>
      <c r="AO506" t="s">
        <v>74</v>
      </c>
      <c r="AP506" t="s">
        <v>9851</v>
      </c>
      <c r="AQ506" t="s">
        <v>74</v>
      </c>
      <c r="AR506" t="s">
        <v>9840</v>
      </c>
      <c r="AS506" t="s">
        <v>9852</v>
      </c>
      <c r="AT506" t="s">
        <v>9030</v>
      </c>
      <c r="AU506">
        <v>2014</v>
      </c>
      <c r="AV506">
        <v>2</v>
      </c>
      <c r="AW506">
        <v>4</v>
      </c>
      <c r="AX506" t="s">
        <v>74</v>
      </c>
      <c r="AY506" t="s">
        <v>74</v>
      </c>
      <c r="AZ506" t="s">
        <v>74</v>
      </c>
      <c r="BA506" t="s">
        <v>74</v>
      </c>
      <c r="BB506" t="s">
        <v>74</v>
      </c>
      <c r="BC506" t="s">
        <v>74</v>
      </c>
      <c r="BD506" t="s">
        <v>9853</v>
      </c>
      <c r="BE506" t="s">
        <v>9854</v>
      </c>
      <c r="BF506" t="str">
        <f>HYPERLINK("http://dx.doi.org/10.1128/genomeA.00789-14","http://dx.doi.org/10.1128/genomeA.00789-14")</f>
        <v>http://dx.doi.org/10.1128/genomeA.00789-14</v>
      </c>
      <c r="BG506" t="s">
        <v>74</v>
      </c>
      <c r="BH506" t="s">
        <v>74</v>
      </c>
      <c r="BI506">
        <v>1</v>
      </c>
      <c r="BJ506" t="s">
        <v>1012</v>
      </c>
      <c r="BK506" t="s">
        <v>488</v>
      </c>
      <c r="BL506" t="s">
        <v>1012</v>
      </c>
      <c r="BM506" t="s">
        <v>9855</v>
      </c>
      <c r="BN506" t="s">
        <v>74</v>
      </c>
      <c r="BO506" t="s">
        <v>206</v>
      </c>
      <c r="BP506" t="s">
        <v>74</v>
      </c>
      <c r="BQ506" t="s">
        <v>74</v>
      </c>
      <c r="BR506" t="s">
        <v>105</v>
      </c>
      <c r="BS506" t="s">
        <v>9856</v>
      </c>
      <c r="BT506" t="str">
        <f>HYPERLINK("https%3A%2F%2Fwww.webofscience.com%2Fwos%2Fwoscc%2Ffull-record%2FWOS:000460598400124","View Full Record in Web of Science")</f>
        <v>View Full Record in Web of Science</v>
      </c>
    </row>
    <row r="507" spans="1:72" x14ac:dyDescent="0.15">
      <c r="A507" t="s">
        <v>72</v>
      </c>
      <c r="B507" t="s">
        <v>9857</v>
      </c>
      <c r="C507" t="s">
        <v>74</v>
      </c>
      <c r="D507" t="s">
        <v>74</v>
      </c>
      <c r="E507" t="s">
        <v>74</v>
      </c>
      <c r="F507" t="s">
        <v>9858</v>
      </c>
      <c r="G507" t="s">
        <v>74</v>
      </c>
      <c r="H507" t="s">
        <v>74</v>
      </c>
      <c r="I507" t="s">
        <v>9859</v>
      </c>
      <c r="J507" t="s">
        <v>9840</v>
      </c>
      <c r="K507" t="s">
        <v>74</v>
      </c>
      <c r="L507" t="s">
        <v>74</v>
      </c>
      <c r="M507" t="s">
        <v>78</v>
      </c>
      <c r="N507" t="s">
        <v>1516</v>
      </c>
      <c r="O507" t="s">
        <v>74</v>
      </c>
      <c r="P507" t="s">
        <v>74</v>
      </c>
      <c r="Q507" t="s">
        <v>74</v>
      </c>
      <c r="R507" t="s">
        <v>74</v>
      </c>
      <c r="S507" t="s">
        <v>74</v>
      </c>
      <c r="T507" t="s">
        <v>74</v>
      </c>
      <c r="U507" t="s">
        <v>74</v>
      </c>
      <c r="V507" t="s">
        <v>9860</v>
      </c>
      <c r="W507" t="s">
        <v>9861</v>
      </c>
      <c r="X507" t="s">
        <v>9862</v>
      </c>
      <c r="Y507" t="s">
        <v>9863</v>
      </c>
      <c r="Z507" t="s">
        <v>9864</v>
      </c>
      <c r="AA507" t="s">
        <v>9865</v>
      </c>
      <c r="AB507" t="s">
        <v>9866</v>
      </c>
      <c r="AC507" t="s">
        <v>9867</v>
      </c>
      <c r="AD507" t="s">
        <v>9868</v>
      </c>
      <c r="AE507" t="s">
        <v>9869</v>
      </c>
      <c r="AF507" t="s">
        <v>74</v>
      </c>
      <c r="AG507">
        <v>14</v>
      </c>
      <c r="AH507">
        <v>8</v>
      </c>
      <c r="AI507">
        <v>10</v>
      </c>
      <c r="AJ507">
        <v>0</v>
      </c>
      <c r="AK507">
        <v>1</v>
      </c>
      <c r="AL507" t="s">
        <v>9678</v>
      </c>
      <c r="AM507" t="s">
        <v>332</v>
      </c>
      <c r="AN507" t="s">
        <v>9679</v>
      </c>
      <c r="AO507" t="s">
        <v>74</v>
      </c>
      <c r="AP507" t="s">
        <v>9851</v>
      </c>
      <c r="AQ507" t="s">
        <v>74</v>
      </c>
      <c r="AR507" t="s">
        <v>9840</v>
      </c>
      <c r="AS507" t="s">
        <v>9852</v>
      </c>
      <c r="AT507" t="s">
        <v>9030</v>
      </c>
      <c r="AU507">
        <v>2014</v>
      </c>
      <c r="AV507">
        <v>2</v>
      </c>
      <c r="AW507">
        <v>4</v>
      </c>
      <c r="AX507" t="s">
        <v>74</v>
      </c>
      <c r="AY507" t="s">
        <v>74</v>
      </c>
      <c r="AZ507" t="s">
        <v>74</v>
      </c>
      <c r="BA507" t="s">
        <v>74</v>
      </c>
      <c r="BB507" t="s">
        <v>74</v>
      </c>
      <c r="BC507" t="s">
        <v>74</v>
      </c>
      <c r="BD507" t="s">
        <v>9870</v>
      </c>
      <c r="BE507" t="s">
        <v>9871</v>
      </c>
      <c r="BF507" t="str">
        <f>HYPERLINK("http://dx.doi.org/10.1128/genomeA.00739-14","http://dx.doi.org/10.1128/genomeA.00739-14")</f>
        <v>http://dx.doi.org/10.1128/genomeA.00739-14</v>
      </c>
      <c r="BG507" t="s">
        <v>74</v>
      </c>
      <c r="BH507" t="s">
        <v>74</v>
      </c>
      <c r="BI507">
        <v>2</v>
      </c>
      <c r="BJ507" t="s">
        <v>1012</v>
      </c>
      <c r="BK507" t="s">
        <v>488</v>
      </c>
      <c r="BL507" t="s">
        <v>1012</v>
      </c>
      <c r="BM507" t="s">
        <v>9855</v>
      </c>
      <c r="BN507">
        <v>25103756</v>
      </c>
      <c r="BO507" t="s">
        <v>1099</v>
      </c>
      <c r="BP507" t="s">
        <v>74</v>
      </c>
      <c r="BQ507" t="s">
        <v>74</v>
      </c>
      <c r="BR507" t="s">
        <v>105</v>
      </c>
      <c r="BS507" t="s">
        <v>9872</v>
      </c>
      <c r="BT507" t="str">
        <f>HYPERLINK("https%3A%2F%2Fwww.webofscience.com%2Fwos%2Fwoscc%2Ffull-record%2FWOS:000460598400095","View Full Record in Web of Science")</f>
        <v>View Full Record in Web of Science</v>
      </c>
    </row>
    <row r="508" spans="1:72" x14ac:dyDescent="0.15">
      <c r="A508" t="s">
        <v>72</v>
      </c>
      <c r="B508" t="s">
        <v>9873</v>
      </c>
      <c r="C508" t="s">
        <v>74</v>
      </c>
      <c r="D508" t="s">
        <v>74</v>
      </c>
      <c r="E508" t="s">
        <v>74</v>
      </c>
      <c r="F508" t="s">
        <v>9874</v>
      </c>
      <c r="G508" t="s">
        <v>74</v>
      </c>
      <c r="H508" t="s">
        <v>74</v>
      </c>
      <c r="I508" t="s">
        <v>9875</v>
      </c>
      <c r="J508" t="s">
        <v>6918</v>
      </c>
      <c r="K508" t="s">
        <v>74</v>
      </c>
      <c r="L508" t="s">
        <v>74</v>
      </c>
      <c r="M508" t="s">
        <v>78</v>
      </c>
      <c r="N508" t="s">
        <v>79</v>
      </c>
      <c r="O508" t="s">
        <v>74</v>
      </c>
      <c r="P508" t="s">
        <v>74</v>
      </c>
      <c r="Q508" t="s">
        <v>74</v>
      </c>
      <c r="R508" t="s">
        <v>74</v>
      </c>
      <c r="S508" t="s">
        <v>74</v>
      </c>
      <c r="T508" t="s">
        <v>74</v>
      </c>
      <c r="U508" t="s">
        <v>9876</v>
      </c>
      <c r="V508" t="s">
        <v>9877</v>
      </c>
      <c r="W508" t="s">
        <v>9878</v>
      </c>
      <c r="X508" t="s">
        <v>9879</v>
      </c>
      <c r="Y508" t="s">
        <v>9880</v>
      </c>
      <c r="Z508" t="s">
        <v>9881</v>
      </c>
      <c r="AA508" t="s">
        <v>9882</v>
      </c>
      <c r="AB508" t="s">
        <v>9883</v>
      </c>
      <c r="AC508" t="s">
        <v>9884</v>
      </c>
      <c r="AD508" t="s">
        <v>9885</v>
      </c>
      <c r="AE508" t="s">
        <v>9886</v>
      </c>
      <c r="AF508" t="s">
        <v>74</v>
      </c>
      <c r="AG508">
        <v>27</v>
      </c>
      <c r="AH508">
        <v>45</v>
      </c>
      <c r="AI508">
        <v>52</v>
      </c>
      <c r="AJ508">
        <v>0</v>
      </c>
      <c r="AK508">
        <v>26</v>
      </c>
      <c r="AL508" t="s">
        <v>1937</v>
      </c>
      <c r="AM508" t="s">
        <v>1938</v>
      </c>
      <c r="AN508" t="s">
        <v>1939</v>
      </c>
      <c r="AO508" t="s">
        <v>6929</v>
      </c>
      <c r="AP508" t="s">
        <v>6930</v>
      </c>
      <c r="AQ508" t="s">
        <v>74</v>
      </c>
      <c r="AR508" t="s">
        <v>6918</v>
      </c>
      <c r="AS508" t="s">
        <v>686</v>
      </c>
      <c r="AT508" t="s">
        <v>8489</v>
      </c>
      <c r="AU508">
        <v>2014</v>
      </c>
      <c r="AV508">
        <v>42</v>
      </c>
      <c r="AW508">
        <v>7</v>
      </c>
      <c r="AX508" t="s">
        <v>74</v>
      </c>
      <c r="AY508" t="s">
        <v>74</v>
      </c>
      <c r="AZ508" t="s">
        <v>74</v>
      </c>
      <c r="BA508" t="s">
        <v>74</v>
      </c>
      <c r="BB508">
        <v>583</v>
      </c>
      <c r="BC508">
        <v>586</v>
      </c>
      <c r="BD508" t="s">
        <v>74</v>
      </c>
      <c r="BE508" t="s">
        <v>9887</v>
      </c>
      <c r="BF508" t="str">
        <f>HYPERLINK("http://dx.doi.org/10.1130/G35512.1","http://dx.doi.org/10.1130/G35512.1")</f>
        <v>http://dx.doi.org/10.1130/G35512.1</v>
      </c>
      <c r="BG508" t="s">
        <v>74</v>
      </c>
      <c r="BH508" t="s">
        <v>74</v>
      </c>
      <c r="BI508">
        <v>4</v>
      </c>
      <c r="BJ508" t="s">
        <v>686</v>
      </c>
      <c r="BK508" t="s">
        <v>102</v>
      </c>
      <c r="BL508" t="s">
        <v>686</v>
      </c>
      <c r="BM508" t="s">
        <v>9888</v>
      </c>
      <c r="BN508" t="s">
        <v>74</v>
      </c>
      <c r="BO508" t="s">
        <v>1969</v>
      </c>
      <c r="BP508" t="s">
        <v>74</v>
      </c>
      <c r="BQ508" t="s">
        <v>74</v>
      </c>
      <c r="BR508" t="s">
        <v>105</v>
      </c>
      <c r="BS508" t="s">
        <v>9889</v>
      </c>
      <c r="BT508" t="str">
        <f>HYPERLINK("https%3A%2F%2Fwww.webofscience.com%2Fwos%2Fwoscc%2Ffull-record%2FWOS:000339961400009","View Full Record in Web of Science")</f>
        <v>View Full Record in Web of Science</v>
      </c>
    </row>
    <row r="509" spans="1:72" x14ac:dyDescent="0.15">
      <c r="A509" t="s">
        <v>72</v>
      </c>
      <c r="B509" t="s">
        <v>9890</v>
      </c>
      <c r="C509" t="s">
        <v>74</v>
      </c>
      <c r="D509" t="s">
        <v>74</v>
      </c>
      <c r="E509" t="s">
        <v>74</v>
      </c>
      <c r="F509" t="s">
        <v>9891</v>
      </c>
      <c r="G509" t="s">
        <v>74</v>
      </c>
      <c r="H509" t="s">
        <v>74</v>
      </c>
      <c r="I509" t="s">
        <v>9892</v>
      </c>
      <c r="J509" t="s">
        <v>3542</v>
      </c>
      <c r="K509" t="s">
        <v>74</v>
      </c>
      <c r="L509" t="s">
        <v>74</v>
      </c>
      <c r="M509" t="s">
        <v>78</v>
      </c>
      <c r="N509" t="s">
        <v>79</v>
      </c>
      <c r="O509" t="s">
        <v>74</v>
      </c>
      <c r="P509" t="s">
        <v>74</v>
      </c>
      <c r="Q509" t="s">
        <v>74</v>
      </c>
      <c r="R509" t="s">
        <v>74</v>
      </c>
      <c r="S509" t="s">
        <v>74</v>
      </c>
      <c r="T509" t="s">
        <v>9893</v>
      </c>
      <c r="U509" t="s">
        <v>9894</v>
      </c>
      <c r="V509" t="s">
        <v>9895</v>
      </c>
      <c r="W509" t="s">
        <v>9896</v>
      </c>
      <c r="X509" t="s">
        <v>2873</v>
      </c>
      <c r="Y509" t="s">
        <v>9897</v>
      </c>
      <c r="Z509" t="s">
        <v>9898</v>
      </c>
      <c r="AA509" t="s">
        <v>74</v>
      </c>
      <c r="AB509" t="s">
        <v>9899</v>
      </c>
      <c r="AC509" t="s">
        <v>9900</v>
      </c>
      <c r="AD509" t="s">
        <v>9901</v>
      </c>
      <c r="AE509" t="s">
        <v>9902</v>
      </c>
      <c r="AF509" t="s">
        <v>74</v>
      </c>
      <c r="AG509">
        <v>73</v>
      </c>
      <c r="AH509">
        <v>34</v>
      </c>
      <c r="AI509">
        <v>36</v>
      </c>
      <c r="AJ509">
        <v>1</v>
      </c>
      <c r="AK509">
        <v>28</v>
      </c>
      <c r="AL509" t="s">
        <v>123</v>
      </c>
      <c r="AM509" t="s">
        <v>124</v>
      </c>
      <c r="AN509" t="s">
        <v>125</v>
      </c>
      <c r="AO509" t="s">
        <v>3551</v>
      </c>
      <c r="AP509" t="s">
        <v>3552</v>
      </c>
      <c r="AQ509" t="s">
        <v>74</v>
      </c>
      <c r="AR509" t="s">
        <v>3553</v>
      </c>
      <c r="AS509" t="s">
        <v>3554</v>
      </c>
      <c r="AT509" t="s">
        <v>8489</v>
      </c>
      <c r="AU509">
        <v>2014</v>
      </c>
      <c r="AV509">
        <v>118</v>
      </c>
      <c r="AW509" t="s">
        <v>74</v>
      </c>
      <c r="AX509" t="s">
        <v>74</v>
      </c>
      <c r="AY509" t="s">
        <v>74</v>
      </c>
      <c r="AZ509" t="s">
        <v>74</v>
      </c>
      <c r="BA509" t="s">
        <v>74</v>
      </c>
      <c r="BB509">
        <v>25</v>
      </c>
      <c r="BC509">
        <v>41</v>
      </c>
      <c r="BD509" t="s">
        <v>74</v>
      </c>
      <c r="BE509" t="s">
        <v>9903</v>
      </c>
      <c r="BF509" t="str">
        <f>HYPERLINK("http://dx.doi.org/10.1016/j.gloplacha.2014.03.010","http://dx.doi.org/10.1016/j.gloplacha.2014.03.010")</f>
        <v>http://dx.doi.org/10.1016/j.gloplacha.2014.03.010</v>
      </c>
      <c r="BG509" t="s">
        <v>74</v>
      </c>
      <c r="BH509" t="s">
        <v>74</v>
      </c>
      <c r="BI509">
        <v>17</v>
      </c>
      <c r="BJ509" t="s">
        <v>1427</v>
      </c>
      <c r="BK509" t="s">
        <v>102</v>
      </c>
      <c r="BL509" t="s">
        <v>1428</v>
      </c>
      <c r="BM509" t="s">
        <v>9474</v>
      </c>
      <c r="BN509" t="s">
        <v>74</v>
      </c>
      <c r="BO509" t="s">
        <v>1274</v>
      </c>
      <c r="BP509" t="s">
        <v>74</v>
      </c>
      <c r="BQ509" t="s">
        <v>74</v>
      </c>
      <c r="BR509" t="s">
        <v>105</v>
      </c>
      <c r="BS509" t="s">
        <v>9904</v>
      </c>
      <c r="BT509" t="str">
        <f>HYPERLINK("https%3A%2F%2Fwww.webofscience.com%2Fwos%2Fwoscc%2Ffull-record%2FWOS:000337875900003","View Full Record in Web of Science")</f>
        <v>View Full Record in Web of Science</v>
      </c>
    </row>
    <row r="510" spans="1:72" x14ac:dyDescent="0.15">
      <c r="A510" t="s">
        <v>72</v>
      </c>
      <c r="B510" t="s">
        <v>9905</v>
      </c>
      <c r="C510" t="s">
        <v>74</v>
      </c>
      <c r="D510" t="s">
        <v>74</v>
      </c>
      <c r="E510" t="s">
        <v>74</v>
      </c>
      <c r="F510" t="s">
        <v>9906</v>
      </c>
      <c r="G510" t="s">
        <v>74</v>
      </c>
      <c r="H510" t="s">
        <v>74</v>
      </c>
      <c r="I510" t="s">
        <v>9907</v>
      </c>
      <c r="J510" t="s">
        <v>9539</v>
      </c>
      <c r="K510" t="s">
        <v>74</v>
      </c>
      <c r="L510" t="s">
        <v>74</v>
      </c>
      <c r="M510" t="s">
        <v>78</v>
      </c>
      <c r="N510" t="s">
        <v>79</v>
      </c>
      <c r="O510" t="s">
        <v>74</v>
      </c>
      <c r="P510" t="s">
        <v>74</v>
      </c>
      <c r="Q510" t="s">
        <v>74</v>
      </c>
      <c r="R510" t="s">
        <v>74</v>
      </c>
      <c r="S510" t="s">
        <v>74</v>
      </c>
      <c r="T510" t="s">
        <v>9908</v>
      </c>
      <c r="U510" t="s">
        <v>9909</v>
      </c>
      <c r="V510" t="s">
        <v>9910</v>
      </c>
      <c r="W510" t="s">
        <v>9911</v>
      </c>
      <c r="X510" t="s">
        <v>9912</v>
      </c>
      <c r="Y510" t="s">
        <v>9913</v>
      </c>
      <c r="Z510" t="s">
        <v>9914</v>
      </c>
      <c r="AA510" t="s">
        <v>9915</v>
      </c>
      <c r="AB510" t="s">
        <v>9916</v>
      </c>
      <c r="AC510" t="s">
        <v>9917</v>
      </c>
      <c r="AD510" t="s">
        <v>9918</v>
      </c>
      <c r="AE510" t="s">
        <v>9919</v>
      </c>
      <c r="AF510" t="s">
        <v>74</v>
      </c>
      <c r="AG510">
        <v>77</v>
      </c>
      <c r="AH510">
        <v>152</v>
      </c>
      <c r="AI510">
        <v>160</v>
      </c>
      <c r="AJ510">
        <v>4</v>
      </c>
      <c r="AK510">
        <v>200</v>
      </c>
      <c r="AL510" t="s">
        <v>171</v>
      </c>
      <c r="AM510" t="s">
        <v>93</v>
      </c>
      <c r="AN510" t="s">
        <v>94</v>
      </c>
      <c r="AO510" t="s">
        <v>9552</v>
      </c>
      <c r="AP510" t="s">
        <v>9553</v>
      </c>
      <c r="AQ510" t="s">
        <v>74</v>
      </c>
      <c r="AR510" t="s">
        <v>9554</v>
      </c>
      <c r="AS510" t="s">
        <v>9555</v>
      </c>
      <c r="AT510" t="s">
        <v>8489</v>
      </c>
      <c r="AU510">
        <v>2014</v>
      </c>
      <c r="AV510">
        <v>20</v>
      </c>
      <c r="AW510">
        <v>7</v>
      </c>
      <c r="AX510" t="s">
        <v>74</v>
      </c>
      <c r="AY510" t="s">
        <v>74</v>
      </c>
      <c r="AZ510" t="s">
        <v>74</v>
      </c>
      <c r="BA510" t="s">
        <v>74</v>
      </c>
      <c r="BB510">
        <v>2124</v>
      </c>
      <c r="BC510">
        <v>2139</v>
      </c>
      <c r="BD510" t="s">
        <v>74</v>
      </c>
      <c r="BE510" t="s">
        <v>9920</v>
      </c>
      <c r="BF510" t="str">
        <f>HYPERLINK("http://dx.doi.org/10.1111/gcb.12562","http://dx.doi.org/10.1111/gcb.12562")</f>
        <v>http://dx.doi.org/10.1111/gcb.12562</v>
      </c>
      <c r="BG510" t="s">
        <v>74</v>
      </c>
      <c r="BH510" t="s">
        <v>74</v>
      </c>
      <c r="BI510">
        <v>16</v>
      </c>
      <c r="BJ510" t="s">
        <v>5858</v>
      </c>
      <c r="BK510" t="s">
        <v>102</v>
      </c>
      <c r="BL510" t="s">
        <v>785</v>
      </c>
      <c r="BM510" t="s">
        <v>9557</v>
      </c>
      <c r="BN510">
        <v>24604761</v>
      </c>
      <c r="BO510" t="s">
        <v>1274</v>
      </c>
      <c r="BP510" t="s">
        <v>74</v>
      </c>
      <c r="BQ510" t="s">
        <v>74</v>
      </c>
      <c r="BR510" t="s">
        <v>105</v>
      </c>
      <c r="BS510" t="s">
        <v>9921</v>
      </c>
      <c r="BT510" t="str">
        <f>HYPERLINK("https%3A%2F%2Fwww.webofscience.com%2Fwos%2Fwoscc%2Ffull-record%2FWOS:000337680700010","View Full Record in Web of Science")</f>
        <v>View Full Record in Web of Science</v>
      </c>
    </row>
    <row r="511" spans="1:72" x14ac:dyDescent="0.15">
      <c r="A511" t="s">
        <v>72</v>
      </c>
      <c r="B511" t="s">
        <v>9922</v>
      </c>
      <c r="C511" t="s">
        <v>74</v>
      </c>
      <c r="D511" t="s">
        <v>74</v>
      </c>
      <c r="E511" t="s">
        <v>74</v>
      </c>
      <c r="F511" t="s">
        <v>9923</v>
      </c>
      <c r="G511" t="s">
        <v>74</v>
      </c>
      <c r="H511" t="s">
        <v>74</v>
      </c>
      <c r="I511" t="s">
        <v>9924</v>
      </c>
      <c r="J511" t="s">
        <v>4318</v>
      </c>
      <c r="K511" t="s">
        <v>74</v>
      </c>
      <c r="L511" t="s">
        <v>74</v>
      </c>
      <c r="M511" t="s">
        <v>78</v>
      </c>
      <c r="N511" t="s">
        <v>79</v>
      </c>
      <c r="O511" t="s">
        <v>74</v>
      </c>
      <c r="P511" t="s">
        <v>74</v>
      </c>
      <c r="Q511" t="s">
        <v>74</v>
      </c>
      <c r="R511" t="s">
        <v>74</v>
      </c>
      <c r="S511" t="s">
        <v>74</v>
      </c>
      <c r="T511" t="s">
        <v>9925</v>
      </c>
      <c r="U511" t="s">
        <v>9926</v>
      </c>
      <c r="V511" t="s">
        <v>9927</v>
      </c>
      <c r="W511" t="s">
        <v>9928</v>
      </c>
      <c r="X511" t="s">
        <v>9929</v>
      </c>
      <c r="Y511" t="s">
        <v>9930</v>
      </c>
      <c r="Z511" t="s">
        <v>9931</v>
      </c>
      <c r="AA511" t="s">
        <v>9932</v>
      </c>
      <c r="AB511" t="s">
        <v>9933</v>
      </c>
      <c r="AC511" t="s">
        <v>9934</v>
      </c>
      <c r="AD511" t="s">
        <v>9935</v>
      </c>
      <c r="AE511" t="s">
        <v>9936</v>
      </c>
      <c r="AF511" t="s">
        <v>74</v>
      </c>
      <c r="AG511">
        <v>177</v>
      </c>
      <c r="AH511">
        <v>257</v>
      </c>
      <c r="AI511">
        <v>283</v>
      </c>
      <c r="AJ511">
        <v>5</v>
      </c>
      <c r="AK511">
        <v>179</v>
      </c>
      <c r="AL511" t="s">
        <v>753</v>
      </c>
      <c r="AM511" t="s">
        <v>124</v>
      </c>
      <c r="AN511" t="s">
        <v>754</v>
      </c>
      <c r="AO511" t="s">
        <v>4331</v>
      </c>
      <c r="AP511" t="s">
        <v>4332</v>
      </c>
      <c r="AQ511" t="s">
        <v>74</v>
      </c>
      <c r="AR511" t="s">
        <v>4333</v>
      </c>
      <c r="AS511" t="s">
        <v>4334</v>
      </c>
      <c r="AT511" t="s">
        <v>8489</v>
      </c>
      <c r="AU511">
        <v>2014</v>
      </c>
      <c r="AV511">
        <v>26</v>
      </c>
      <c r="AW511">
        <v>1</v>
      </c>
      <c r="AX511" t="s">
        <v>74</v>
      </c>
      <c r="AY511" t="s">
        <v>74</v>
      </c>
      <c r="AZ511" t="s">
        <v>258</v>
      </c>
      <c r="BA511" t="s">
        <v>74</v>
      </c>
      <c r="BB511">
        <v>31</v>
      </c>
      <c r="BC511">
        <v>51</v>
      </c>
      <c r="BD511" t="s">
        <v>74</v>
      </c>
      <c r="BE511" t="s">
        <v>9937</v>
      </c>
      <c r="BF511" t="str">
        <f>HYPERLINK("http://dx.doi.org/10.1016/j.gr.2013.05.020","http://dx.doi.org/10.1016/j.gr.2013.05.020")</f>
        <v>http://dx.doi.org/10.1016/j.gr.2013.05.020</v>
      </c>
      <c r="BG511" t="s">
        <v>74</v>
      </c>
      <c r="BH511" t="s">
        <v>74</v>
      </c>
      <c r="BI511">
        <v>21</v>
      </c>
      <c r="BJ511" t="s">
        <v>685</v>
      </c>
      <c r="BK511" t="s">
        <v>102</v>
      </c>
      <c r="BL511" t="s">
        <v>686</v>
      </c>
      <c r="BM511" t="s">
        <v>9938</v>
      </c>
      <c r="BN511" t="s">
        <v>74</v>
      </c>
      <c r="BO511" t="s">
        <v>74</v>
      </c>
      <c r="BP511" t="s">
        <v>3371</v>
      </c>
      <c r="BQ511" t="s">
        <v>3372</v>
      </c>
      <c r="BR511" t="s">
        <v>105</v>
      </c>
      <c r="BS511" t="s">
        <v>9939</v>
      </c>
      <c r="BT511" t="str">
        <f>HYPERLINK("https%3A%2F%2Fwww.webofscience.com%2Fwos%2Fwoscc%2Ffull-record%2FWOS:000336338100003","View Full Record in Web of Science")</f>
        <v>View Full Record in Web of Science</v>
      </c>
    </row>
    <row r="512" spans="1:72" x14ac:dyDescent="0.15">
      <c r="A512" t="s">
        <v>72</v>
      </c>
      <c r="B512" t="s">
        <v>9940</v>
      </c>
      <c r="C512" t="s">
        <v>74</v>
      </c>
      <c r="D512" t="s">
        <v>74</v>
      </c>
      <c r="E512" t="s">
        <v>74</v>
      </c>
      <c r="F512" t="s">
        <v>9941</v>
      </c>
      <c r="G512" t="s">
        <v>74</v>
      </c>
      <c r="H512" t="s">
        <v>74</v>
      </c>
      <c r="I512" t="s">
        <v>9942</v>
      </c>
      <c r="J512" t="s">
        <v>9943</v>
      </c>
      <c r="K512" t="s">
        <v>74</v>
      </c>
      <c r="L512" t="s">
        <v>74</v>
      </c>
      <c r="M512" t="s">
        <v>78</v>
      </c>
      <c r="N512" t="s">
        <v>79</v>
      </c>
      <c r="O512" t="s">
        <v>74</v>
      </c>
      <c r="P512" t="s">
        <v>74</v>
      </c>
      <c r="Q512" t="s">
        <v>74</v>
      </c>
      <c r="R512" t="s">
        <v>74</v>
      </c>
      <c r="S512" t="s">
        <v>74</v>
      </c>
      <c r="T512" t="s">
        <v>9944</v>
      </c>
      <c r="U512" t="s">
        <v>9945</v>
      </c>
      <c r="V512" t="s">
        <v>9946</v>
      </c>
      <c r="W512" t="s">
        <v>9947</v>
      </c>
      <c r="X512" t="s">
        <v>9948</v>
      </c>
      <c r="Y512" t="s">
        <v>9949</v>
      </c>
      <c r="Z512" t="s">
        <v>9950</v>
      </c>
      <c r="AA512" t="s">
        <v>74</v>
      </c>
      <c r="AB512" t="s">
        <v>74</v>
      </c>
      <c r="AC512" t="s">
        <v>9951</v>
      </c>
      <c r="AD512" t="s">
        <v>9952</v>
      </c>
      <c r="AE512" t="s">
        <v>9953</v>
      </c>
      <c r="AF512" t="s">
        <v>74</v>
      </c>
      <c r="AG512">
        <v>56</v>
      </c>
      <c r="AH512">
        <v>22</v>
      </c>
      <c r="AI512">
        <v>23</v>
      </c>
      <c r="AJ512">
        <v>1</v>
      </c>
      <c r="AK512">
        <v>50</v>
      </c>
      <c r="AL512" t="s">
        <v>171</v>
      </c>
      <c r="AM512" t="s">
        <v>93</v>
      </c>
      <c r="AN512" t="s">
        <v>94</v>
      </c>
      <c r="AO512" t="s">
        <v>9954</v>
      </c>
      <c r="AP512" t="s">
        <v>9955</v>
      </c>
      <c r="AQ512" t="s">
        <v>74</v>
      </c>
      <c r="AR512" t="s">
        <v>9943</v>
      </c>
      <c r="AS512" t="s">
        <v>9956</v>
      </c>
      <c r="AT512" t="s">
        <v>8489</v>
      </c>
      <c r="AU512">
        <v>2014</v>
      </c>
      <c r="AV512">
        <v>156</v>
      </c>
      <c r="AW512">
        <v>3</v>
      </c>
      <c r="AX512" t="s">
        <v>74</v>
      </c>
      <c r="AY512" t="s">
        <v>74</v>
      </c>
      <c r="AZ512" t="s">
        <v>74</v>
      </c>
      <c r="BA512" t="s">
        <v>74</v>
      </c>
      <c r="BB512">
        <v>511</v>
      </c>
      <c r="BC512">
        <v>522</v>
      </c>
      <c r="BD512" t="s">
        <v>74</v>
      </c>
      <c r="BE512" t="s">
        <v>9957</v>
      </c>
      <c r="BF512" t="str">
        <f>HYPERLINK("http://dx.doi.org/10.1111/ibi.12151","http://dx.doi.org/10.1111/ibi.12151")</f>
        <v>http://dx.doi.org/10.1111/ibi.12151</v>
      </c>
      <c r="BG512" t="s">
        <v>74</v>
      </c>
      <c r="BH512" t="s">
        <v>74</v>
      </c>
      <c r="BI512">
        <v>12</v>
      </c>
      <c r="BJ512" t="s">
        <v>3319</v>
      </c>
      <c r="BK512" t="s">
        <v>102</v>
      </c>
      <c r="BL512" t="s">
        <v>1254</v>
      </c>
      <c r="BM512" t="s">
        <v>9958</v>
      </c>
      <c r="BN512" t="s">
        <v>74</v>
      </c>
      <c r="BO512" t="s">
        <v>74</v>
      </c>
      <c r="BP512" t="s">
        <v>74</v>
      </c>
      <c r="BQ512" t="s">
        <v>74</v>
      </c>
      <c r="BR512" t="s">
        <v>105</v>
      </c>
      <c r="BS512" t="s">
        <v>9959</v>
      </c>
      <c r="BT512" t="str">
        <f>HYPERLINK("https%3A%2F%2Fwww.webofscience.com%2Fwos%2Fwoscc%2Ffull-record%2FWOS:000337568100002","View Full Record in Web of Science")</f>
        <v>View Full Record in Web of Science</v>
      </c>
    </row>
    <row r="513" spans="1:72" x14ac:dyDescent="0.15">
      <c r="A513" t="s">
        <v>72</v>
      </c>
      <c r="B513" t="s">
        <v>9960</v>
      </c>
      <c r="C513" t="s">
        <v>74</v>
      </c>
      <c r="D513" t="s">
        <v>74</v>
      </c>
      <c r="E513" t="s">
        <v>74</v>
      </c>
      <c r="F513" t="s">
        <v>9961</v>
      </c>
      <c r="G513" t="s">
        <v>74</v>
      </c>
      <c r="H513" t="s">
        <v>74</v>
      </c>
      <c r="I513" t="s">
        <v>9962</v>
      </c>
      <c r="J513" t="s">
        <v>9943</v>
      </c>
      <c r="K513" t="s">
        <v>74</v>
      </c>
      <c r="L513" t="s">
        <v>74</v>
      </c>
      <c r="M513" t="s">
        <v>78</v>
      </c>
      <c r="N513" t="s">
        <v>79</v>
      </c>
      <c r="O513" t="s">
        <v>74</v>
      </c>
      <c r="P513" t="s">
        <v>74</v>
      </c>
      <c r="Q513" t="s">
        <v>74</v>
      </c>
      <c r="R513" t="s">
        <v>74</v>
      </c>
      <c r="S513" t="s">
        <v>74</v>
      </c>
      <c r="T513" t="s">
        <v>9963</v>
      </c>
      <c r="U513" t="s">
        <v>9964</v>
      </c>
      <c r="V513" t="s">
        <v>9965</v>
      </c>
      <c r="W513" t="s">
        <v>9966</v>
      </c>
      <c r="X513" t="s">
        <v>9967</v>
      </c>
      <c r="Y513" t="s">
        <v>9968</v>
      </c>
      <c r="Z513" t="s">
        <v>9969</v>
      </c>
      <c r="AA513" t="s">
        <v>9970</v>
      </c>
      <c r="AB513" t="s">
        <v>9971</v>
      </c>
      <c r="AC513" t="s">
        <v>9972</v>
      </c>
      <c r="AD513" t="s">
        <v>9973</v>
      </c>
      <c r="AE513" t="s">
        <v>9974</v>
      </c>
      <c r="AF513" t="s">
        <v>74</v>
      </c>
      <c r="AG513">
        <v>83</v>
      </c>
      <c r="AH513">
        <v>17</v>
      </c>
      <c r="AI513">
        <v>18</v>
      </c>
      <c r="AJ513">
        <v>0</v>
      </c>
      <c r="AK513">
        <v>32</v>
      </c>
      <c r="AL513" t="s">
        <v>171</v>
      </c>
      <c r="AM513" t="s">
        <v>93</v>
      </c>
      <c r="AN513" t="s">
        <v>94</v>
      </c>
      <c r="AO513" t="s">
        <v>9954</v>
      </c>
      <c r="AP513" t="s">
        <v>9955</v>
      </c>
      <c r="AQ513" t="s">
        <v>74</v>
      </c>
      <c r="AR513" t="s">
        <v>9943</v>
      </c>
      <c r="AS513" t="s">
        <v>9956</v>
      </c>
      <c r="AT513" t="s">
        <v>8489</v>
      </c>
      <c r="AU513">
        <v>2014</v>
      </c>
      <c r="AV513">
        <v>156</v>
      </c>
      <c r="AW513">
        <v>3</v>
      </c>
      <c r="AX513" t="s">
        <v>74</v>
      </c>
      <c r="AY513" t="s">
        <v>74</v>
      </c>
      <c r="AZ513" t="s">
        <v>74</v>
      </c>
      <c r="BA513" t="s">
        <v>74</v>
      </c>
      <c r="BB513">
        <v>548</v>
      </c>
      <c r="BC513">
        <v>560</v>
      </c>
      <c r="BD513" t="s">
        <v>74</v>
      </c>
      <c r="BE513" t="s">
        <v>9975</v>
      </c>
      <c r="BF513" t="str">
        <f>HYPERLINK("http://dx.doi.org/10.1111/ibi.12167","http://dx.doi.org/10.1111/ibi.12167")</f>
        <v>http://dx.doi.org/10.1111/ibi.12167</v>
      </c>
      <c r="BG513" t="s">
        <v>74</v>
      </c>
      <c r="BH513" t="s">
        <v>74</v>
      </c>
      <c r="BI513">
        <v>13</v>
      </c>
      <c r="BJ513" t="s">
        <v>3319</v>
      </c>
      <c r="BK513" t="s">
        <v>102</v>
      </c>
      <c r="BL513" t="s">
        <v>1254</v>
      </c>
      <c r="BM513" t="s">
        <v>9958</v>
      </c>
      <c r="BN513" t="s">
        <v>74</v>
      </c>
      <c r="BO513" t="s">
        <v>74</v>
      </c>
      <c r="BP513" t="s">
        <v>74</v>
      </c>
      <c r="BQ513" t="s">
        <v>74</v>
      </c>
      <c r="BR513" t="s">
        <v>105</v>
      </c>
      <c r="BS513" t="s">
        <v>9976</v>
      </c>
      <c r="BT513" t="str">
        <f>HYPERLINK("https%3A%2F%2Fwww.webofscience.com%2Fwos%2Fwoscc%2Ffull-record%2FWOS:000337568100005","View Full Record in Web of Science")</f>
        <v>View Full Record in Web of Science</v>
      </c>
    </row>
    <row r="514" spans="1:72" x14ac:dyDescent="0.15">
      <c r="A514" t="s">
        <v>72</v>
      </c>
      <c r="B514" t="s">
        <v>9977</v>
      </c>
      <c r="C514" t="s">
        <v>74</v>
      </c>
      <c r="D514" t="s">
        <v>74</v>
      </c>
      <c r="E514" t="s">
        <v>74</v>
      </c>
      <c r="F514" t="s">
        <v>9978</v>
      </c>
      <c r="G514" t="s">
        <v>74</v>
      </c>
      <c r="H514" t="s">
        <v>74</v>
      </c>
      <c r="I514" t="s">
        <v>9979</v>
      </c>
      <c r="J514" t="s">
        <v>9980</v>
      </c>
      <c r="K514" t="s">
        <v>74</v>
      </c>
      <c r="L514" t="s">
        <v>74</v>
      </c>
      <c r="M514" t="s">
        <v>78</v>
      </c>
      <c r="N514" t="s">
        <v>79</v>
      </c>
      <c r="O514" t="s">
        <v>74</v>
      </c>
      <c r="P514" t="s">
        <v>74</v>
      </c>
      <c r="Q514" t="s">
        <v>74</v>
      </c>
      <c r="R514" t="s">
        <v>74</v>
      </c>
      <c r="S514" t="s">
        <v>74</v>
      </c>
      <c r="T514" t="s">
        <v>9981</v>
      </c>
      <c r="U514" t="s">
        <v>9982</v>
      </c>
      <c r="V514" t="s">
        <v>9983</v>
      </c>
      <c r="W514" t="s">
        <v>9984</v>
      </c>
      <c r="X514" t="s">
        <v>1391</v>
      </c>
      <c r="Y514" t="s">
        <v>9985</v>
      </c>
      <c r="Z514" t="s">
        <v>9986</v>
      </c>
      <c r="AA514" t="s">
        <v>74</v>
      </c>
      <c r="AB514" t="s">
        <v>74</v>
      </c>
      <c r="AC514" t="s">
        <v>9987</v>
      </c>
      <c r="AD514" t="s">
        <v>9988</v>
      </c>
      <c r="AE514" t="s">
        <v>9989</v>
      </c>
      <c r="AF514" t="s">
        <v>74</v>
      </c>
      <c r="AG514">
        <v>12</v>
      </c>
      <c r="AH514">
        <v>20</v>
      </c>
      <c r="AI514">
        <v>22</v>
      </c>
      <c r="AJ514">
        <v>0</v>
      </c>
      <c r="AK514">
        <v>26</v>
      </c>
      <c r="AL514" t="s">
        <v>952</v>
      </c>
      <c r="AM514" t="s">
        <v>953</v>
      </c>
      <c r="AN514" t="s">
        <v>954</v>
      </c>
      <c r="AO514" t="s">
        <v>9990</v>
      </c>
      <c r="AP514" t="s">
        <v>9991</v>
      </c>
      <c r="AQ514" t="s">
        <v>74</v>
      </c>
      <c r="AR514" t="s">
        <v>9992</v>
      </c>
      <c r="AS514" t="s">
        <v>9993</v>
      </c>
      <c r="AT514" t="s">
        <v>8489</v>
      </c>
      <c r="AU514">
        <v>2014</v>
      </c>
      <c r="AV514">
        <v>11</v>
      </c>
      <c r="AW514">
        <v>7</v>
      </c>
      <c r="AX514" t="s">
        <v>74</v>
      </c>
      <c r="AY514" t="s">
        <v>74</v>
      </c>
      <c r="AZ514" t="s">
        <v>74</v>
      </c>
      <c r="BA514" t="s">
        <v>74</v>
      </c>
      <c r="BB514">
        <v>1295</v>
      </c>
      <c r="BC514">
        <v>1299</v>
      </c>
      <c r="BD514" t="s">
        <v>74</v>
      </c>
      <c r="BE514" t="s">
        <v>9994</v>
      </c>
      <c r="BF514" t="str">
        <f>HYPERLINK("http://dx.doi.org/10.1109/LGRS.2013.2292821","http://dx.doi.org/10.1109/LGRS.2013.2292821")</f>
        <v>http://dx.doi.org/10.1109/LGRS.2013.2292821</v>
      </c>
      <c r="BG514" t="s">
        <v>74</v>
      </c>
      <c r="BH514" t="s">
        <v>74</v>
      </c>
      <c r="BI514">
        <v>5</v>
      </c>
      <c r="BJ514" t="s">
        <v>960</v>
      </c>
      <c r="BK514" t="s">
        <v>102</v>
      </c>
      <c r="BL514" t="s">
        <v>961</v>
      </c>
      <c r="BM514" t="s">
        <v>9995</v>
      </c>
      <c r="BN514" t="s">
        <v>74</v>
      </c>
      <c r="BO514" t="s">
        <v>74</v>
      </c>
      <c r="BP514" t="s">
        <v>74</v>
      </c>
      <c r="BQ514" t="s">
        <v>74</v>
      </c>
      <c r="BR514" t="s">
        <v>105</v>
      </c>
      <c r="BS514" t="s">
        <v>9996</v>
      </c>
      <c r="BT514" t="str">
        <f>HYPERLINK("https%3A%2F%2Fwww.webofscience.com%2Fwos%2Fwoscc%2Ffull-record%2FWOS:000333094000025","View Full Record in Web of Science")</f>
        <v>View Full Record in Web of Science</v>
      </c>
    </row>
    <row r="515" spans="1:72" x14ac:dyDescent="0.15">
      <c r="A515" t="s">
        <v>72</v>
      </c>
      <c r="B515" t="s">
        <v>9997</v>
      </c>
      <c r="C515" t="s">
        <v>74</v>
      </c>
      <c r="D515" t="s">
        <v>74</v>
      </c>
      <c r="E515" t="s">
        <v>74</v>
      </c>
      <c r="F515" t="s">
        <v>9998</v>
      </c>
      <c r="G515" t="s">
        <v>74</v>
      </c>
      <c r="H515" t="s">
        <v>74</v>
      </c>
      <c r="I515" t="s">
        <v>9999</v>
      </c>
      <c r="J515" t="s">
        <v>10000</v>
      </c>
      <c r="K515" t="s">
        <v>74</v>
      </c>
      <c r="L515" t="s">
        <v>74</v>
      </c>
      <c r="M515" t="s">
        <v>78</v>
      </c>
      <c r="N515" t="s">
        <v>79</v>
      </c>
      <c r="O515" t="s">
        <v>74</v>
      </c>
      <c r="P515" t="s">
        <v>74</v>
      </c>
      <c r="Q515" t="s">
        <v>74</v>
      </c>
      <c r="R515" t="s">
        <v>74</v>
      </c>
      <c r="S515" t="s">
        <v>74</v>
      </c>
      <c r="T515" t="s">
        <v>74</v>
      </c>
      <c r="U515" t="s">
        <v>10001</v>
      </c>
      <c r="V515" t="s">
        <v>10002</v>
      </c>
      <c r="W515" t="s">
        <v>10003</v>
      </c>
      <c r="X515" t="s">
        <v>10004</v>
      </c>
      <c r="Y515" t="s">
        <v>10005</v>
      </c>
      <c r="Z515" t="s">
        <v>10006</v>
      </c>
      <c r="AA515" t="s">
        <v>10007</v>
      </c>
      <c r="AB515" t="s">
        <v>10008</v>
      </c>
      <c r="AC515" t="s">
        <v>10009</v>
      </c>
      <c r="AD515" t="s">
        <v>10010</v>
      </c>
      <c r="AE515" t="s">
        <v>10011</v>
      </c>
      <c r="AF515" t="s">
        <v>74</v>
      </c>
      <c r="AG515">
        <v>33</v>
      </c>
      <c r="AH515">
        <v>16</v>
      </c>
      <c r="AI515">
        <v>16</v>
      </c>
      <c r="AJ515">
        <v>0</v>
      </c>
      <c r="AK515">
        <v>40</v>
      </c>
      <c r="AL515" t="s">
        <v>92</v>
      </c>
      <c r="AM515" t="s">
        <v>93</v>
      </c>
      <c r="AN515" t="s">
        <v>94</v>
      </c>
      <c r="AO515" t="s">
        <v>10012</v>
      </c>
      <c r="AP515" t="s">
        <v>10013</v>
      </c>
      <c r="AQ515" t="s">
        <v>74</v>
      </c>
      <c r="AR515" t="s">
        <v>10014</v>
      </c>
      <c r="AS515" t="s">
        <v>10015</v>
      </c>
      <c r="AT515" t="s">
        <v>8489</v>
      </c>
      <c r="AU515">
        <v>2014</v>
      </c>
      <c r="AV515">
        <v>45</v>
      </c>
      <c r="AW515">
        <v>4</v>
      </c>
      <c r="AX515" t="s">
        <v>74</v>
      </c>
      <c r="AY515" t="s">
        <v>74</v>
      </c>
      <c r="AZ515" t="s">
        <v>74</v>
      </c>
      <c r="BA515" t="s">
        <v>74</v>
      </c>
      <c r="BB515">
        <v>315</v>
      </c>
      <c r="BC515">
        <v>324</v>
      </c>
      <c r="BD515" t="s">
        <v>74</v>
      </c>
      <c r="BE515" t="s">
        <v>10016</v>
      </c>
      <c r="BF515" t="str">
        <f>HYPERLINK("http://dx.doi.org/10.1111/jav.00307","http://dx.doi.org/10.1111/jav.00307")</f>
        <v>http://dx.doi.org/10.1111/jav.00307</v>
      </c>
      <c r="BG515" t="s">
        <v>74</v>
      </c>
      <c r="BH515" t="s">
        <v>74</v>
      </c>
      <c r="BI515">
        <v>10</v>
      </c>
      <c r="BJ515" t="s">
        <v>3319</v>
      </c>
      <c r="BK515" t="s">
        <v>102</v>
      </c>
      <c r="BL515" t="s">
        <v>1254</v>
      </c>
      <c r="BM515" t="s">
        <v>10017</v>
      </c>
      <c r="BN515" t="s">
        <v>74</v>
      </c>
      <c r="BO515" t="s">
        <v>359</v>
      </c>
      <c r="BP515" t="s">
        <v>74</v>
      </c>
      <c r="BQ515" t="s">
        <v>74</v>
      </c>
      <c r="BR515" t="s">
        <v>105</v>
      </c>
      <c r="BS515" t="s">
        <v>10018</v>
      </c>
      <c r="BT515" t="str">
        <f>HYPERLINK("https%3A%2F%2Fwww.webofscience.com%2Fwos%2Fwoscc%2Ffull-record%2FWOS:000339485600002","View Full Record in Web of Science")</f>
        <v>View Full Record in Web of Science</v>
      </c>
    </row>
    <row r="516" spans="1:72" x14ac:dyDescent="0.15">
      <c r="A516" t="s">
        <v>72</v>
      </c>
      <c r="B516" t="s">
        <v>10019</v>
      </c>
      <c r="C516" t="s">
        <v>74</v>
      </c>
      <c r="D516" t="s">
        <v>74</v>
      </c>
      <c r="E516" t="s">
        <v>74</v>
      </c>
      <c r="F516" t="s">
        <v>10020</v>
      </c>
      <c r="G516" t="s">
        <v>74</v>
      </c>
      <c r="H516" t="s">
        <v>74</v>
      </c>
      <c r="I516" t="s">
        <v>10021</v>
      </c>
      <c r="J516" t="s">
        <v>294</v>
      </c>
      <c r="K516" t="s">
        <v>74</v>
      </c>
      <c r="L516" t="s">
        <v>74</v>
      </c>
      <c r="M516" t="s">
        <v>78</v>
      </c>
      <c r="N516" t="s">
        <v>79</v>
      </c>
      <c r="O516" t="s">
        <v>74</v>
      </c>
      <c r="P516" t="s">
        <v>74</v>
      </c>
      <c r="Q516" t="s">
        <v>74</v>
      </c>
      <c r="R516" t="s">
        <v>74</v>
      </c>
      <c r="S516" t="s">
        <v>74</v>
      </c>
      <c r="T516" t="s">
        <v>10022</v>
      </c>
      <c r="U516" t="s">
        <v>10023</v>
      </c>
      <c r="V516" t="s">
        <v>10024</v>
      </c>
      <c r="W516" t="s">
        <v>10025</v>
      </c>
      <c r="X516" t="s">
        <v>10026</v>
      </c>
      <c r="Y516" t="s">
        <v>10027</v>
      </c>
      <c r="Z516" t="s">
        <v>10028</v>
      </c>
      <c r="AA516" t="s">
        <v>10029</v>
      </c>
      <c r="AB516" t="s">
        <v>10030</v>
      </c>
      <c r="AC516" t="s">
        <v>10031</v>
      </c>
      <c r="AD516" t="s">
        <v>10032</v>
      </c>
      <c r="AE516" t="s">
        <v>10033</v>
      </c>
      <c r="AF516" t="s">
        <v>74</v>
      </c>
      <c r="AG516">
        <v>44</v>
      </c>
      <c r="AH516">
        <v>14</v>
      </c>
      <c r="AI516">
        <v>14</v>
      </c>
      <c r="AJ516">
        <v>0</v>
      </c>
      <c r="AK516">
        <v>51</v>
      </c>
      <c r="AL516" t="s">
        <v>304</v>
      </c>
      <c r="AM516" t="s">
        <v>305</v>
      </c>
      <c r="AN516" t="s">
        <v>306</v>
      </c>
      <c r="AO516" t="s">
        <v>307</v>
      </c>
      <c r="AP516" t="s">
        <v>308</v>
      </c>
      <c r="AQ516" t="s">
        <v>74</v>
      </c>
      <c r="AR516" t="s">
        <v>309</v>
      </c>
      <c r="AS516" t="s">
        <v>310</v>
      </c>
      <c r="AT516" t="s">
        <v>8489</v>
      </c>
      <c r="AU516">
        <v>2014</v>
      </c>
      <c r="AV516">
        <v>184</v>
      </c>
      <c r="AW516">
        <v>5</v>
      </c>
      <c r="AX516" t="s">
        <v>74</v>
      </c>
      <c r="AY516" t="s">
        <v>74</v>
      </c>
      <c r="AZ516" t="s">
        <v>74</v>
      </c>
      <c r="BA516" t="s">
        <v>74</v>
      </c>
      <c r="BB516">
        <v>563</v>
      </c>
      <c r="BC516">
        <v>570</v>
      </c>
      <c r="BD516" t="s">
        <v>74</v>
      </c>
      <c r="BE516" t="s">
        <v>10034</v>
      </c>
      <c r="BF516" t="str">
        <f>HYPERLINK("http://dx.doi.org/10.1007/s00360-014-0814-3","http://dx.doi.org/10.1007/s00360-014-0814-3")</f>
        <v>http://dx.doi.org/10.1007/s00360-014-0814-3</v>
      </c>
      <c r="BG516" t="s">
        <v>74</v>
      </c>
      <c r="BH516" t="s">
        <v>74</v>
      </c>
      <c r="BI516">
        <v>8</v>
      </c>
      <c r="BJ516" t="s">
        <v>312</v>
      </c>
      <c r="BK516" t="s">
        <v>102</v>
      </c>
      <c r="BL516" t="s">
        <v>312</v>
      </c>
      <c r="BM516" t="s">
        <v>10035</v>
      </c>
      <c r="BN516">
        <v>24696296</v>
      </c>
      <c r="BO516" t="s">
        <v>359</v>
      </c>
      <c r="BP516" t="s">
        <v>74</v>
      </c>
      <c r="BQ516" t="s">
        <v>74</v>
      </c>
      <c r="BR516" t="s">
        <v>105</v>
      </c>
      <c r="BS516" t="s">
        <v>10036</v>
      </c>
      <c r="BT516" t="str">
        <f>HYPERLINK("https%3A%2F%2Fwww.webofscience.com%2Fwos%2Fwoscc%2Ffull-record%2FWOS:000338295600002","View Full Record in Web of Science")</f>
        <v>View Full Record in Web of Science</v>
      </c>
    </row>
    <row r="517" spans="1:72" x14ac:dyDescent="0.15">
      <c r="A517" t="s">
        <v>72</v>
      </c>
      <c r="B517" t="s">
        <v>10037</v>
      </c>
      <c r="C517" t="s">
        <v>74</v>
      </c>
      <c r="D517" t="s">
        <v>74</v>
      </c>
      <c r="E517" t="s">
        <v>74</v>
      </c>
      <c r="F517" t="s">
        <v>10038</v>
      </c>
      <c r="G517" t="s">
        <v>74</v>
      </c>
      <c r="H517" t="s">
        <v>74</v>
      </c>
      <c r="I517" t="s">
        <v>10039</v>
      </c>
      <c r="J517" t="s">
        <v>10040</v>
      </c>
      <c r="K517" t="s">
        <v>74</v>
      </c>
      <c r="L517" t="s">
        <v>74</v>
      </c>
      <c r="M517" t="s">
        <v>78</v>
      </c>
      <c r="N517" t="s">
        <v>79</v>
      </c>
      <c r="O517" t="s">
        <v>74</v>
      </c>
      <c r="P517" t="s">
        <v>74</v>
      </c>
      <c r="Q517" t="s">
        <v>74</v>
      </c>
      <c r="R517" t="s">
        <v>74</v>
      </c>
      <c r="S517" t="s">
        <v>74</v>
      </c>
      <c r="T517" t="s">
        <v>10041</v>
      </c>
      <c r="U517" t="s">
        <v>10042</v>
      </c>
      <c r="V517" t="s">
        <v>10043</v>
      </c>
      <c r="W517" t="s">
        <v>10044</v>
      </c>
      <c r="X517" t="s">
        <v>10045</v>
      </c>
      <c r="Y517" t="s">
        <v>10046</v>
      </c>
      <c r="Z517" t="s">
        <v>10047</v>
      </c>
      <c r="AA517" t="s">
        <v>74</v>
      </c>
      <c r="AB517" t="s">
        <v>74</v>
      </c>
      <c r="AC517" t="s">
        <v>10048</v>
      </c>
      <c r="AD517" t="s">
        <v>10049</v>
      </c>
      <c r="AE517" t="s">
        <v>10050</v>
      </c>
      <c r="AF517" t="s">
        <v>74</v>
      </c>
      <c r="AG517">
        <v>123</v>
      </c>
      <c r="AH517">
        <v>36</v>
      </c>
      <c r="AI517">
        <v>38</v>
      </c>
      <c r="AJ517">
        <v>0</v>
      </c>
      <c r="AK517">
        <v>55</v>
      </c>
      <c r="AL517" t="s">
        <v>171</v>
      </c>
      <c r="AM517" t="s">
        <v>93</v>
      </c>
      <c r="AN517" t="s">
        <v>94</v>
      </c>
      <c r="AO517" t="s">
        <v>10051</v>
      </c>
      <c r="AP517" t="s">
        <v>10052</v>
      </c>
      <c r="AQ517" t="s">
        <v>74</v>
      </c>
      <c r="AR517" t="s">
        <v>10053</v>
      </c>
      <c r="AS517" t="s">
        <v>10054</v>
      </c>
      <c r="AT517" t="s">
        <v>9030</v>
      </c>
      <c r="AU517">
        <v>2014</v>
      </c>
      <c r="AV517">
        <v>61</v>
      </c>
      <c r="AW517">
        <v>4</v>
      </c>
      <c r="AX517" t="s">
        <v>74</v>
      </c>
      <c r="AY517" t="s">
        <v>74</v>
      </c>
      <c r="AZ517" t="s">
        <v>74</v>
      </c>
      <c r="BA517" t="s">
        <v>74</v>
      </c>
      <c r="BB517">
        <v>410</v>
      </c>
      <c r="BC517">
        <v>418</v>
      </c>
      <c r="BD517" t="s">
        <v>74</v>
      </c>
      <c r="BE517" t="s">
        <v>10055</v>
      </c>
      <c r="BF517" t="str">
        <f>HYPERLINK("http://dx.doi.org/10.1111/jeu.12120","http://dx.doi.org/10.1111/jeu.12120")</f>
        <v>http://dx.doi.org/10.1111/jeu.12120</v>
      </c>
      <c r="BG517" t="s">
        <v>74</v>
      </c>
      <c r="BH517" t="s">
        <v>74</v>
      </c>
      <c r="BI517">
        <v>9</v>
      </c>
      <c r="BJ517" t="s">
        <v>1012</v>
      </c>
      <c r="BK517" t="s">
        <v>102</v>
      </c>
      <c r="BL517" t="s">
        <v>1012</v>
      </c>
      <c r="BM517" t="s">
        <v>10056</v>
      </c>
      <c r="BN517">
        <v>24801529</v>
      </c>
      <c r="BO517" t="s">
        <v>74</v>
      </c>
      <c r="BP517" t="s">
        <v>74</v>
      </c>
      <c r="BQ517" t="s">
        <v>74</v>
      </c>
      <c r="BR517" t="s">
        <v>105</v>
      </c>
      <c r="BS517" t="s">
        <v>10057</v>
      </c>
      <c r="BT517" t="str">
        <f>HYPERLINK("https%3A%2F%2Fwww.webofscience.com%2Fwos%2Fwoscc%2Ffull-record%2FWOS:000339115300010","View Full Record in Web of Science")</f>
        <v>View Full Record in Web of Science</v>
      </c>
    </row>
    <row r="518" spans="1:72" x14ac:dyDescent="0.15">
      <c r="A518" t="s">
        <v>72</v>
      </c>
      <c r="B518" t="s">
        <v>10058</v>
      </c>
      <c r="C518" t="s">
        <v>74</v>
      </c>
      <c r="D518" t="s">
        <v>74</v>
      </c>
      <c r="E518" t="s">
        <v>74</v>
      </c>
      <c r="F518" t="s">
        <v>10059</v>
      </c>
      <c r="G518" t="s">
        <v>74</v>
      </c>
      <c r="H518" t="s">
        <v>74</v>
      </c>
      <c r="I518" t="s">
        <v>10060</v>
      </c>
      <c r="J518" t="s">
        <v>1951</v>
      </c>
      <c r="K518" t="s">
        <v>74</v>
      </c>
      <c r="L518" t="s">
        <v>74</v>
      </c>
      <c r="M518" t="s">
        <v>78</v>
      </c>
      <c r="N518" t="s">
        <v>79</v>
      </c>
      <c r="O518" t="s">
        <v>74</v>
      </c>
      <c r="P518" t="s">
        <v>74</v>
      </c>
      <c r="Q518" t="s">
        <v>74</v>
      </c>
      <c r="R518" t="s">
        <v>74</v>
      </c>
      <c r="S518" t="s">
        <v>74</v>
      </c>
      <c r="T518" t="s">
        <v>74</v>
      </c>
      <c r="U518" t="s">
        <v>10061</v>
      </c>
      <c r="V518" t="s">
        <v>10062</v>
      </c>
      <c r="W518" t="s">
        <v>10063</v>
      </c>
      <c r="X518" t="s">
        <v>10064</v>
      </c>
      <c r="Y518" t="s">
        <v>10065</v>
      </c>
      <c r="Z518" t="s">
        <v>10066</v>
      </c>
      <c r="AA518" t="s">
        <v>74</v>
      </c>
      <c r="AB518" t="s">
        <v>74</v>
      </c>
      <c r="AC518" t="s">
        <v>10067</v>
      </c>
      <c r="AD518" t="s">
        <v>10068</v>
      </c>
      <c r="AE518" t="s">
        <v>10069</v>
      </c>
      <c r="AF518" t="s">
        <v>74</v>
      </c>
      <c r="AG518">
        <v>58</v>
      </c>
      <c r="AH518">
        <v>35</v>
      </c>
      <c r="AI518">
        <v>38</v>
      </c>
      <c r="AJ518">
        <v>2</v>
      </c>
      <c r="AK518">
        <v>6</v>
      </c>
      <c r="AL518" t="s">
        <v>331</v>
      </c>
      <c r="AM518" t="s">
        <v>332</v>
      </c>
      <c r="AN518" t="s">
        <v>333</v>
      </c>
      <c r="AO518" t="s">
        <v>1963</v>
      </c>
      <c r="AP518" t="s">
        <v>1964</v>
      </c>
      <c r="AQ518" t="s">
        <v>74</v>
      </c>
      <c r="AR518" t="s">
        <v>1965</v>
      </c>
      <c r="AS518" t="s">
        <v>1966</v>
      </c>
      <c r="AT518" t="s">
        <v>8489</v>
      </c>
      <c r="AU518">
        <v>2014</v>
      </c>
      <c r="AV518">
        <v>119</v>
      </c>
      <c r="AW518">
        <v>7</v>
      </c>
      <c r="AX518" t="s">
        <v>74</v>
      </c>
      <c r="AY518" t="s">
        <v>74</v>
      </c>
      <c r="AZ518" t="s">
        <v>74</v>
      </c>
      <c r="BA518" t="s">
        <v>74</v>
      </c>
      <c r="BB518">
        <v>4083</v>
      </c>
      <c r="BC518">
        <v>4100</v>
      </c>
      <c r="BD518" t="s">
        <v>74</v>
      </c>
      <c r="BE518" t="s">
        <v>10070</v>
      </c>
      <c r="BF518" t="str">
        <f>HYPERLINK("http://dx.doi.org/10.1002/2013JC009605","http://dx.doi.org/10.1002/2013JC009605")</f>
        <v>http://dx.doi.org/10.1002/2013JC009605</v>
      </c>
      <c r="BG518" t="s">
        <v>74</v>
      </c>
      <c r="BH518" t="s">
        <v>74</v>
      </c>
      <c r="BI518">
        <v>18</v>
      </c>
      <c r="BJ518" t="s">
        <v>152</v>
      </c>
      <c r="BK518" t="s">
        <v>102</v>
      </c>
      <c r="BL518" t="s">
        <v>152</v>
      </c>
      <c r="BM518" t="s">
        <v>8758</v>
      </c>
      <c r="BN518" t="s">
        <v>74</v>
      </c>
      <c r="BO518" t="s">
        <v>2647</v>
      </c>
      <c r="BP518" t="s">
        <v>74</v>
      </c>
      <c r="BQ518" t="s">
        <v>74</v>
      </c>
      <c r="BR518" t="s">
        <v>105</v>
      </c>
      <c r="BS518" t="s">
        <v>10071</v>
      </c>
      <c r="BT518" t="str">
        <f>HYPERLINK("https%3A%2F%2Fwww.webofscience.com%2Fwos%2Fwoscc%2Ffull-record%2FWOS:000340415500004","View Full Record in Web of Science")</f>
        <v>View Full Record in Web of Science</v>
      </c>
    </row>
    <row r="519" spans="1:72" x14ac:dyDescent="0.15">
      <c r="A519" t="s">
        <v>72</v>
      </c>
      <c r="B519" t="s">
        <v>10072</v>
      </c>
      <c r="C519" t="s">
        <v>74</v>
      </c>
      <c r="D519" t="s">
        <v>74</v>
      </c>
      <c r="E519" t="s">
        <v>74</v>
      </c>
      <c r="F519" t="s">
        <v>10073</v>
      </c>
      <c r="G519" t="s">
        <v>74</v>
      </c>
      <c r="H519" t="s">
        <v>74</v>
      </c>
      <c r="I519" t="s">
        <v>10074</v>
      </c>
      <c r="J519" t="s">
        <v>1951</v>
      </c>
      <c r="K519" t="s">
        <v>74</v>
      </c>
      <c r="L519" t="s">
        <v>74</v>
      </c>
      <c r="M519" t="s">
        <v>78</v>
      </c>
      <c r="N519" t="s">
        <v>79</v>
      </c>
      <c r="O519" t="s">
        <v>74</v>
      </c>
      <c r="P519" t="s">
        <v>74</v>
      </c>
      <c r="Q519" t="s">
        <v>74</v>
      </c>
      <c r="R519" t="s">
        <v>74</v>
      </c>
      <c r="S519" t="s">
        <v>74</v>
      </c>
      <c r="T519" t="s">
        <v>74</v>
      </c>
      <c r="U519" t="s">
        <v>10075</v>
      </c>
      <c r="V519" t="s">
        <v>10076</v>
      </c>
      <c r="W519" t="s">
        <v>10077</v>
      </c>
      <c r="X519" t="s">
        <v>10078</v>
      </c>
      <c r="Y519" t="s">
        <v>10079</v>
      </c>
      <c r="Z519" t="s">
        <v>10080</v>
      </c>
      <c r="AA519" t="s">
        <v>10081</v>
      </c>
      <c r="AB519" t="s">
        <v>10082</v>
      </c>
      <c r="AC519" t="s">
        <v>74</v>
      </c>
      <c r="AD519" t="s">
        <v>74</v>
      </c>
      <c r="AE519" t="s">
        <v>74</v>
      </c>
      <c r="AF519" t="s">
        <v>74</v>
      </c>
      <c r="AG519">
        <v>48</v>
      </c>
      <c r="AH519">
        <v>45</v>
      </c>
      <c r="AI519">
        <v>52</v>
      </c>
      <c r="AJ519">
        <v>0</v>
      </c>
      <c r="AK519">
        <v>9</v>
      </c>
      <c r="AL519" t="s">
        <v>331</v>
      </c>
      <c r="AM519" t="s">
        <v>332</v>
      </c>
      <c r="AN519" t="s">
        <v>333</v>
      </c>
      <c r="AO519" t="s">
        <v>1963</v>
      </c>
      <c r="AP519" t="s">
        <v>1964</v>
      </c>
      <c r="AQ519" t="s">
        <v>74</v>
      </c>
      <c r="AR519" t="s">
        <v>1965</v>
      </c>
      <c r="AS519" t="s">
        <v>1966</v>
      </c>
      <c r="AT519" t="s">
        <v>8489</v>
      </c>
      <c r="AU519">
        <v>2014</v>
      </c>
      <c r="AV519">
        <v>119</v>
      </c>
      <c r="AW519">
        <v>7</v>
      </c>
      <c r="AX519" t="s">
        <v>74</v>
      </c>
      <c r="AY519" t="s">
        <v>74</v>
      </c>
      <c r="AZ519" t="s">
        <v>74</v>
      </c>
      <c r="BA519" t="s">
        <v>74</v>
      </c>
      <c r="BB519">
        <v>4141</v>
      </c>
      <c r="BC519">
        <v>4167</v>
      </c>
      <c r="BD519" t="s">
        <v>74</v>
      </c>
      <c r="BE519" t="s">
        <v>10083</v>
      </c>
      <c r="BF519" t="str">
        <f>HYPERLINK("http://dx.doi.org/10.1002/2014JC009943","http://dx.doi.org/10.1002/2014JC009943")</f>
        <v>http://dx.doi.org/10.1002/2014JC009943</v>
      </c>
      <c r="BG519" t="s">
        <v>74</v>
      </c>
      <c r="BH519" t="s">
        <v>74</v>
      </c>
      <c r="BI519">
        <v>27</v>
      </c>
      <c r="BJ519" t="s">
        <v>152</v>
      </c>
      <c r="BK519" t="s">
        <v>102</v>
      </c>
      <c r="BL519" t="s">
        <v>152</v>
      </c>
      <c r="BM519" t="s">
        <v>8758</v>
      </c>
      <c r="BN519" t="s">
        <v>74</v>
      </c>
      <c r="BO519" t="s">
        <v>1274</v>
      </c>
      <c r="BP519" t="s">
        <v>74</v>
      </c>
      <c r="BQ519" t="s">
        <v>74</v>
      </c>
      <c r="BR519" t="s">
        <v>105</v>
      </c>
      <c r="BS519" t="s">
        <v>10084</v>
      </c>
      <c r="BT519" t="str">
        <f>HYPERLINK("https%3A%2F%2Fwww.webofscience.com%2Fwos%2Fwoscc%2Ffull-record%2FWOS:000340415500007","View Full Record in Web of Science")</f>
        <v>View Full Record in Web of Science</v>
      </c>
    </row>
    <row r="520" spans="1:72" x14ac:dyDescent="0.15">
      <c r="A520" t="s">
        <v>72</v>
      </c>
      <c r="B520" t="s">
        <v>10085</v>
      </c>
      <c r="C520" t="s">
        <v>74</v>
      </c>
      <c r="D520" t="s">
        <v>74</v>
      </c>
      <c r="E520" t="s">
        <v>74</v>
      </c>
      <c r="F520" t="s">
        <v>10086</v>
      </c>
      <c r="G520" t="s">
        <v>74</v>
      </c>
      <c r="H520" t="s">
        <v>74</v>
      </c>
      <c r="I520" t="s">
        <v>10087</v>
      </c>
      <c r="J520" t="s">
        <v>1951</v>
      </c>
      <c r="K520" t="s">
        <v>74</v>
      </c>
      <c r="L520" t="s">
        <v>74</v>
      </c>
      <c r="M520" t="s">
        <v>78</v>
      </c>
      <c r="N520" t="s">
        <v>79</v>
      </c>
      <c r="O520" t="s">
        <v>74</v>
      </c>
      <c r="P520" t="s">
        <v>74</v>
      </c>
      <c r="Q520" t="s">
        <v>74</v>
      </c>
      <c r="R520" t="s">
        <v>74</v>
      </c>
      <c r="S520" t="s">
        <v>74</v>
      </c>
      <c r="T520" t="s">
        <v>74</v>
      </c>
      <c r="U520" t="s">
        <v>10088</v>
      </c>
      <c r="V520" t="s">
        <v>10089</v>
      </c>
      <c r="W520" t="s">
        <v>10090</v>
      </c>
      <c r="X520" t="s">
        <v>10091</v>
      </c>
      <c r="Y520" t="s">
        <v>10092</v>
      </c>
      <c r="Z520" t="s">
        <v>10093</v>
      </c>
      <c r="AA520" t="s">
        <v>10094</v>
      </c>
      <c r="AB520" t="s">
        <v>10095</v>
      </c>
      <c r="AC520" t="s">
        <v>10096</v>
      </c>
      <c r="AD520" t="s">
        <v>10097</v>
      </c>
      <c r="AE520" t="s">
        <v>10098</v>
      </c>
      <c r="AF520" t="s">
        <v>74</v>
      </c>
      <c r="AG520">
        <v>80</v>
      </c>
      <c r="AH520">
        <v>40</v>
      </c>
      <c r="AI520">
        <v>40</v>
      </c>
      <c r="AJ520">
        <v>2</v>
      </c>
      <c r="AK520">
        <v>36</v>
      </c>
      <c r="AL520" t="s">
        <v>331</v>
      </c>
      <c r="AM520" t="s">
        <v>332</v>
      </c>
      <c r="AN520" t="s">
        <v>333</v>
      </c>
      <c r="AO520" t="s">
        <v>1963</v>
      </c>
      <c r="AP520" t="s">
        <v>1964</v>
      </c>
      <c r="AQ520" t="s">
        <v>74</v>
      </c>
      <c r="AR520" t="s">
        <v>1965</v>
      </c>
      <c r="AS520" t="s">
        <v>1966</v>
      </c>
      <c r="AT520" t="s">
        <v>8489</v>
      </c>
      <c r="AU520">
        <v>2014</v>
      </c>
      <c r="AV520">
        <v>119</v>
      </c>
      <c r="AW520">
        <v>7</v>
      </c>
      <c r="AX520" t="s">
        <v>74</v>
      </c>
      <c r="AY520" t="s">
        <v>74</v>
      </c>
      <c r="AZ520" t="s">
        <v>74</v>
      </c>
      <c r="BA520" t="s">
        <v>74</v>
      </c>
      <c r="BB520">
        <v>4549</v>
      </c>
      <c r="BC520">
        <v>4572</v>
      </c>
      <c r="BD520" t="s">
        <v>74</v>
      </c>
      <c r="BE520" t="s">
        <v>10099</v>
      </c>
      <c r="BF520" t="str">
        <f>HYPERLINK("http://dx.doi.org/10.1002/2013JC009511","http://dx.doi.org/10.1002/2013JC009511")</f>
        <v>http://dx.doi.org/10.1002/2013JC009511</v>
      </c>
      <c r="BG520" t="s">
        <v>74</v>
      </c>
      <c r="BH520" t="s">
        <v>74</v>
      </c>
      <c r="BI520">
        <v>24</v>
      </c>
      <c r="BJ520" t="s">
        <v>152</v>
      </c>
      <c r="BK520" t="s">
        <v>102</v>
      </c>
      <c r="BL520" t="s">
        <v>152</v>
      </c>
      <c r="BM520" t="s">
        <v>8758</v>
      </c>
      <c r="BN520" t="s">
        <v>74</v>
      </c>
      <c r="BO520" t="s">
        <v>2919</v>
      </c>
      <c r="BP520" t="s">
        <v>74</v>
      </c>
      <c r="BQ520" t="s">
        <v>74</v>
      </c>
      <c r="BR520" t="s">
        <v>105</v>
      </c>
      <c r="BS520" t="s">
        <v>10100</v>
      </c>
      <c r="BT520" t="str">
        <f>HYPERLINK("https%3A%2F%2Fwww.webofscience.com%2Fwos%2Fwoscc%2Ffull-record%2FWOS:000340415500033","View Full Record in Web of Science")</f>
        <v>View Full Record in Web of Science</v>
      </c>
    </row>
    <row r="521" spans="1:72" x14ac:dyDescent="0.15">
      <c r="A521" t="s">
        <v>72</v>
      </c>
      <c r="B521" t="s">
        <v>10101</v>
      </c>
      <c r="C521" t="s">
        <v>74</v>
      </c>
      <c r="D521" t="s">
        <v>74</v>
      </c>
      <c r="E521" t="s">
        <v>74</v>
      </c>
      <c r="F521" t="s">
        <v>10102</v>
      </c>
      <c r="G521" t="s">
        <v>74</v>
      </c>
      <c r="H521" t="s">
        <v>74</v>
      </c>
      <c r="I521" t="s">
        <v>10103</v>
      </c>
      <c r="J521" t="s">
        <v>318</v>
      </c>
      <c r="K521" t="s">
        <v>74</v>
      </c>
      <c r="L521" t="s">
        <v>74</v>
      </c>
      <c r="M521" t="s">
        <v>78</v>
      </c>
      <c r="N521" t="s">
        <v>79</v>
      </c>
      <c r="O521" t="s">
        <v>74</v>
      </c>
      <c r="P521" t="s">
        <v>74</v>
      </c>
      <c r="Q521" t="s">
        <v>74</v>
      </c>
      <c r="R521" t="s">
        <v>74</v>
      </c>
      <c r="S521" t="s">
        <v>74</v>
      </c>
      <c r="T521" t="s">
        <v>74</v>
      </c>
      <c r="U521" t="s">
        <v>10104</v>
      </c>
      <c r="V521" t="s">
        <v>10105</v>
      </c>
      <c r="W521" t="s">
        <v>10106</v>
      </c>
      <c r="X521" t="s">
        <v>10107</v>
      </c>
      <c r="Y521" t="s">
        <v>10108</v>
      </c>
      <c r="Z521" t="s">
        <v>10109</v>
      </c>
      <c r="AA521" t="s">
        <v>3770</v>
      </c>
      <c r="AB521" t="s">
        <v>3771</v>
      </c>
      <c r="AC521" t="s">
        <v>10110</v>
      </c>
      <c r="AD521" t="s">
        <v>10111</v>
      </c>
      <c r="AE521" t="s">
        <v>10112</v>
      </c>
      <c r="AF521" t="s">
        <v>74</v>
      </c>
      <c r="AG521">
        <v>66</v>
      </c>
      <c r="AH521">
        <v>163</v>
      </c>
      <c r="AI521">
        <v>170</v>
      </c>
      <c r="AJ521">
        <v>0</v>
      </c>
      <c r="AK521">
        <v>6</v>
      </c>
      <c r="AL521" t="s">
        <v>331</v>
      </c>
      <c r="AM521" t="s">
        <v>332</v>
      </c>
      <c r="AN521" t="s">
        <v>333</v>
      </c>
      <c r="AO521" t="s">
        <v>334</v>
      </c>
      <c r="AP521" t="s">
        <v>335</v>
      </c>
      <c r="AQ521" t="s">
        <v>74</v>
      </c>
      <c r="AR521" t="s">
        <v>336</v>
      </c>
      <c r="AS521" t="s">
        <v>337</v>
      </c>
      <c r="AT521" t="s">
        <v>8489</v>
      </c>
      <c r="AU521">
        <v>2014</v>
      </c>
      <c r="AV521">
        <v>119</v>
      </c>
      <c r="AW521">
        <v>7</v>
      </c>
      <c r="AX521" t="s">
        <v>74</v>
      </c>
      <c r="AY521" t="s">
        <v>74</v>
      </c>
      <c r="AZ521" t="s">
        <v>74</v>
      </c>
      <c r="BA521" t="s">
        <v>74</v>
      </c>
      <c r="BB521">
        <v>5328</v>
      </c>
      <c r="BC521">
        <v>5342</v>
      </c>
      <c r="BD521" t="s">
        <v>74</v>
      </c>
      <c r="BE521" t="s">
        <v>10113</v>
      </c>
      <c r="BF521" t="str">
        <f>HYPERLINK("http://dx.doi.org/10.1002/2014JA020064","http://dx.doi.org/10.1002/2014JA020064")</f>
        <v>http://dx.doi.org/10.1002/2014JA020064</v>
      </c>
      <c r="BG521" t="s">
        <v>74</v>
      </c>
      <c r="BH521" t="s">
        <v>74</v>
      </c>
      <c r="BI521">
        <v>15</v>
      </c>
      <c r="BJ521" t="s">
        <v>339</v>
      </c>
      <c r="BK521" t="s">
        <v>102</v>
      </c>
      <c r="BL521" t="s">
        <v>339</v>
      </c>
      <c r="BM521" t="s">
        <v>10114</v>
      </c>
      <c r="BN521" t="s">
        <v>74</v>
      </c>
      <c r="BO521" t="s">
        <v>467</v>
      </c>
      <c r="BP521" t="s">
        <v>74</v>
      </c>
      <c r="BQ521" t="s">
        <v>74</v>
      </c>
      <c r="BR521" t="s">
        <v>105</v>
      </c>
      <c r="BS521" t="s">
        <v>10115</v>
      </c>
      <c r="BT521" t="str">
        <f>HYPERLINK("https%3A%2F%2Fwww.webofscience.com%2Fwos%2Fwoscc%2Ffull-record%2FWOS:000340549000018","View Full Record in Web of Science")</f>
        <v>View Full Record in Web of Science</v>
      </c>
    </row>
    <row r="522" spans="1:72" x14ac:dyDescent="0.15">
      <c r="A522" t="s">
        <v>72</v>
      </c>
      <c r="B522" t="s">
        <v>10116</v>
      </c>
      <c r="C522" t="s">
        <v>74</v>
      </c>
      <c r="D522" t="s">
        <v>74</v>
      </c>
      <c r="E522" t="s">
        <v>74</v>
      </c>
      <c r="F522" t="s">
        <v>10117</v>
      </c>
      <c r="G522" t="s">
        <v>74</v>
      </c>
      <c r="H522" t="s">
        <v>74</v>
      </c>
      <c r="I522" t="s">
        <v>10118</v>
      </c>
      <c r="J522" t="s">
        <v>318</v>
      </c>
      <c r="K522" t="s">
        <v>74</v>
      </c>
      <c r="L522" t="s">
        <v>74</v>
      </c>
      <c r="M522" t="s">
        <v>78</v>
      </c>
      <c r="N522" t="s">
        <v>79</v>
      </c>
      <c r="O522" t="s">
        <v>74</v>
      </c>
      <c r="P522" t="s">
        <v>74</v>
      </c>
      <c r="Q522" t="s">
        <v>74</v>
      </c>
      <c r="R522" t="s">
        <v>74</v>
      </c>
      <c r="S522" t="s">
        <v>74</v>
      </c>
      <c r="T522" t="s">
        <v>74</v>
      </c>
      <c r="U522" t="s">
        <v>10119</v>
      </c>
      <c r="V522" t="s">
        <v>10120</v>
      </c>
      <c r="W522" t="s">
        <v>10121</v>
      </c>
      <c r="X522" t="s">
        <v>10122</v>
      </c>
      <c r="Y522" t="s">
        <v>10123</v>
      </c>
      <c r="Z522" t="s">
        <v>7417</v>
      </c>
      <c r="AA522" t="s">
        <v>10124</v>
      </c>
      <c r="AB522" t="s">
        <v>10125</v>
      </c>
      <c r="AC522" t="s">
        <v>10126</v>
      </c>
      <c r="AD522" t="s">
        <v>10127</v>
      </c>
      <c r="AE522" t="s">
        <v>10128</v>
      </c>
      <c r="AF522" t="s">
        <v>74</v>
      </c>
      <c r="AG522">
        <v>92</v>
      </c>
      <c r="AH522">
        <v>65</v>
      </c>
      <c r="AI522">
        <v>67</v>
      </c>
      <c r="AJ522">
        <v>0</v>
      </c>
      <c r="AK522">
        <v>29</v>
      </c>
      <c r="AL522" t="s">
        <v>331</v>
      </c>
      <c r="AM522" t="s">
        <v>332</v>
      </c>
      <c r="AN522" t="s">
        <v>333</v>
      </c>
      <c r="AO522" t="s">
        <v>334</v>
      </c>
      <c r="AP522" t="s">
        <v>335</v>
      </c>
      <c r="AQ522" t="s">
        <v>74</v>
      </c>
      <c r="AR522" t="s">
        <v>336</v>
      </c>
      <c r="AS522" t="s">
        <v>337</v>
      </c>
      <c r="AT522" t="s">
        <v>8489</v>
      </c>
      <c r="AU522">
        <v>2014</v>
      </c>
      <c r="AV522">
        <v>119</v>
      </c>
      <c r="AW522">
        <v>7</v>
      </c>
      <c r="AX522" t="s">
        <v>74</v>
      </c>
      <c r="AY522" t="s">
        <v>74</v>
      </c>
      <c r="AZ522" t="s">
        <v>74</v>
      </c>
      <c r="BA522" t="s">
        <v>74</v>
      </c>
      <c r="BB522">
        <v>5465</v>
      </c>
      <c r="BC522">
        <v>5494</v>
      </c>
      <c r="BD522" t="s">
        <v>74</v>
      </c>
      <c r="BE522" t="s">
        <v>10129</v>
      </c>
      <c r="BF522" t="str">
        <f>HYPERLINK("http://dx.doi.org/10.1002/2013JA019388","http://dx.doi.org/10.1002/2013JA019388")</f>
        <v>http://dx.doi.org/10.1002/2013JA019388</v>
      </c>
      <c r="BG522" t="s">
        <v>74</v>
      </c>
      <c r="BH522" t="s">
        <v>74</v>
      </c>
      <c r="BI522">
        <v>30</v>
      </c>
      <c r="BJ522" t="s">
        <v>339</v>
      </c>
      <c r="BK522" t="s">
        <v>102</v>
      </c>
      <c r="BL522" t="s">
        <v>339</v>
      </c>
      <c r="BM522" t="s">
        <v>10114</v>
      </c>
      <c r="BN522" t="s">
        <v>74</v>
      </c>
      <c r="BO522" t="s">
        <v>7716</v>
      </c>
      <c r="BP522" t="s">
        <v>74</v>
      </c>
      <c r="BQ522" t="s">
        <v>74</v>
      </c>
      <c r="BR522" t="s">
        <v>105</v>
      </c>
      <c r="BS522" t="s">
        <v>10130</v>
      </c>
      <c r="BT522" t="str">
        <f>HYPERLINK("https%3A%2F%2Fwww.webofscience.com%2Fwos%2Fwoscc%2Ffull-record%2FWOS:000340549000024","View Full Record in Web of Science")</f>
        <v>View Full Record in Web of Science</v>
      </c>
    </row>
    <row r="523" spans="1:72" x14ac:dyDescent="0.15">
      <c r="A523" t="s">
        <v>72</v>
      </c>
      <c r="B523" t="s">
        <v>10131</v>
      </c>
      <c r="C523" t="s">
        <v>74</v>
      </c>
      <c r="D523" t="s">
        <v>74</v>
      </c>
      <c r="E523" t="s">
        <v>74</v>
      </c>
      <c r="F523" t="s">
        <v>10132</v>
      </c>
      <c r="G523" t="s">
        <v>74</v>
      </c>
      <c r="H523" t="s">
        <v>74</v>
      </c>
      <c r="I523" t="s">
        <v>10133</v>
      </c>
      <c r="J523" t="s">
        <v>318</v>
      </c>
      <c r="K523" t="s">
        <v>74</v>
      </c>
      <c r="L523" t="s">
        <v>74</v>
      </c>
      <c r="M523" t="s">
        <v>78</v>
      </c>
      <c r="N523" t="s">
        <v>79</v>
      </c>
      <c r="O523" t="s">
        <v>74</v>
      </c>
      <c r="P523" t="s">
        <v>74</v>
      </c>
      <c r="Q523" t="s">
        <v>74</v>
      </c>
      <c r="R523" t="s">
        <v>74</v>
      </c>
      <c r="S523" t="s">
        <v>74</v>
      </c>
      <c r="T523" t="s">
        <v>74</v>
      </c>
      <c r="U523" t="s">
        <v>10134</v>
      </c>
      <c r="V523" t="s">
        <v>10135</v>
      </c>
      <c r="W523" t="s">
        <v>10136</v>
      </c>
      <c r="X523" t="s">
        <v>10137</v>
      </c>
      <c r="Y523" t="s">
        <v>10138</v>
      </c>
      <c r="Z523" t="s">
        <v>10139</v>
      </c>
      <c r="AA523" t="s">
        <v>10140</v>
      </c>
      <c r="AB523" t="s">
        <v>10141</v>
      </c>
      <c r="AC523" t="s">
        <v>10142</v>
      </c>
      <c r="AD523" t="s">
        <v>10143</v>
      </c>
      <c r="AE523" t="s">
        <v>10144</v>
      </c>
      <c r="AF523" t="s">
        <v>74</v>
      </c>
      <c r="AG523">
        <v>41</v>
      </c>
      <c r="AH523">
        <v>25</v>
      </c>
      <c r="AI523">
        <v>26</v>
      </c>
      <c r="AJ523">
        <v>0</v>
      </c>
      <c r="AK523">
        <v>4</v>
      </c>
      <c r="AL523" t="s">
        <v>331</v>
      </c>
      <c r="AM523" t="s">
        <v>332</v>
      </c>
      <c r="AN523" t="s">
        <v>333</v>
      </c>
      <c r="AO523" t="s">
        <v>334</v>
      </c>
      <c r="AP523" t="s">
        <v>335</v>
      </c>
      <c r="AQ523" t="s">
        <v>74</v>
      </c>
      <c r="AR523" t="s">
        <v>336</v>
      </c>
      <c r="AS523" t="s">
        <v>337</v>
      </c>
      <c r="AT523" t="s">
        <v>8489</v>
      </c>
      <c r="AU523">
        <v>2014</v>
      </c>
      <c r="AV523">
        <v>119</v>
      </c>
      <c r="AW523">
        <v>7</v>
      </c>
      <c r="AX523" t="s">
        <v>74</v>
      </c>
      <c r="AY523" t="s">
        <v>74</v>
      </c>
      <c r="AZ523" t="s">
        <v>74</v>
      </c>
      <c r="BA523" t="s">
        <v>74</v>
      </c>
      <c r="BB523">
        <v>5561</v>
      </c>
      <c r="BC523">
        <v>5574</v>
      </c>
      <c r="BD523" t="s">
        <v>74</v>
      </c>
      <c r="BE523" t="s">
        <v>10145</v>
      </c>
      <c r="BF523" t="str">
        <f>HYPERLINK("http://dx.doi.org/10.1002/2014JA019931","http://dx.doi.org/10.1002/2014JA019931")</f>
        <v>http://dx.doi.org/10.1002/2014JA019931</v>
      </c>
      <c r="BG523" t="s">
        <v>74</v>
      </c>
      <c r="BH523" t="s">
        <v>74</v>
      </c>
      <c r="BI523">
        <v>14</v>
      </c>
      <c r="BJ523" t="s">
        <v>339</v>
      </c>
      <c r="BK523" t="s">
        <v>102</v>
      </c>
      <c r="BL523" t="s">
        <v>339</v>
      </c>
      <c r="BM523" t="s">
        <v>10114</v>
      </c>
      <c r="BN523" t="s">
        <v>74</v>
      </c>
      <c r="BO523" t="s">
        <v>467</v>
      </c>
      <c r="BP523" t="s">
        <v>74</v>
      </c>
      <c r="BQ523" t="s">
        <v>74</v>
      </c>
      <c r="BR523" t="s">
        <v>105</v>
      </c>
      <c r="BS523" t="s">
        <v>10146</v>
      </c>
      <c r="BT523" t="str">
        <f>HYPERLINK("https%3A%2F%2Fwww.webofscience.com%2Fwos%2Fwoscc%2Ffull-record%2FWOS:000340549000030","View Full Record in Web of Science")</f>
        <v>View Full Record in Web of Science</v>
      </c>
    </row>
    <row r="524" spans="1:72" x14ac:dyDescent="0.15">
      <c r="A524" t="s">
        <v>72</v>
      </c>
      <c r="B524" t="s">
        <v>10147</v>
      </c>
      <c r="C524" t="s">
        <v>74</v>
      </c>
      <c r="D524" t="s">
        <v>74</v>
      </c>
      <c r="E524" t="s">
        <v>74</v>
      </c>
      <c r="F524" t="s">
        <v>10148</v>
      </c>
      <c r="G524" t="s">
        <v>74</v>
      </c>
      <c r="H524" t="s">
        <v>74</v>
      </c>
      <c r="I524" t="s">
        <v>10149</v>
      </c>
      <c r="J524" t="s">
        <v>10150</v>
      </c>
      <c r="K524" t="s">
        <v>74</v>
      </c>
      <c r="L524" t="s">
        <v>74</v>
      </c>
      <c r="M524" t="s">
        <v>78</v>
      </c>
      <c r="N524" t="s">
        <v>79</v>
      </c>
      <c r="O524" t="s">
        <v>74</v>
      </c>
      <c r="P524" t="s">
        <v>74</v>
      </c>
      <c r="Q524" t="s">
        <v>74</v>
      </c>
      <c r="R524" t="s">
        <v>74</v>
      </c>
      <c r="S524" t="s">
        <v>74</v>
      </c>
      <c r="T524" t="s">
        <v>74</v>
      </c>
      <c r="U524" t="s">
        <v>10151</v>
      </c>
      <c r="V524" t="s">
        <v>10152</v>
      </c>
      <c r="W524" t="s">
        <v>10153</v>
      </c>
      <c r="X524" t="s">
        <v>10154</v>
      </c>
      <c r="Y524" t="s">
        <v>10155</v>
      </c>
      <c r="Z524" t="s">
        <v>10156</v>
      </c>
      <c r="AA524" t="s">
        <v>74</v>
      </c>
      <c r="AB524" t="s">
        <v>74</v>
      </c>
      <c r="AC524" t="s">
        <v>10157</v>
      </c>
      <c r="AD524" t="s">
        <v>10158</v>
      </c>
      <c r="AE524" t="s">
        <v>10159</v>
      </c>
      <c r="AF524" t="s">
        <v>74</v>
      </c>
      <c r="AG524">
        <v>16</v>
      </c>
      <c r="AH524">
        <v>16</v>
      </c>
      <c r="AI524">
        <v>19</v>
      </c>
      <c r="AJ524">
        <v>0</v>
      </c>
      <c r="AK524">
        <v>13</v>
      </c>
      <c r="AL524" t="s">
        <v>10160</v>
      </c>
      <c r="AM524" t="s">
        <v>8271</v>
      </c>
      <c r="AN524" t="s">
        <v>10161</v>
      </c>
      <c r="AO524" t="s">
        <v>10162</v>
      </c>
      <c r="AP524" t="s">
        <v>10163</v>
      </c>
      <c r="AQ524" t="s">
        <v>74</v>
      </c>
      <c r="AR524" t="s">
        <v>10164</v>
      </c>
      <c r="AS524" t="s">
        <v>10165</v>
      </c>
      <c r="AT524" t="s">
        <v>8489</v>
      </c>
      <c r="AU524">
        <v>2014</v>
      </c>
      <c r="AV524">
        <v>88</v>
      </c>
      <c r="AW524">
        <v>4</v>
      </c>
      <c r="AX524" t="s">
        <v>74</v>
      </c>
      <c r="AY524" t="s">
        <v>74</v>
      </c>
      <c r="AZ524" t="s">
        <v>74</v>
      </c>
      <c r="BA524" t="s">
        <v>74</v>
      </c>
      <c r="BB524">
        <v>702</v>
      </c>
      <c r="BC524">
        <v>707</v>
      </c>
      <c r="BD524" t="s">
        <v>74</v>
      </c>
      <c r="BE524" t="s">
        <v>10166</v>
      </c>
      <c r="BF524" t="str">
        <f>HYPERLINK("http://dx.doi.org/10.1666/13-124","http://dx.doi.org/10.1666/13-124")</f>
        <v>http://dx.doi.org/10.1666/13-124</v>
      </c>
      <c r="BG524" t="s">
        <v>74</v>
      </c>
      <c r="BH524" t="s">
        <v>74</v>
      </c>
      <c r="BI524">
        <v>6</v>
      </c>
      <c r="BJ524" t="s">
        <v>2604</v>
      </c>
      <c r="BK524" t="s">
        <v>102</v>
      </c>
      <c r="BL524" t="s">
        <v>2604</v>
      </c>
      <c r="BM524" t="s">
        <v>10167</v>
      </c>
      <c r="BN524" t="s">
        <v>74</v>
      </c>
      <c r="BO524" t="s">
        <v>74</v>
      </c>
      <c r="BP524" t="s">
        <v>74</v>
      </c>
      <c r="BQ524" t="s">
        <v>74</v>
      </c>
      <c r="BR524" t="s">
        <v>105</v>
      </c>
      <c r="BS524" t="s">
        <v>10168</v>
      </c>
      <c r="BT524" t="str">
        <f>HYPERLINK("https%3A%2F%2Fwww.webofscience.com%2Fwos%2Fwoscc%2Ffull-record%2FWOS:000339222800007","View Full Record in Web of Science")</f>
        <v>View Full Record in Web of Science</v>
      </c>
    </row>
    <row r="525" spans="1:72" x14ac:dyDescent="0.15">
      <c r="A525" t="s">
        <v>72</v>
      </c>
      <c r="B525" t="s">
        <v>10169</v>
      </c>
      <c r="C525" t="s">
        <v>74</v>
      </c>
      <c r="D525" t="s">
        <v>74</v>
      </c>
      <c r="E525" t="s">
        <v>74</v>
      </c>
      <c r="F525" t="s">
        <v>10170</v>
      </c>
      <c r="G525" t="s">
        <v>74</v>
      </c>
      <c r="H525" t="s">
        <v>74</v>
      </c>
      <c r="I525" t="s">
        <v>10171</v>
      </c>
      <c r="J525" t="s">
        <v>432</v>
      </c>
      <c r="K525" t="s">
        <v>74</v>
      </c>
      <c r="L525" t="s">
        <v>74</v>
      </c>
      <c r="M525" t="s">
        <v>78</v>
      </c>
      <c r="N525" t="s">
        <v>79</v>
      </c>
      <c r="O525" t="s">
        <v>74</v>
      </c>
      <c r="P525" t="s">
        <v>74</v>
      </c>
      <c r="Q525" t="s">
        <v>74</v>
      </c>
      <c r="R525" t="s">
        <v>74</v>
      </c>
      <c r="S525" t="s">
        <v>74</v>
      </c>
      <c r="T525" t="s">
        <v>74</v>
      </c>
      <c r="U525" t="s">
        <v>10172</v>
      </c>
      <c r="V525" t="s">
        <v>10173</v>
      </c>
      <c r="W525" t="s">
        <v>10174</v>
      </c>
      <c r="X525" t="s">
        <v>10175</v>
      </c>
      <c r="Y525" t="s">
        <v>10176</v>
      </c>
      <c r="Z525" t="s">
        <v>10177</v>
      </c>
      <c r="AA525" t="s">
        <v>10178</v>
      </c>
      <c r="AB525" t="s">
        <v>10179</v>
      </c>
      <c r="AC525" t="s">
        <v>10180</v>
      </c>
      <c r="AD525" t="s">
        <v>10181</v>
      </c>
      <c r="AE525" t="s">
        <v>10182</v>
      </c>
      <c r="AF525" t="s">
        <v>74</v>
      </c>
      <c r="AG525">
        <v>62</v>
      </c>
      <c r="AH525">
        <v>100</v>
      </c>
      <c r="AI525">
        <v>112</v>
      </c>
      <c r="AJ525">
        <v>1</v>
      </c>
      <c r="AK525">
        <v>28</v>
      </c>
      <c r="AL525" t="s">
        <v>280</v>
      </c>
      <c r="AM525" t="s">
        <v>281</v>
      </c>
      <c r="AN525" t="s">
        <v>282</v>
      </c>
      <c r="AO525" t="s">
        <v>444</v>
      </c>
      <c r="AP525" t="s">
        <v>445</v>
      </c>
      <c r="AQ525" t="s">
        <v>74</v>
      </c>
      <c r="AR525" t="s">
        <v>446</v>
      </c>
      <c r="AS525" t="s">
        <v>447</v>
      </c>
      <c r="AT525" t="s">
        <v>8489</v>
      </c>
      <c r="AU525">
        <v>2014</v>
      </c>
      <c r="AV525">
        <v>44</v>
      </c>
      <c r="AW525">
        <v>7</v>
      </c>
      <c r="AX525" t="s">
        <v>74</v>
      </c>
      <c r="AY525" t="s">
        <v>74</v>
      </c>
      <c r="AZ525" t="s">
        <v>74</v>
      </c>
      <c r="BA525" t="s">
        <v>74</v>
      </c>
      <c r="BB525">
        <v>1811</v>
      </c>
      <c r="BC525">
        <v>1828</v>
      </c>
      <c r="BD525" t="s">
        <v>74</v>
      </c>
      <c r="BE525" t="s">
        <v>10183</v>
      </c>
      <c r="BF525" t="str">
        <f>HYPERLINK("http://dx.doi.org/10.1175/JPO-D-13-0163.1","http://dx.doi.org/10.1175/JPO-D-13-0163.1")</f>
        <v>http://dx.doi.org/10.1175/JPO-D-13-0163.1</v>
      </c>
      <c r="BG525" t="s">
        <v>74</v>
      </c>
      <c r="BH525" t="s">
        <v>74</v>
      </c>
      <c r="BI525">
        <v>18</v>
      </c>
      <c r="BJ525" t="s">
        <v>152</v>
      </c>
      <c r="BK525" t="s">
        <v>102</v>
      </c>
      <c r="BL525" t="s">
        <v>152</v>
      </c>
      <c r="BM525" t="s">
        <v>9165</v>
      </c>
      <c r="BN525" t="s">
        <v>74</v>
      </c>
      <c r="BO525" t="s">
        <v>341</v>
      </c>
      <c r="BP525" t="s">
        <v>74</v>
      </c>
      <c r="BQ525" t="s">
        <v>74</v>
      </c>
      <c r="BR525" t="s">
        <v>105</v>
      </c>
      <c r="BS525" t="s">
        <v>10184</v>
      </c>
      <c r="BT525" t="str">
        <f>HYPERLINK("https%3A%2F%2Fwww.webofscience.com%2Fwos%2Fwoscc%2Ffull-record%2FWOS:000339183800008","View Full Record in Web of Science")</f>
        <v>View Full Record in Web of Science</v>
      </c>
    </row>
    <row r="526" spans="1:72" x14ac:dyDescent="0.15">
      <c r="A526" t="s">
        <v>72</v>
      </c>
      <c r="B526" t="s">
        <v>10185</v>
      </c>
      <c r="C526" t="s">
        <v>74</v>
      </c>
      <c r="D526" t="s">
        <v>74</v>
      </c>
      <c r="E526" t="s">
        <v>74</v>
      </c>
      <c r="F526" t="s">
        <v>10186</v>
      </c>
      <c r="G526" t="s">
        <v>74</v>
      </c>
      <c r="H526" t="s">
        <v>74</v>
      </c>
      <c r="I526" t="s">
        <v>10187</v>
      </c>
      <c r="J526" t="s">
        <v>2494</v>
      </c>
      <c r="K526" t="s">
        <v>74</v>
      </c>
      <c r="L526" t="s">
        <v>74</v>
      </c>
      <c r="M526" t="s">
        <v>78</v>
      </c>
      <c r="N526" t="s">
        <v>79</v>
      </c>
      <c r="O526" t="s">
        <v>74</v>
      </c>
      <c r="P526" t="s">
        <v>74</v>
      </c>
      <c r="Q526" t="s">
        <v>74</v>
      </c>
      <c r="R526" t="s">
        <v>74</v>
      </c>
      <c r="S526" t="s">
        <v>74</v>
      </c>
      <c r="T526" t="s">
        <v>10188</v>
      </c>
      <c r="U526" t="s">
        <v>10189</v>
      </c>
      <c r="V526" t="s">
        <v>10190</v>
      </c>
      <c r="W526" t="s">
        <v>10191</v>
      </c>
      <c r="X526" t="s">
        <v>10192</v>
      </c>
      <c r="Y526" t="s">
        <v>10193</v>
      </c>
      <c r="Z526" t="s">
        <v>10194</v>
      </c>
      <c r="AA526" t="s">
        <v>74</v>
      </c>
      <c r="AB526" t="s">
        <v>10195</v>
      </c>
      <c r="AC526" t="s">
        <v>10196</v>
      </c>
      <c r="AD526" t="s">
        <v>10197</v>
      </c>
      <c r="AE526" t="s">
        <v>10198</v>
      </c>
      <c r="AF526" t="s">
        <v>74</v>
      </c>
      <c r="AG526">
        <v>78</v>
      </c>
      <c r="AH526">
        <v>23</v>
      </c>
      <c r="AI526">
        <v>24</v>
      </c>
      <c r="AJ526">
        <v>0</v>
      </c>
      <c r="AK526">
        <v>52</v>
      </c>
      <c r="AL526" t="s">
        <v>418</v>
      </c>
      <c r="AM526" t="s">
        <v>251</v>
      </c>
      <c r="AN526" t="s">
        <v>419</v>
      </c>
      <c r="AO526" t="s">
        <v>2506</v>
      </c>
      <c r="AP526" t="s">
        <v>2507</v>
      </c>
      <c r="AQ526" t="s">
        <v>74</v>
      </c>
      <c r="AR526" t="s">
        <v>2508</v>
      </c>
      <c r="AS526" t="s">
        <v>2509</v>
      </c>
      <c r="AT526" t="s">
        <v>9030</v>
      </c>
      <c r="AU526">
        <v>2014</v>
      </c>
      <c r="AV526">
        <v>36</v>
      </c>
      <c r="AW526">
        <v>4</v>
      </c>
      <c r="AX526" t="s">
        <v>74</v>
      </c>
      <c r="AY526" t="s">
        <v>74</v>
      </c>
      <c r="AZ526" t="s">
        <v>74</v>
      </c>
      <c r="BA526" t="s">
        <v>74</v>
      </c>
      <c r="BB526">
        <v>1109</v>
      </c>
      <c r="BC526">
        <v>1123</v>
      </c>
      <c r="BD526" t="s">
        <v>74</v>
      </c>
      <c r="BE526" t="s">
        <v>10199</v>
      </c>
      <c r="BF526" t="str">
        <f>HYPERLINK("http://dx.doi.org/10.1093/plankt/fbu030","http://dx.doi.org/10.1093/plankt/fbu030")</f>
        <v>http://dx.doi.org/10.1093/plankt/fbu030</v>
      </c>
      <c r="BG526" t="s">
        <v>74</v>
      </c>
      <c r="BH526" t="s">
        <v>74</v>
      </c>
      <c r="BI526">
        <v>15</v>
      </c>
      <c r="BJ526" t="s">
        <v>2511</v>
      </c>
      <c r="BK526" t="s">
        <v>102</v>
      </c>
      <c r="BL526" t="s">
        <v>2511</v>
      </c>
      <c r="BM526" t="s">
        <v>9032</v>
      </c>
      <c r="BN526" t="s">
        <v>74</v>
      </c>
      <c r="BO526" t="s">
        <v>179</v>
      </c>
      <c r="BP526" t="s">
        <v>74</v>
      </c>
      <c r="BQ526" t="s">
        <v>74</v>
      </c>
      <c r="BR526" t="s">
        <v>105</v>
      </c>
      <c r="BS526" t="s">
        <v>10200</v>
      </c>
      <c r="BT526" t="str">
        <f>HYPERLINK("https%3A%2F%2Fwww.webofscience.com%2Fwos%2Fwoscc%2Ffull-record%2FWOS:000339951300017","View Full Record in Web of Science")</f>
        <v>View Full Record in Web of Science</v>
      </c>
    </row>
    <row r="527" spans="1:72" x14ac:dyDescent="0.15">
      <c r="A527" t="s">
        <v>72</v>
      </c>
      <c r="B527" t="s">
        <v>10201</v>
      </c>
      <c r="C527" t="s">
        <v>74</v>
      </c>
      <c r="D527" t="s">
        <v>74</v>
      </c>
      <c r="E527" t="s">
        <v>74</v>
      </c>
      <c r="F527" t="s">
        <v>10202</v>
      </c>
      <c r="G527" t="s">
        <v>74</v>
      </c>
      <c r="H527" t="s">
        <v>74</v>
      </c>
      <c r="I527" t="s">
        <v>10203</v>
      </c>
      <c r="J527" t="s">
        <v>10204</v>
      </c>
      <c r="K527" t="s">
        <v>74</v>
      </c>
      <c r="L527" t="s">
        <v>74</v>
      </c>
      <c r="M527" t="s">
        <v>78</v>
      </c>
      <c r="N527" t="s">
        <v>79</v>
      </c>
      <c r="O527" t="s">
        <v>74</v>
      </c>
      <c r="P527" t="s">
        <v>74</v>
      </c>
      <c r="Q527" t="s">
        <v>74</v>
      </c>
      <c r="R527" t="s">
        <v>74</v>
      </c>
      <c r="S527" t="s">
        <v>74</v>
      </c>
      <c r="T527" t="s">
        <v>10205</v>
      </c>
      <c r="U527" t="s">
        <v>10206</v>
      </c>
      <c r="V527" t="s">
        <v>10207</v>
      </c>
      <c r="W527" t="s">
        <v>10208</v>
      </c>
      <c r="X527" t="s">
        <v>10209</v>
      </c>
      <c r="Y527" t="s">
        <v>10210</v>
      </c>
      <c r="Z527" t="s">
        <v>10211</v>
      </c>
      <c r="AA527" t="s">
        <v>74</v>
      </c>
      <c r="AB527" t="s">
        <v>10212</v>
      </c>
      <c r="AC527" t="s">
        <v>10213</v>
      </c>
      <c r="AD527" t="s">
        <v>10214</v>
      </c>
      <c r="AE527" t="s">
        <v>10215</v>
      </c>
      <c r="AF527" t="s">
        <v>74</v>
      </c>
      <c r="AG527">
        <v>59</v>
      </c>
      <c r="AH527">
        <v>0</v>
      </c>
      <c r="AI527">
        <v>0</v>
      </c>
      <c r="AJ527">
        <v>1</v>
      </c>
      <c r="AK527">
        <v>5</v>
      </c>
      <c r="AL527" t="s">
        <v>10216</v>
      </c>
      <c r="AM527" t="s">
        <v>10217</v>
      </c>
      <c r="AN527" t="s">
        <v>10218</v>
      </c>
      <c r="AO527" t="s">
        <v>10219</v>
      </c>
      <c r="AP527" t="s">
        <v>10220</v>
      </c>
      <c r="AQ527" t="s">
        <v>74</v>
      </c>
      <c r="AR527" t="s">
        <v>10221</v>
      </c>
      <c r="AS527" t="s">
        <v>10222</v>
      </c>
      <c r="AT527" t="s">
        <v>8489</v>
      </c>
      <c r="AU527">
        <v>2014</v>
      </c>
      <c r="AV527">
        <v>69</v>
      </c>
      <c r="AW527">
        <v>1</v>
      </c>
      <c r="AX527" t="s">
        <v>74</v>
      </c>
      <c r="AY527" t="s">
        <v>74</v>
      </c>
      <c r="AZ527" t="s">
        <v>74</v>
      </c>
      <c r="BA527" t="s">
        <v>74</v>
      </c>
      <c r="BB527" t="s">
        <v>74</v>
      </c>
      <c r="BC527" t="s">
        <v>74</v>
      </c>
      <c r="BD527" t="s">
        <v>74</v>
      </c>
      <c r="BE527" t="s">
        <v>74</v>
      </c>
      <c r="BF527" t="s">
        <v>74</v>
      </c>
      <c r="BG527" t="s">
        <v>74</v>
      </c>
      <c r="BH527" t="s">
        <v>74</v>
      </c>
      <c r="BI527">
        <v>7</v>
      </c>
      <c r="BJ527" t="s">
        <v>10223</v>
      </c>
      <c r="BK527" t="s">
        <v>488</v>
      </c>
      <c r="BL527" t="s">
        <v>10224</v>
      </c>
      <c r="BM527" t="s">
        <v>10225</v>
      </c>
      <c r="BN527" t="s">
        <v>74</v>
      </c>
      <c r="BO527" t="s">
        <v>74</v>
      </c>
      <c r="BP527" t="s">
        <v>74</v>
      </c>
      <c r="BQ527" t="s">
        <v>74</v>
      </c>
      <c r="BR527" t="s">
        <v>105</v>
      </c>
      <c r="BS527" t="s">
        <v>10226</v>
      </c>
      <c r="BT527" t="str">
        <f>HYPERLINK("https%3A%2F%2Fwww.webofscience.com%2Fwos%2Fwoscc%2Ffull-record%2FWOS:000218496900009","View Full Record in Web of Science")</f>
        <v>View Full Record in Web of Science</v>
      </c>
    </row>
    <row r="528" spans="1:72" x14ac:dyDescent="0.15">
      <c r="A528" t="s">
        <v>72</v>
      </c>
      <c r="B528" t="s">
        <v>10227</v>
      </c>
      <c r="C528" t="s">
        <v>74</v>
      </c>
      <c r="D528" t="s">
        <v>74</v>
      </c>
      <c r="E528" t="s">
        <v>74</v>
      </c>
      <c r="F528" t="s">
        <v>10228</v>
      </c>
      <c r="G528" t="s">
        <v>74</v>
      </c>
      <c r="H528" t="s">
        <v>74</v>
      </c>
      <c r="I528" t="s">
        <v>10229</v>
      </c>
      <c r="J528" t="s">
        <v>9184</v>
      </c>
      <c r="K528" t="s">
        <v>74</v>
      </c>
      <c r="L528" t="s">
        <v>74</v>
      </c>
      <c r="M528" t="s">
        <v>78</v>
      </c>
      <c r="N528" t="s">
        <v>79</v>
      </c>
      <c r="O528" t="s">
        <v>74</v>
      </c>
      <c r="P528" t="s">
        <v>74</v>
      </c>
      <c r="Q528" t="s">
        <v>74</v>
      </c>
      <c r="R528" t="s">
        <v>74</v>
      </c>
      <c r="S528" t="s">
        <v>74</v>
      </c>
      <c r="T528" t="s">
        <v>74</v>
      </c>
      <c r="U528" t="s">
        <v>10230</v>
      </c>
      <c r="V528" t="s">
        <v>74</v>
      </c>
      <c r="W528" t="s">
        <v>10231</v>
      </c>
      <c r="X528" t="s">
        <v>10232</v>
      </c>
      <c r="Y528" t="s">
        <v>10233</v>
      </c>
      <c r="Z528" t="s">
        <v>10234</v>
      </c>
      <c r="AA528" t="s">
        <v>10235</v>
      </c>
      <c r="AB528" t="s">
        <v>10236</v>
      </c>
      <c r="AC528" t="s">
        <v>10237</v>
      </c>
      <c r="AD528" t="s">
        <v>678</v>
      </c>
      <c r="AE528" t="s">
        <v>74</v>
      </c>
      <c r="AF528" t="s">
        <v>74</v>
      </c>
      <c r="AG528">
        <v>49</v>
      </c>
      <c r="AH528">
        <v>25</v>
      </c>
      <c r="AI528">
        <v>27</v>
      </c>
      <c r="AJ528">
        <v>0</v>
      </c>
      <c r="AK528">
        <v>18</v>
      </c>
      <c r="AL528" t="s">
        <v>92</v>
      </c>
      <c r="AM528" t="s">
        <v>93</v>
      </c>
      <c r="AN528" t="s">
        <v>94</v>
      </c>
      <c r="AO528" t="s">
        <v>9193</v>
      </c>
      <c r="AP528" t="s">
        <v>9194</v>
      </c>
      <c r="AQ528" t="s">
        <v>74</v>
      </c>
      <c r="AR528" t="s">
        <v>9195</v>
      </c>
      <c r="AS528" t="s">
        <v>9196</v>
      </c>
      <c r="AT528" t="s">
        <v>8489</v>
      </c>
      <c r="AU528">
        <v>2014</v>
      </c>
      <c r="AV528">
        <v>30</v>
      </c>
      <c r="AW528">
        <v>3</v>
      </c>
      <c r="AX528" t="s">
        <v>74</v>
      </c>
      <c r="AY528" t="s">
        <v>74</v>
      </c>
      <c r="AZ528" t="s">
        <v>74</v>
      </c>
      <c r="BA528" t="s">
        <v>74</v>
      </c>
      <c r="BB528">
        <v>1210</v>
      </c>
      <c r="BC528">
        <v>1219</v>
      </c>
      <c r="BD528" t="s">
        <v>74</v>
      </c>
      <c r="BE528" t="s">
        <v>10238</v>
      </c>
      <c r="BF528" t="str">
        <f>HYPERLINK("http://dx.doi.org/10.1111/mms.12090","http://dx.doi.org/10.1111/mms.12090")</f>
        <v>http://dx.doi.org/10.1111/mms.12090</v>
      </c>
      <c r="BG528" t="s">
        <v>74</v>
      </c>
      <c r="BH528" t="s">
        <v>74</v>
      </c>
      <c r="BI528">
        <v>10</v>
      </c>
      <c r="BJ528" t="s">
        <v>3087</v>
      </c>
      <c r="BK528" t="s">
        <v>102</v>
      </c>
      <c r="BL528" t="s">
        <v>3087</v>
      </c>
      <c r="BM528" t="s">
        <v>9198</v>
      </c>
      <c r="BN528" t="s">
        <v>74</v>
      </c>
      <c r="BO528" t="s">
        <v>74</v>
      </c>
      <c r="BP528" t="s">
        <v>74</v>
      </c>
      <c r="BQ528" t="s">
        <v>74</v>
      </c>
      <c r="BR528" t="s">
        <v>105</v>
      </c>
      <c r="BS528" t="s">
        <v>10239</v>
      </c>
      <c r="BT528" t="str">
        <f>HYPERLINK("https%3A%2F%2Fwww.webofscience.com%2Fwos%2Fwoscc%2Ffull-record%2FWOS:000339101800023","View Full Record in Web of Science")</f>
        <v>View Full Record in Web of Science</v>
      </c>
    </row>
    <row r="529" spans="1:72" x14ac:dyDescent="0.15">
      <c r="A529" t="s">
        <v>72</v>
      </c>
      <c r="B529" t="s">
        <v>10240</v>
      </c>
      <c r="C529" t="s">
        <v>74</v>
      </c>
      <c r="D529" t="s">
        <v>74</v>
      </c>
      <c r="E529" t="s">
        <v>74</v>
      </c>
      <c r="F529" t="s">
        <v>10241</v>
      </c>
      <c r="G529" t="s">
        <v>74</v>
      </c>
      <c r="H529" t="s">
        <v>74</v>
      </c>
      <c r="I529" t="s">
        <v>10242</v>
      </c>
      <c r="J529" t="s">
        <v>6280</v>
      </c>
      <c r="K529" t="s">
        <v>74</v>
      </c>
      <c r="L529" t="s">
        <v>74</v>
      </c>
      <c r="M529" t="s">
        <v>78</v>
      </c>
      <c r="N529" t="s">
        <v>79</v>
      </c>
      <c r="O529" t="s">
        <v>74</v>
      </c>
      <c r="P529" t="s">
        <v>74</v>
      </c>
      <c r="Q529" t="s">
        <v>74</v>
      </c>
      <c r="R529" t="s">
        <v>74</v>
      </c>
      <c r="S529" t="s">
        <v>74</v>
      </c>
      <c r="T529" t="s">
        <v>10243</v>
      </c>
      <c r="U529" t="s">
        <v>10244</v>
      </c>
      <c r="V529" t="s">
        <v>10245</v>
      </c>
      <c r="W529" t="s">
        <v>10246</v>
      </c>
      <c r="X529" t="s">
        <v>2873</v>
      </c>
      <c r="Y529" t="s">
        <v>10247</v>
      </c>
      <c r="Z529" t="s">
        <v>10248</v>
      </c>
      <c r="AA529" t="s">
        <v>10249</v>
      </c>
      <c r="AB529" t="s">
        <v>10250</v>
      </c>
      <c r="AC529" t="s">
        <v>10251</v>
      </c>
      <c r="AD529" t="s">
        <v>10252</v>
      </c>
      <c r="AE529" t="s">
        <v>10253</v>
      </c>
      <c r="AF529" t="s">
        <v>74</v>
      </c>
      <c r="AG529">
        <v>57</v>
      </c>
      <c r="AH529">
        <v>70</v>
      </c>
      <c r="AI529">
        <v>79</v>
      </c>
      <c r="AJ529">
        <v>2</v>
      </c>
      <c r="AK529">
        <v>113</v>
      </c>
      <c r="AL529" t="s">
        <v>92</v>
      </c>
      <c r="AM529" t="s">
        <v>93</v>
      </c>
      <c r="AN529" t="s">
        <v>94</v>
      </c>
      <c r="AO529" t="s">
        <v>6292</v>
      </c>
      <c r="AP529" t="s">
        <v>6293</v>
      </c>
      <c r="AQ529" t="s">
        <v>74</v>
      </c>
      <c r="AR529" t="s">
        <v>6294</v>
      </c>
      <c r="AS529" t="s">
        <v>6295</v>
      </c>
      <c r="AT529" t="s">
        <v>8489</v>
      </c>
      <c r="AU529">
        <v>2014</v>
      </c>
      <c r="AV529">
        <v>23</v>
      </c>
      <c r="AW529">
        <v>14</v>
      </c>
      <c r="AX529" t="s">
        <v>74</v>
      </c>
      <c r="AY529" t="s">
        <v>74</v>
      </c>
      <c r="AZ529" t="s">
        <v>74</v>
      </c>
      <c r="BA529" t="s">
        <v>74</v>
      </c>
      <c r="BB529">
        <v>3469</v>
      </c>
      <c r="BC529">
        <v>3482</v>
      </c>
      <c r="BD529" t="s">
        <v>74</v>
      </c>
      <c r="BE529" t="s">
        <v>10254</v>
      </c>
      <c r="BF529" t="str">
        <f>HYPERLINK("http://dx.doi.org/10.1111/mec.12822","http://dx.doi.org/10.1111/mec.12822")</f>
        <v>http://dx.doi.org/10.1111/mec.12822</v>
      </c>
      <c r="BG529" t="s">
        <v>74</v>
      </c>
      <c r="BH529" t="s">
        <v>74</v>
      </c>
      <c r="BI529">
        <v>14</v>
      </c>
      <c r="BJ529" t="s">
        <v>3983</v>
      </c>
      <c r="BK529" t="s">
        <v>102</v>
      </c>
      <c r="BL529" t="s">
        <v>3984</v>
      </c>
      <c r="BM529" t="s">
        <v>10255</v>
      </c>
      <c r="BN529">
        <v>24897925</v>
      </c>
      <c r="BO529" t="s">
        <v>74</v>
      </c>
      <c r="BP529" t="s">
        <v>74</v>
      </c>
      <c r="BQ529" t="s">
        <v>74</v>
      </c>
      <c r="BR529" t="s">
        <v>105</v>
      </c>
      <c r="BS529" t="s">
        <v>10256</v>
      </c>
      <c r="BT529" t="str">
        <f>HYPERLINK("https%3A%2F%2Fwww.webofscience.com%2Fwos%2Fwoscc%2Ffull-record%2FWOS:000339389000008","View Full Record in Web of Science")</f>
        <v>View Full Record in Web of Science</v>
      </c>
    </row>
    <row r="530" spans="1:72" x14ac:dyDescent="0.15">
      <c r="A530" t="s">
        <v>72</v>
      </c>
      <c r="B530" t="s">
        <v>10257</v>
      </c>
      <c r="C530" t="s">
        <v>74</v>
      </c>
      <c r="D530" t="s">
        <v>74</v>
      </c>
      <c r="E530" t="s">
        <v>74</v>
      </c>
      <c r="F530" t="s">
        <v>10258</v>
      </c>
      <c r="G530" t="s">
        <v>74</v>
      </c>
      <c r="H530" t="s">
        <v>74</v>
      </c>
      <c r="I530" t="s">
        <v>10259</v>
      </c>
      <c r="J530" t="s">
        <v>7189</v>
      </c>
      <c r="K530" t="s">
        <v>74</v>
      </c>
      <c r="L530" t="s">
        <v>74</v>
      </c>
      <c r="M530" t="s">
        <v>78</v>
      </c>
      <c r="N530" t="s">
        <v>79</v>
      </c>
      <c r="O530" t="s">
        <v>74</v>
      </c>
      <c r="P530" t="s">
        <v>74</v>
      </c>
      <c r="Q530" t="s">
        <v>74</v>
      </c>
      <c r="R530" t="s">
        <v>74</v>
      </c>
      <c r="S530" t="s">
        <v>74</v>
      </c>
      <c r="T530" t="s">
        <v>74</v>
      </c>
      <c r="U530" t="s">
        <v>10260</v>
      </c>
      <c r="V530" t="s">
        <v>10261</v>
      </c>
      <c r="W530" t="s">
        <v>10262</v>
      </c>
      <c r="X530" t="s">
        <v>10263</v>
      </c>
      <c r="Y530" t="s">
        <v>10264</v>
      </c>
      <c r="Z530" t="s">
        <v>10265</v>
      </c>
      <c r="AA530" t="s">
        <v>10266</v>
      </c>
      <c r="AB530" t="s">
        <v>10267</v>
      </c>
      <c r="AC530" t="s">
        <v>10268</v>
      </c>
      <c r="AD530" t="s">
        <v>10269</v>
      </c>
      <c r="AE530" t="s">
        <v>10270</v>
      </c>
      <c r="AF530" t="s">
        <v>74</v>
      </c>
      <c r="AG530">
        <v>30</v>
      </c>
      <c r="AH530">
        <v>261</v>
      </c>
      <c r="AI530">
        <v>276</v>
      </c>
      <c r="AJ530">
        <v>5</v>
      </c>
      <c r="AK530">
        <v>147</v>
      </c>
      <c r="AL530" t="s">
        <v>979</v>
      </c>
      <c r="AM530" t="s">
        <v>980</v>
      </c>
      <c r="AN530" t="s">
        <v>981</v>
      </c>
      <c r="AO530" t="s">
        <v>7201</v>
      </c>
      <c r="AP530" t="s">
        <v>7202</v>
      </c>
      <c r="AQ530" t="s">
        <v>74</v>
      </c>
      <c r="AR530" t="s">
        <v>7203</v>
      </c>
      <c r="AS530" t="s">
        <v>7204</v>
      </c>
      <c r="AT530" t="s">
        <v>8489</v>
      </c>
      <c r="AU530">
        <v>2014</v>
      </c>
      <c r="AV530">
        <v>4</v>
      </c>
      <c r="AW530">
        <v>7</v>
      </c>
      <c r="AX530" t="s">
        <v>74</v>
      </c>
      <c r="AY530" t="s">
        <v>74</v>
      </c>
      <c r="AZ530" t="s">
        <v>74</v>
      </c>
      <c r="BA530" t="s">
        <v>74</v>
      </c>
      <c r="BB530">
        <v>564</v>
      </c>
      <c r="BC530">
        <v>569</v>
      </c>
      <c r="BD530" t="s">
        <v>74</v>
      </c>
      <c r="BE530" t="s">
        <v>10271</v>
      </c>
      <c r="BF530" t="str">
        <f>HYPERLINK("http://dx.doi.org/10.1038/NCLIMATE2235","http://dx.doi.org/10.1038/NCLIMATE2235")</f>
        <v>http://dx.doi.org/10.1038/NCLIMATE2235</v>
      </c>
      <c r="BG530" t="s">
        <v>74</v>
      </c>
      <c r="BH530" t="s">
        <v>74</v>
      </c>
      <c r="BI530">
        <v>6</v>
      </c>
      <c r="BJ530" t="s">
        <v>7206</v>
      </c>
      <c r="BK530" t="s">
        <v>1690</v>
      </c>
      <c r="BL530" t="s">
        <v>7207</v>
      </c>
      <c r="BM530" t="s">
        <v>10272</v>
      </c>
      <c r="BN530" t="s">
        <v>74</v>
      </c>
      <c r="BO530" t="s">
        <v>3920</v>
      </c>
      <c r="BP530" t="s">
        <v>74</v>
      </c>
      <c r="BQ530" t="s">
        <v>74</v>
      </c>
      <c r="BR530" t="s">
        <v>105</v>
      </c>
      <c r="BS530" t="s">
        <v>10273</v>
      </c>
      <c r="BT530" t="str">
        <f>HYPERLINK("https%3A%2F%2Fwww.webofscience.com%2Fwos%2Fwoscc%2Ffull-record%2FWOS:000338837400020","View Full Record in Web of Science")</f>
        <v>View Full Record in Web of Science</v>
      </c>
    </row>
    <row r="531" spans="1:72" x14ac:dyDescent="0.15">
      <c r="A531" t="s">
        <v>72</v>
      </c>
      <c r="B531" t="s">
        <v>10274</v>
      </c>
      <c r="C531" t="s">
        <v>74</v>
      </c>
      <c r="D531" t="s">
        <v>74</v>
      </c>
      <c r="E531" t="s">
        <v>74</v>
      </c>
      <c r="F531" t="s">
        <v>10275</v>
      </c>
      <c r="G531" t="s">
        <v>74</v>
      </c>
      <c r="H531" t="s">
        <v>74</v>
      </c>
      <c r="I531" t="s">
        <v>10276</v>
      </c>
      <c r="J531" t="s">
        <v>641</v>
      </c>
      <c r="K531" t="s">
        <v>74</v>
      </c>
      <c r="L531" t="s">
        <v>74</v>
      </c>
      <c r="M531" t="s">
        <v>78</v>
      </c>
      <c r="N531" t="s">
        <v>79</v>
      </c>
      <c r="O531" t="s">
        <v>74</v>
      </c>
      <c r="P531" t="s">
        <v>74</v>
      </c>
      <c r="Q531" t="s">
        <v>74</v>
      </c>
      <c r="R531" t="s">
        <v>74</v>
      </c>
      <c r="S531" t="s">
        <v>74</v>
      </c>
      <c r="T531" t="s">
        <v>74</v>
      </c>
      <c r="U531" t="s">
        <v>10277</v>
      </c>
      <c r="V531" t="s">
        <v>10278</v>
      </c>
      <c r="W531" t="s">
        <v>10279</v>
      </c>
      <c r="X531" t="s">
        <v>10280</v>
      </c>
      <c r="Y531" t="s">
        <v>10281</v>
      </c>
      <c r="Z531" t="s">
        <v>10282</v>
      </c>
      <c r="AA531" t="s">
        <v>10283</v>
      </c>
      <c r="AB531" t="s">
        <v>10284</v>
      </c>
      <c r="AC531" t="s">
        <v>10285</v>
      </c>
      <c r="AD531" t="s">
        <v>10286</v>
      </c>
      <c r="AE531" t="s">
        <v>10287</v>
      </c>
      <c r="AF531" t="s">
        <v>74</v>
      </c>
      <c r="AG531">
        <v>63</v>
      </c>
      <c r="AH531">
        <v>207</v>
      </c>
      <c r="AI531">
        <v>244</v>
      </c>
      <c r="AJ531">
        <v>6</v>
      </c>
      <c r="AK531">
        <v>155</v>
      </c>
      <c r="AL531" t="s">
        <v>653</v>
      </c>
      <c r="AM531" t="s">
        <v>654</v>
      </c>
      <c r="AN531" t="s">
        <v>655</v>
      </c>
      <c r="AO531" t="s">
        <v>656</v>
      </c>
      <c r="AP531" t="s">
        <v>74</v>
      </c>
      <c r="AQ531" t="s">
        <v>74</v>
      </c>
      <c r="AR531" t="s">
        <v>657</v>
      </c>
      <c r="AS531" t="s">
        <v>658</v>
      </c>
      <c r="AT531" t="s">
        <v>8489</v>
      </c>
      <c r="AU531">
        <v>2014</v>
      </c>
      <c r="AV531">
        <v>5</v>
      </c>
      <c r="AW531" t="s">
        <v>74</v>
      </c>
      <c r="AX531" t="s">
        <v>74</v>
      </c>
      <c r="AY531" t="s">
        <v>74</v>
      </c>
      <c r="AZ531" t="s">
        <v>74</v>
      </c>
      <c r="BA531" t="s">
        <v>74</v>
      </c>
      <c r="BB531" t="s">
        <v>74</v>
      </c>
      <c r="BC531" t="s">
        <v>74</v>
      </c>
      <c r="BD531">
        <v>4318</v>
      </c>
      <c r="BE531" t="s">
        <v>10288</v>
      </c>
      <c r="BF531" t="str">
        <f>HYPERLINK("http://dx.doi.org/10.1038/ncomms5318","http://dx.doi.org/10.1038/ncomms5318")</f>
        <v>http://dx.doi.org/10.1038/ncomms5318</v>
      </c>
      <c r="BG531" t="s">
        <v>74</v>
      </c>
      <c r="BH531" t="s">
        <v>74</v>
      </c>
      <c r="BI531">
        <v>8</v>
      </c>
      <c r="BJ531" t="s">
        <v>660</v>
      </c>
      <c r="BK531" t="s">
        <v>102</v>
      </c>
      <c r="BL531" t="s">
        <v>661</v>
      </c>
      <c r="BM531" t="s">
        <v>10289</v>
      </c>
      <c r="BN531">
        <v>25000452</v>
      </c>
      <c r="BO531" t="s">
        <v>1053</v>
      </c>
      <c r="BP531" t="s">
        <v>74</v>
      </c>
      <c r="BQ531" t="s">
        <v>74</v>
      </c>
      <c r="BR531" t="s">
        <v>105</v>
      </c>
      <c r="BS531" t="s">
        <v>10290</v>
      </c>
      <c r="BT531" t="str">
        <f>HYPERLINK("https%3A%2F%2Fwww.webofscience.com%2Fwos%2Fwoscc%2Ffull-record%2FWOS:000340615500009","View Full Record in Web of Science")</f>
        <v>View Full Record in Web of Science</v>
      </c>
    </row>
    <row r="532" spans="1:72" x14ac:dyDescent="0.15">
      <c r="A532" t="s">
        <v>72</v>
      </c>
      <c r="B532" t="s">
        <v>10291</v>
      </c>
      <c r="C532" t="s">
        <v>74</v>
      </c>
      <c r="D532" t="s">
        <v>74</v>
      </c>
      <c r="E532" t="s">
        <v>74</v>
      </c>
      <c r="F532" t="s">
        <v>10292</v>
      </c>
      <c r="G532" t="s">
        <v>74</v>
      </c>
      <c r="H532" t="s">
        <v>74</v>
      </c>
      <c r="I532" t="s">
        <v>10293</v>
      </c>
      <c r="J532" t="s">
        <v>10294</v>
      </c>
      <c r="K532" t="s">
        <v>74</v>
      </c>
      <c r="L532" t="s">
        <v>74</v>
      </c>
      <c r="M532" t="s">
        <v>78</v>
      </c>
      <c r="N532" t="s">
        <v>52</v>
      </c>
      <c r="O532" t="s">
        <v>74</v>
      </c>
      <c r="P532" t="s">
        <v>74</v>
      </c>
      <c r="Q532" t="s">
        <v>74</v>
      </c>
      <c r="R532" t="s">
        <v>74</v>
      </c>
      <c r="S532" t="s">
        <v>74</v>
      </c>
      <c r="T532" t="s">
        <v>74</v>
      </c>
      <c r="U532" t="s">
        <v>74</v>
      </c>
      <c r="V532" t="s">
        <v>74</v>
      </c>
      <c r="W532" t="s">
        <v>10295</v>
      </c>
      <c r="X532" t="s">
        <v>10296</v>
      </c>
      <c r="Y532" t="s">
        <v>74</v>
      </c>
      <c r="Z532" t="s">
        <v>74</v>
      </c>
      <c r="AA532" t="s">
        <v>10297</v>
      </c>
      <c r="AB532" t="s">
        <v>10298</v>
      </c>
      <c r="AC532" t="s">
        <v>74</v>
      </c>
      <c r="AD532" t="s">
        <v>74</v>
      </c>
      <c r="AE532" t="s">
        <v>74</v>
      </c>
      <c r="AF532" t="s">
        <v>74</v>
      </c>
      <c r="AG532">
        <v>0</v>
      </c>
      <c r="AH532">
        <v>0</v>
      </c>
      <c r="AI532">
        <v>0</v>
      </c>
      <c r="AJ532">
        <v>0</v>
      </c>
      <c r="AK532">
        <v>12</v>
      </c>
      <c r="AL532" t="s">
        <v>123</v>
      </c>
      <c r="AM532" t="s">
        <v>124</v>
      </c>
      <c r="AN532" t="s">
        <v>125</v>
      </c>
      <c r="AO532" t="s">
        <v>10299</v>
      </c>
      <c r="AP532" t="s">
        <v>10300</v>
      </c>
      <c r="AQ532" t="s">
        <v>74</v>
      </c>
      <c r="AR532" t="s">
        <v>10301</v>
      </c>
      <c r="AS532" t="s">
        <v>10302</v>
      </c>
      <c r="AT532" t="s">
        <v>8489</v>
      </c>
      <c r="AU532">
        <v>2014</v>
      </c>
      <c r="AV532">
        <v>31</v>
      </c>
      <c r="AW532" t="s">
        <v>74</v>
      </c>
      <c r="AX532" t="s">
        <v>74</v>
      </c>
      <c r="AY532" t="s">
        <v>1792</v>
      </c>
      <c r="AZ532" t="s">
        <v>74</v>
      </c>
      <c r="BA532" t="s">
        <v>10303</v>
      </c>
      <c r="BB532" t="s">
        <v>10304</v>
      </c>
      <c r="BC532" t="s">
        <v>10305</v>
      </c>
      <c r="BD532" t="s">
        <v>74</v>
      </c>
      <c r="BE532" t="s">
        <v>10306</v>
      </c>
      <c r="BF532" t="str">
        <f>HYPERLINK("http://dx.doi.org/10.1016/j.nbt.2014.05.1771","http://dx.doi.org/10.1016/j.nbt.2014.05.1771")</f>
        <v>http://dx.doi.org/10.1016/j.nbt.2014.05.1771</v>
      </c>
      <c r="BG532" t="s">
        <v>74</v>
      </c>
      <c r="BH532" t="s">
        <v>74</v>
      </c>
      <c r="BI532">
        <v>2</v>
      </c>
      <c r="BJ532" t="s">
        <v>10307</v>
      </c>
      <c r="BK532" t="s">
        <v>102</v>
      </c>
      <c r="BL532" t="s">
        <v>10308</v>
      </c>
      <c r="BM532" t="s">
        <v>10309</v>
      </c>
      <c r="BN532" t="s">
        <v>74</v>
      </c>
      <c r="BO532" t="s">
        <v>74</v>
      </c>
      <c r="BP532" t="s">
        <v>74</v>
      </c>
      <c r="BQ532" t="s">
        <v>74</v>
      </c>
      <c r="BR532" t="s">
        <v>105</v>
      </c>
      <c r="BS532" t="s">
        <v>10310</v>
      </c>
      <c r="BT532" t="str">
        <f>HYPERLINK("https%3A%2F%2Fwww.webofscience.com%2Fwos%2Fwoscc%2Ffull-record%2FWOS:000347298600158","View Full Record in Web of Science")</f>
        <v>View Full Record in Web of Science</v>
      </c>
    </row>
    <row r="533" spans="1:72" x14ac:dyDescent="0.15">
      <c r="A533" t="s">
        <v>72</v>
      </c>
      <c r="B533" t="s">
        <v>10311</v>
      </c>
      <c r="C533" t="s">
        <v>74</v>
      </c>
      <c r="D533" t="s">
        <v>74</v>
      </c>
      <c r="E533" t="s">
        <v>74</v>
      </c>
      <c r="F533" t="s">
        <v>10312</v>
      </c>
      <c r="G533" t="s">
        <v>74</v>
      </c>
      <c r="H533" t="s">
        <v>74</v>
      </c>
      <c r="I533" t="s">
        <v>10313</v>
      </c>
      <c r="J533" t="s">
        <v>692</v>
      </c>
      <c r="K533" t="s">
        <v>74</v>
      </c>
      <c r="L533" t="s">
        <v>74</v>
      </c>
      <c r="M533" t="s">
        <v>78</v>
      </c>
      <c r="N533" t="s">
        <v>79</v>
      </c>
      <c r="O533" t="s">
        <v>74</v>
      </c>
      <c r="P533" t="s">
        <v>74</v>
      </c>
      <c r="Q533" t="s">
        <v>74</v>
      </c>
      <c r="R533" t="s">
        <v>74</v>
      </c>
      <c r="S533" t="s">
        <v>74</v>
      </c>
      <c r="T533" t="s">
        <v>10314</v>
      </c>
      <c r="U533" t="s">
        <v>10315</v>
      </c>
      <c r="V533" t="s">
        <v>10316</v>
      </c>
      <c r="W533" t="s">
        <v>10317</v>
      </c>
      <c r="X533" t="s">
        <v>10318</v>
      </c>
      <c r="Y533" t="s">
        <v>10319</v>
      </c>
      <c r="Z533" t="s">
        <v>10320</v>
      </c>
      <c r="AA533" t="s">
        <v>10321</v>
      </c>
      <c r="AB533" t="s">
        <v>10322</v>
      </c>
      <c r="AC533" t="s">
        <v>10323</v>
      </c>
      <c r="AD533" t="s">
        <v>10324</v>
      </c>
      <c r="AE533" t="s">
        <v>10325</v>
      </c>
      <c r="AF533" t="s">
        <v>74</v>
      </c>
      <c r="AG533">
        <v>35</v>
      </c>
      <c r="AH533">
        <v>30</v>
      </c>
      <c r="AI533">
        <v>33</v>
      </c>
      <c r="AJ533">
        <v>2</v>
      </c>
      <c r="AK533">
        <v>19</v>
      </c>
      <c r="AL533" t="s">
        <v>601</v>
      </c>
      <c r="AM533" t="s">
        <v>251</v>
      </c>
      <c r="AN533" t="s">
        <v>602</v>
      </c>
      <c r="AO533" t="s">
        <v>705</v>
      </c>
      <c r="AP533" t="s">
        <v>706</v>
      </c>
      <c r="AQ533" t="s">
        <v>74</v>
      </c>
      <c r="AR533" t="s">
        <v>707</v>
      </c>
      <c r="AS533" t="s">
        <v>708</v>
      </c>
      <c r="AT533" t="s">
        <v>8489</v>
      </c>
      <c r="AU533">
        <v>2014</v>
      </c>
      <c r="AV533">
        <v>79</v>
      </c>
      <c r="AW533" t="s">
        <v>74</v>
      </c>
      <c r="AX533" t="s">
        <v>74</v>
      </c>
      <c r="AY533" t="s">
        <v>74</v>
      </c>
      <c r="AZ533" t="s">
        <v>74</v>
      </c>
      <c r="BA533" t="s">
        <v>74</v>
      </c>
      <c r="BB533">
        <v>33</v>
      </c>
      <c r="BC533">
        <v>42</v>
      </c>
      <c r="BD533" t="s">
        <v>74</v>
      </c>
      <c r="BE533" t="s">
        <v>10326</v>
      </c>
      <c r="BF533" t="str">
        <f>HYPERLINK("http://dx.doi.org/10.1016/j.ocemod.2014.04.004","http://dx.doi.org/10.1016/j.ocemod.2014.04.004")</f>
        <v>http://dx.doi.org/10.1016/j.ocemod.2014.04.004</v>
      </c>
      <c r="BG533" t="s">
        <v>74</v>
      </c>
      <c r="BH533" t="s">
        <v>74</v>
      </c>
      <c r="BI533">
        <v>10</v>
      </c>
      <c r="BJ533" t="s">
        <v>710</v>
      </c>
      <c r="BK533" t="s">
        <v>102</v>
      </c>
      <c r="BL533" t="s">
        <v>710</v>
      </c>
      <c r="BM533" t="s">
        <v>10327</v>
      </c>
      <c r="BN533" t="s">
        <v>74</v>
      </c>
      <c r="BO533" t="s">
        <v>359</v>
      </c>
      <c r="BP533" t="s">
        <v>74</v>
      </c>
      <c r="BQ533" t="s">
        <v>74</v>
      </c>
      <c r="BR533" t="s">
        <v>105</v>
      </c>
      <c r="BS533" t="s">
        <v>10328</v>
      </c>
      <c r="BT533" t="str">
        <f>HYPERLINK("https%3A%2F%2Fwww.webofscience.com%2Fwos%2Fwoscc%2Ffull-record%2FWOS:000336669400003","View Full Record in Web of Science")</f>
        <v>View Full Record in Web of Science</v>
      </c>
    </row>
    <row r="534" spans="1:72" x14ac:dyDescent="0.15">
      <c r="A534" t="s">
        <v>72</v>
      </c>
      <c r="B534" t="s">
        <v>10329</v>
      </c>
      <c r="C534" t="s">
        <v>74</v>
      </c>
      <c r="D534" t="s">
        <v>74</v>
      </c>
      <c r="E534" t="s">
        <v>74</v>
      </c>
      <c r="F534" t="s">
        <v>10330</v>
      </c>
      <c r="G534" t="s">
        <v>74</v>
      </c>
      <c r="H534" t="s">
        <v>74</v>
      </c>
      <c r="I534" t="s">
        <v>10331</v>
      </c>
      <c r="J534" t="s">
        <v>8637</v>
      </c>
      <c r="K534" t="s">
        <v>74</v>
      </c>
      <c r="L534" t="s">
        <v>74</v>
      </c>
      <c r="M534" t="s">
        <v>78</v>
      </c>
      <c r="N534" t="s">
        <v>1516</v>
      </c>
      <c r="O534" t="s">
        <v>74</v>
      </c>
      <c r="P534" t="s">
        <v>74</v>
      </c>
      <c r="Q534" t="s">
        <v>74</v>
      </c>
      <c r="R534" t="s">
        <v>74</v>
      </c>
      <c r="S534" t="s">
        <v>74</v>
      </c>
      <c r="T534" t="s">
        <v>74</v>
      </c>
      <c r="U534" t="s">
        <v>74</v>
      </c>
      <c r="V534" t="s">
        <v>74</v>
      </c>
      <c r="W534" t="s">
        <v>74</v>
      </c>
      <c r="X534" t="s">
        <v>74</v>
      </c>
      <c r="Y534" t="s">
        <v>74</v>
      </c>
      <c r="Z534" t="s">
        <v>74</v>
      </c>
      <c r="AA534" t="s">
        <v>74</v>
      </c>
      <c r="AB534" t="s">
        <v>74</v>
      </c>
      <c r="AC534" t="s">
        <v>74</v>
      </c>
      <c r="AD534" t="s">
        <v>74</v>
      </c>
      <c r="AE534" t="s">
        <v>74</v>
      </c>
      <c r="AF534" t="s">
        <v>74</v>
      </c>
      <c r="AG534">
        <v>7</v>
      </c>
      <c r="AH534">
        <v>3</v>
      </c>
      <c r="AI534">
        <v>3</v>
      </c>
      <c r="AJ534">
        <v>0</v>
      </c>
      <c r="AK534">
        <v>3</v>
      </c>
      <c r="AL534" t="s">
        <v>8645</v>
      </c>
      <c r="AM534" t="s">
        <v>526</v>
      </c>
      <c r="AN534" t="s">
        <v>8646</v>
      </c>
      <c r="AO534" t="s">
        <v>8647</v>
      </c>
      <c r="AP534" t="s">
        <v>8648</v>
      </c>
      <c r="AQ534" t="s">
        <v>74</v>
      </c>
      <c r="AR534" t="s">
        <v>8649</v>
      </c>
      <c r="AS534" t="s">
        <v>8650</v>
      </c>
      <c r="AT534" t="s">
        <v>8489</v>
      </c>
      <c r="AU534">
        <v>2014</v>
      </c>
      <c r="AV534">
        <v>67</v>
      </c>
      <c r="AW534">
        <v>7</v>
      </c>
      <c r="AX534" t="s">
        <v>74</v>
      </c>
      <c r="AY534" t="s">
        <v>74</v>
      </c>
      <c r="AZ534" t="s">
        <v>74</v>
      </c>
      <c r="BA534" t="s">
        <v>74</v>
      </c>
      <c r="BB534">
        <v>10</v>
      </c>
      <c r="BC534">
        <v>12</v>
      </c>
      <c r="BD534" t="s">
        <v>74</v>
      </c>
      <c r="BE534" t="s">
        <v>10332</v>
      </c>
      <c r="BF534" t="str">
        <f>HYPERLINK("http://dx.doi.org/10.1063/PT.3.2434","http://dx.doi.org/10.1063/PT.3.2434")</f>
        <v>http://dx.doi.org/10.1063/PT.3.2434</v>
      </c>
      <c r="BG534" t="s">
        <v>74</v>
      </c>
      <c r="BH534" t="s">
        <v>74</v>
      </c>
      <c r="BI534">
        <v>3</v>
      </c>
      <c r="BJ534" t="s">
        <v>1812</v>
      </c>
      <c r="BK534" t="s">
        <v>102</v>
      </c>
      <c r="BL534" t="s">
        <v>1813</v>
      </c>
      <c r="BM534" t="s">
        <v>8652</v>
      </c>
      <c r="BN534" t="s">
        <v>74</v>
      </c>
      <c r="BO534" t="s">
        <v>74</v>
      </c>
      <c r="BP534" t="s">
        <v>74</v>
      </c>
      <c r="BQ534" t="s">
        <v>74</v>
      </c>
      <c r="BR534" t="s">
        <v>105</v>
      </c>
      <c r="BS534" t="s">
        <v>10333</v>
      </c>
      <c r="BT534" t="str">
        <f>HYPERLINK("https%3A%2F%2Fwww.webofscience.com%2Fwos%2Fwoscc%2Ffull-record%2FWOS:000341448200008","View Full Record in Web of Science")</f>
        <v>View Full Record in Web of Science</v>
      </c>
    </row>
    <row r="535" spans="1:72" x14ac:dyDescent="0.15">
      <c r="A535" t="s">
        <v>72</v>
      </c>
      <c r="B535" t="s">
        <v>10334</v>
      </c>
      <c r="C535" t="s">
        <v>74</v>
      </c>
      <c r="D535" t="s">
        <v>74</v>
      </c>
      <c r="E535" t="s">
        <v>74</v>
      </c>
      <c r="F535" t="s">
        <v>10335</v>
      </c>
      <c r="G535" t="s">
        <v>74</v>
      </c>
      <c r="H535" t="s">
        <v>74</v>
      </c>
      <c r="I535" t="s">
        <v>10336</v>
      </c>
      <c r="J535" t="s">
        <v>765</v>
      </c>
      <c r="K535" t="s">
        <v>74</v>
      </c>
      <c r="L535" t="s">
        <v>74</v>
      </c>
      <c r="M535" t="s">
        <v>78</v>
      </c>
      <c r="N535" t="s">
        <v>79</v>
      </c>
      <c r="O535" t="s">
        <v>74</v>
      </c>
      <c r="P535" t="s">
        <v>74</v>
      </c>
      <c r="Q535" t="s">
        <v>74</v>
      </c>
      <c r="R535" t="s">
        <v>74</v>
      </c>
      <c r="S535" t="s">
        <v>74</v>
      </c>
      <c r="T535" t="s">
        <v>10337</v>
      </c>
      <c r="U535" t="s">
        <v>10338</v>
      </c>
      <c r="V535" t="s">
        <v>10339</v>
      </c>
      <c r="W535" t="s">
        <v>10340</v>
      </c>
      <c r="X535" t="s">
        <v>10341</v>
      </c>
      <c r="Y535" t="s">
        <v>10342</v>
      </c>
      <c r="Z535" t="s">
        <v>595</v>
      </c>
      <c r="AA535" t="s">
        <v>10343</v>
      </c>
      <c r="AB535" t="s">
        <v>10344</v>
      </c>
      <c r="AC535" t="s">
        <v>10345</v>
      </c>
      <c r="AD535" t="s">
        <v>10346</v>
      </c>
      <c r="AE535" t="s">
        <v>10347</v>
      </c>
      <c r="AF535" t="s">
        <v>74</v>
      </c>
      <c r="AG535">
        <v>88</v>
      </c>
      <c r="AH535">
        <v>10</v>
      </c>
      <c r="AI535">
        <v>11</v>
      </c>
      <c r="AJ535">
        <v>1</v>
      </c>
      <c r="AK535">
        <v>21</v>
      </c>
      <c r="AL535" t="s">
        <v>224</v>
      </c>
      <c r="AM535" t="s">
        <v>576</v>
      </c>
      <c r="AN535" t="s">
        <v>778</v>
      </c>
      <c r="AO535" t="s">
        <v>779</v>
      </c>
      <c r="AP535" t="s">
        <v>780</v>
      </c>
      <c r="AQ535" t="s">
        <v>74</v>
      </c>
      <c r="AR535" t="s">
        <v>781</v>
      </c>
      <c r="AS535" t="s">
        <v>782</v>
      </c>
      <c r="AT535" t="s">
        <v>8489</v>
      </c>
      <c r="AU535">
        <v>2014</v>
      </c>
      <c r="AV535">
        <v>37</v>
      </c>
      <c r="AW535">
        <v>7</v>
      </c>
      <c r="AX535" t="s">
        <v>74</v>
      </c>
      <c r="AY535" t="s">
        <v>74</v>
      </c>
      <c r="AZ535" t="s">
        <v>74</v>
      </c>
      <c r="BA535" t="s">
        <v>74</v>
      </c>
      <c r="BB535">
        <v>1017</v>
      </c>
      <c r="BC535">
        <v>1030</v>
      </c>
      <c r="BD535" t="s">
        <v>74</v>
      </c>
      <c r="BE535" t="s">
        <v>10348</v>
      </c>
      <c r="BF535" t="str">
        <f>HYPERLINK("http://dx.doi.org/10.1007/s00300-014-1497-7","http://dx.doi.org/10.1007/s00300-014-1497-7")</f>
        <v>http://dx.doi.org/10.1007/s00300-014-1497-7</v>
      </c>
      <c r="BG535" t="s">
        <v>74</v>
      </c>
      <c r="BH535" t="s">
        <v>74</v>
      </c>
      <c r="BI535">
        <v>14</v>
      </c>
      <c r="BJ535" t="s">
        <v>784</v>
      </c>
      <c r="BK535" t="s">
        <v>102</v>
      </c>
      <c r="BL535" t="s">
        <v>785</v>
      </c>
      <c r="BM535" t="s">
        <v>9350</v>
      </c>
      <c r="BN535" t="s">
        <v>74</v>
      </c>
      <c r="BO535" t="s">
        <v>74</v>
      </c>
      <c r="BP535" t="s">
        <v>74</v>
      </c>
      <c r="BQ535" t="s">
        <v>74</v>
      </c>
      <c r="BR535" t="s">
        <v>105</v>
      </c>
      <c r="BS535" t="s">
        <v>10349</v>
      </c>
      <c r="BT535" t="str">
        <f>HYPERLINK("https%3A%2F%2Fwww.webofscience.com%2Fwos%2Fwoscc%2Ffull-record%2FWOS:000338278300008","View Full Record in Web of Science")</f>
        <v>View Full Record in Web of Science</v>
      </c>
    </row>
    <row r="536" spans="1:72" x14ac:dyDescent="0.15">
      <c r="A536" t="s">
        <v>72</v>
      </c>
      <c r="B536" t="s">
        <v>10350</v>
      </c>
      <c r="C536" t="s">
        <v>74</v>
      </c>
      <c r="D536" t="s">
        <v>74</v>
      </c>
      <c r="E536" t="s">
        <v>74</v>
      </c>
      <c r="F536" t="s">
        <v>10351</v>
      </c>
      <c r="G536" t="s">
        <v>74</v>
      </c>
      <c r="H536" t="s">
        <v>74</v>
      </c>
      <c r="I536" t="s">
        <v>10352</v>
      </c>
      <c r="J536" t="s">
        <v>5511</v>
      </c>
      <c r="K536" t="s">
        <v>74</v>
      </c>
      <c r="L536" t="s">
        <v>74</v>
      </c>
      <c r="M536" t="s">
        <v>78</v>
      </c>
      <c r="N536" t="s">
        <v>185</v>
      </c>
      <c r="O536" t="s">
        <v>74</v>
      </c>
      <c r="P536" t="s">
        <v>74</v>
      </c>
      <c r="Q536" t="s">
        <v>74</v>
      </c>
      <c r="R536" t="s">
        <v>74</v>
      </c>
      <c r="S536" t="s">
        <v>74</v>
      </c>
      <c r="T536" t="s">
        <v>10353</v>
      </c>
      <c r="U536" t="s">
        <v>10354</v>
      </c>
      <c r="V536" t="s">
        <v>10355</v>
      </c>
      <c r="W536" t="s">
        <v>10356</v>
      </c>
      <c r="X536" t="s">
        <v>10357</v>
      </c>
      <c r="Y536" t="s">
        <v>10358</v>
      </c>
      <c r="Z536" t="s">
        <v>10359</v>
      </c>
      <c r="AA536" t="s">
        <v>10360</v>
      </c>
      <c r="AB536" t="s">
        <v>10361</v>
      </c>
      <c r="AC536" t="s">
        <v>10362</v>
      </c>
      <c r="AD536" t="s">
        <v>10363</v>
      </c>
      <c r="AE536" t="s">
        <v>10364</v>
      </c>
      <c r="AF536" t="s">
        <v>74</v>
      </c>
      <c r="AG536">
        <v>173</v>
      </c>
      <c r="AH536">
        <v>29</v>
      </c>
      <c r="AI536">
        <v>33</v>
      </c>
      <c r="AJ536">
        <v>3</v>
      </c>
      <c r="AK536">
        <v>68</v>
      </c>
      <c r="AL536" t="s">
        <v>196</v>
      </c>
      <c r="AM536" t="s">
        <v>197</v>
      </c>
      <c r="AN536" t="s">
        <v>198</v>
      </c>
      <c r="AO536" t="s">
        <v>74</v>
      </c>
      <c r="AP536" t="s">
        <v>5526</v>
      </c>
      <c r="AQ536" t="s">
        <v>74</v>
      </c>
      <c r="AR536" t="s">
        <v>5527</v>
      </c>
      <c r="AS536" t="s">
        <v>5528</v>
      </c>
      <c r="AT536" t="s">
        <v>8489</v>
      </c>
      <c r="AU536">
        <v>2014</v>
      </c>
      <c r="AV536">
        <v>6</v>
      </c>
      <c r="AW536">
        <v>7</v>
      </c>
      <c r="AX536" t="s">
        <v>74</v>
      </c>
      <c r="AY536" t="s">
        <v>74</v>
      </c>
      <c r="AZ536" t="s">
        <v>74</v>
      </c>
      <c r="BA536" t="s">
        <v>74</v>
      </c>
      <c r="BB536">
        <v>6183</v>
      </c>
      <c r="BC536">
        <v>6220</v>
      </c>
      <c r="BD536" t="s">
        <v>74</v>
      </c>
      <c r="BE536" t="s">
        <v>10365</v>
      </c>
      <c r="BF536" t="str">
        <f>HYPERLINK("http://dx.doi.org/10.3390/rs6076183","http://dx.doi.org/10.3390/rs6076183")</f>
        <v>http://dx.doi.org/10.3390/rs6076183</v>
      </c>
      <c r="BG536" t="s">
        <v>74</v>
      </c>
      <c r="BH536" t="s">
        <v>74</v>
      </c>
      <c r="BI536">
        <v>38</v>
      </c>
      <c r="BJ536" t="s">
        <v>5530</v>
      </c>
      <c r="BK536" t="s">
        <v>102</v>
      </c>
      <c r="BL536" t="s">
        <v>5531</v>
      </c>
      <c r="BM536" t="s">
        <v>10366</v>
      </c>
      <c r="BN536" t="s">
        <v>74</v>
      </c>
      <c r="BO536" t="s">
        <v>10367</v>
      </c>
      <c r="BP536" t="s">
        <v>74</v>
      </c>
      <c r="BQ536" t="s">
        <v>74</v>
      </c>
      <c r="BR536" t="s">
        <v>105</v>
      </c>
      <c r="BS536" t="s">
        <v>10368</v>
      </c>
      <c r="BT536" t="str">
        <f>HYPERLINK("https%3A%2F%2Fwww.webofscience.com%2Fwos%2Fwoscc%2Ffull-record%2FWOS:000340038700014","View Full Record in Web of Science")</f>
        <v>View Full Record in Web of Science</v>
      </c>
    </row>
    <row r="537" spans="1:72" x14ac:dyDescent="0.15">
      <c r="A537" t="s">
        <v>72</v>
      </c>
      <c r="B537" t="s">
        <v>10369</v>
      </c>
      <c r="C537" t="s">
        <v>74</v>
      </c>
      <c r="D537" t="s">
        <v>74</v>
      </c>
      <c r="E537" t="s">
        <v>74</v>
      </c>
      <c r="F537" t="s">
        <v>10370</v>
      </c>
      <c r="G537" t="s">
        <v>74</v>
      </c>
      <c r="H537" t="s">
        <v>74</v>
      </c>
      <c r="I537" t="s">
        <v>10371</v>
      </c>
      <c r="J537" t="s">
        <v>7357</v>
      </c>
      <c r="K537" t="s">
        <v>74</v>
      </c>
      <c r="L537" t="s">
        <v>74</v>
      </c>
      <c r="M537" t="s">
        <v>78</v>
      </c>
      <c r="N537" t="s">
        <v>79</v>
      </c>
      <c r="O537" t="s">
        <v>74</v>
      </c>
      <c r="P537" t="s">
        <v>74</v>
      </c>
      <c r="Q537" t="s">
        <v>74</v>
      </c>
      <c r="R537" t="s">
        <v>74</v>
      </c>
      <c r="S537" t="s">
        <v>74</v>
      </c>
      <c r="T537" t="s">
        <v>10372</v>
      </c>
      <c r="U537" t="s">
        <v>10373</v>
      </c>
      <c r="V537" t="s">
        <v>10374</v>
      </c>
      <c r="W537" t="s">
        <v>10375</v>
      </c>
      <c r="X537" t="s">
        <v>10376</v>
      </c>
      <c r="Y537" t="s">
        <v>10377</v>
      </c>
      <c r="Z537" t="s">
        <v>10378</v>
      </c>
      <c r="AA537" t="s">
        <v>10379</v>
      </c>
      <c r="AB537" t="s">
        <v>10380</v>
      </c>
      <c r="AC537" t="s">
        <v>10381</v>
      </c>
      <c r="AD537" t="s">
        <v>10382</v>
      </c>
      <c r="AE537" t="s">
        <v>10383</v>
      </c>
      <c r="AF537" t="s">
        <v>74</v>
      </c>
      <c r="AG537">
        <v>67</v>
      </c>
      <c r="AH537">
        <v>28</v>
      </c>
      <c r="AI537">
        <v>33</v>
      </c>
      <c r="AJ537">
        <v>0</v>
      </c>
      <c r="AK537">
        <v>36</v>
      </c>
      <c r="AL537" t="s">
        <v>753</v>
      </c>
      <c r="AM537" t="s">
        <v>124</v>
      </c>
      <c r="AN537" t="s">
        <v>754</v>
      </c>
      <c r="AO537" t="s">
        <v>7370</v>
      </c>
      <c r="AP537" t="s">
        <v>7371</v>
      </c>
      <c r="AQ537" t="s">
        <v>74</v>
      </c>
      <c r="AR537" t="s">
        <v>7372</v>
      </c>
      <c r="AS537" t="s">
        <v>7373</v>
      </c>
      <c r="AT537" t="s">
        <v>8489</v>
      </c>
      <c r="AU537">
        <v>2014</v>
      </c>
      <c r="AV537">
        <v>206</v>
      </c>
      <c r="AW537" t="s">
        <v>74</v>
      </c>
      <c r="AX537" t="s">
        <v>74</v>
      </c>
      <c r="AY537" t="s">
        <v>74</v>
      </c>
      <c r="AZ537" t="s">
        <v>74</v>
      </c>
      <c r="BA537" t="s">
        <v>74</v>
      </c>
      <c r="BB537">
        <v>1</v>
      </c>
      <c r="BC537">
        <v>9</v>
      </c>
      <c r="BD537" t="s">
        <v>74</v>
      </c>
      <c r="BE537" t="s">
        <v>10384</v>
      </c>
      <c r="BF537" t="str">
        <f>HYPERLINK("http://dx.doi.org/10.1016/j.revpalbo.2014.03.001","http://dx.doi.org/10.1016/j.revpalbo.2014.03.001")</f>
        <v>http://dx.doi.org/10.1016/j.revpalbo.2014.03.001</v>
      </c>
      <c r="BG537" t="s">
        <v>74</v>
      </c>
      <c r="BH537" t="s">
        <v>74</v>
      </c>
      <c r="BI537">
        <v>9</v>
      </c>
      <c r="BJ537" t="s">
        <v>7375</v>
      </c>
      <c r="BK537" t="s">
        <v>102</v>
      </c>
      <c r="BL537" t="s">
        <v>7375</v>
      </c>
      <c r="BM537" t="s">
        <v>10385</v>
      </c>
      <c r="BN537" t="s">
        <v>74</v>
      </c>
      <c r="BO537" t="s">
        <v>74</v>
      </c>
      <c r="BP537" t="s">
        <v>74</v>
      </c>
      <c r="BQ537" t="s">
        <v>74</v>
      </c>
      <c r="BR537" t="s">
        <v>105</v>
      </c>
      <c r="BS537" t="s">
        <v>10386</v>
      </c>
      <c r="BT537" t="str">
        <f>HYPERLINK("https%3A%2F%2Fwww.webofscience.com%2Fwos%2Fwoscc%2Ffull-record%2FWOS:000336355900001","View Full Record in Web of Science")</f>
        <v>View Full Record in Web of Science</v>
      </c>
    </row>
    <row r="538" spans="1:72" x14ac:dyDescent="0.15">
      <c r="A538" t="s">
        <v>72</v>
      </c>
      <c r="B538" t="s">
        <v>10387</v>
      </c>
      <c r="C538" t="s">
        <v>74</v>
      </c>
      <c r="D538" t="s">
        <v>74</v>
      </c>
      <c r="E538" t="s">
        <v>74</v>
      </c>
      <c r="F538" t="s">
        <v>10388</v>
      </c>
      <c r="G538" t="s">
        <v>74</v>
      </c>
      <c r="H538" t="s">
        <v>74</v>
      </c>
      <c r="I538" t="s">
        <v>10389</v>
      </c>
      <c r="J538" t="s">
        <v>849</v>
      </c>
      <c r="K538" t="s">
        <v>74</v>
      </c>
      <c r="L538" t="s">
        <v>74</v>
      </c>
      <c r="M538" t="s">
        <v>850</v>
      </c>
      <c r="N538" t="s">
        <v>79</v>
      </c>
      <c r="O538" t="s">
        <v>74</v>
      </c>
      <c r="P538" t="s">
        <v>74</v>
      </c>
      <c r="Q538" t="s">
        <v>74</v>
      </c>
      <c r="R538" t="s">
        <v>74</v>
      </c>
      <c r="S538" t="s">
        <v>74</v>
      </c>
      <c r="T538" t="s">
        <v>10390</v>
      </c>
      <c r="U538" t="s">
        <v>74</v>
      </c>
      <c r="V538" t="s">
        <v>10391</v>
      </c>
      <c r="W538" t="s">
        <v>74</v>
      </c>
      <c r="X538" t="s">
        <v>74</v>
      </c>
      <c r="Y538" t="s">
        <v>74</v>
      </c>
      <c r="Z538" t="s">
        <v>10392</v>
      </c>
      <c r="AA538" t="s">
        <v>74</v>
      </c>
      <c r="AB538" t="s">
        <v>74</v>
      </c>
      <c r="AC538" t="s">
        <v>74</v>
      </c>
      <c r="AD538" t="s">
        <v>74</v>
      </c>
      <c r="AE538" t="s">
        <v>74</v>
      </c>
      <c r="AF538" t="s">
        <v>74</v>
      </c>
      <c r="AG538">
        <v>10</v>
      </c>
      <c r="AH538">
        <v>0</v>
      </c>
      <c r="AI538">
        <v>0</v>
      </c>
      <c r="AJ538">
        <v>0</v>
      </c>
      <c r="AK538">
        <v>0</v>
      </c>
      <c r="AL538" t="s">
        <v>857</v>
      </c>
      <c r="AM538" t="s">
        <v>858</v>
      </c>
      <c r="AN538" t="s">
        <v>859</v>
      </c>
      <c r="AO538" t="s">
        <v>860</v>
      </c>
      <c r="AP538" t="s">
        <v>74</v>
      </c>
      <c r="AQ538" t="s">
        <v>74</v>
      </c>
      <c r="AR538" t="s">
        <v>861</v>
      </c>
      <c r="AS538" t="s">
        <v>862</v>
      </c>
      <c r="AT538" t="s">
        <v>8548</v>
      </c>
      <c r="AU538">
        <v>2014</v>
      </c>
      <c r="AV538">
        <v>5</v>
      </c>
      <c r="AW538">
        <v>3</v>
      </c>
      <c r="AX538" t="s">
        <v>74</v>
      </c>
      <c r="AY538" t="s">
        <v>74</v>
      </c>
      <c r="AZ538" t="s">
        <v>74</v>
      </c>
      <c r="BA538" t="s">
        <v>74</v>
      </c>
      <c r="BB538">
        <v>1</v>
      </c>
      <c r="BC538">
        <v>10</v>
      </c>
      <c r="BD538" t="s">
        <v>74</v>
      </c>
      <c r="BE538" t="s">
        <v>74</v>
      </c>
      <c r="BF538" t="s">
        <v>74</v>
      </c>
      <c r="BG538" t="s">
        <v>74</v>
      </c>
      <c r="BH538" t="s">
        <v>74</v>
      </c>
      <c r="BI538">
        <v>10</v>
      </c>
      <c r="BJ538" t="s">
        <v>864</v>
      </c>
      <c r="BK538" t="s">
        <v>488</v>
      </c>
      <c r="BL538" t="s">
        <v>864</v>
      </c>
      <c r="BM538" t="s">
        <v>10393</v>
      </c>
      <c r="BN538" t="s">
        <v>74</v>
      </c>
      <c r="BO538" t="s">
        <v>74</v>
      </c>
      <c r="BP538" t="s">
        <v>74</v>
      </c>
      <c r="BQ538" t="s">
        <v>74</v>
      </c>
      <c r="BR538" t="s">
        <v>105</v>
      </c>
      <c r="BS538" t="s">
        <v>10394</v>
      </c>
      <c r="BT538" t="str">
        <f>HYPERLINK("https%3A%2F%2Fwww.webofscience.com%2Fwos%2Fwoscc%2Ffull-record%2FWOS:000215960400001","View Full Record in Web of Science")</f>
        <v>View Full Record in Web of Science</v>
      </c>
    </row>
    <row r="539" spans="1:72" x14ac:dyDescent="0.15">
      <c r="A539" t="s">
        <v>72</v>
      </c>
      <c r="B539" t="s">
        <v>10395</v>
      </c>
      <c r="C539" t="s">
        <v>74</v>
      </c>
      <c r="D539" t="s">
        <v>74</v>
      </c>
      <c r="E539" t="s">
        <v>74</v>
      </c>
      <c r="F539" t="s">
        <v>10396</v>
      </c>
      <c r="G539" t="s">
        <v>74</v>
      </c>
      <c r="H539" t="s">
        <v>74</v>
      </c>
      <c r="I539" t="s">
        <v>10397</v>
      </c>
      <c r="J539" t="s">
        <v>849</v>
      </c>
      <c r="K539" t="s">
        <v>74</v>
      </c>
      <c r="L539" t="s">
        <v>74</v>
      </c>
      <c r="M539" t="s">
        <v>850</v>
      </c>
      <c r="N539" t="s">
        <v>79</v>
      </c>
      <c r="O539" t="s">
        <v>74</v>
      </c>
      <c r="P539" t="s">
        <v>74</v>
      </c>
      <c r="Q539" t="s">
        <v>74</v>
      </c>
      <c r="R539" t="s">
        <v>74</v>
      </c>
      <c r="S539" t="s">
        <v>74</v>
      </c>
      <c r="T539" t="s">
        <v>10398</v>
      </c>
      <c r="U539" t="s">
        <v>74</v>
      </c>
      <c r="V539" t="s">
        <v>10399</v>
      </c>
      <c r="W539" t="s">
        <v>74</v>
      </c>
      <c r="X539" t="s">
        <v>74</v>
      </c>
      <c r="Y539" t="s">
        <v>74</v>
      </c>
      <c r="Z539" t="s">
        <v>10400</v>
      </c>
      <c r="AA539" t="s">
        <v>74</v>
      </c>
      <c r="AB539" t="s">
        <v>74</v>
      </c>
      <c r="AC539" t="s">
        <v>74</v>
      </c>
      <c r="AD539" t="s">
        <v>74</v>
      </c>
      <c r="AE539" t="s">
        <v>74</v>
      </c>
      <c r="AF539" t="s">
        <v>74</v>
      </c>
      <c r="AG539">
        <v>22</v>
      </c>
      <c r="AH539">
        <v>0</v>
      </c>
      <c r="AI539">
        <v>0</v>
      </c>
      <c r="AJ539">
        <v>0</v>
      </c>
      <c r="AK539">
        <v>0</v>
      </c>
      <c r="AL539" t="s">
        <v>857</v>
      </c>
      <c r="AM539" t="s">
        <v>858</v>
      </c>
      <c r="AN539" t="s">
        <v>859</v>
      </c>
      <c r="AO539" t="s">
        <v>860</v>
      </c>
      <c r="AP539" t="s">
        <v>74</v>
      </c>
      <c r="AQ539" t="s">
        <v>74</v>
      </c>
      <c r="AR539" t="s">
        <v>861</v>
      </c>
      <c r="AS539" t="s">
        <v>862</v>
      </c>
      <c r="AT539" t="s">
        <v>8548</v>
      </c>
      <c r="AU539">
        <v>2014</v>
      </c>
      <c r="AV539">
        <v>5</v>
      </c>
      <c r="AW539">
        <v>3</v>
      </c>
      <c r="AX539" t="s">
        <v>74</v>
      </c>
      <c r="AY539" t="s">
        <v>74</v>
      </c>
      <c r="AZ539" t="s">
        <v>74</v>
      </c>
      <c r="BA539" t="s">
        <v>74</v>
      </c>
      <c r="BB539">
        <v>11</v>
      </c>
      <c r="BC539">
        <v>29</v>
      </c>
      <c r="BD539" t="s">
        <v>74</v>
      </c>
      <c r="BE539" t="s">
        <v>74</v>
      </c>
      <c r="BF539" t="s">
        <v>74</v>
      </c>
      <c r="BG539" t="s">
        <v>74</v>
      </c>
      <c r="BH539" t="s">
        <v>74</v>
      </c>
      <c r="BI539">
        <v>19</v>
      </c>
      <c r="BJ539" t="s">
        <v>864</v>
      </c>
      <c r="BK539" t="s">
        <v>488</v>
      </c>
      <c r="BL539" t="s">
        <v>864</v>
      </c>
      <c r="BM539" t="s">
        <v>10393</v>
      </c>
      <c r="BN539" t="s">
        <v>74</v>
      </c>
      <c r="BO539" t="s">
        <v>74</v>
      </c>
      <c r="BP539" t="s">
        <v>74</v>
      </c>
      <c r="BQ539" t="s">
        <v>74</v>
      </c>
      <c r="BR539" t="s">
        <v>105</v>
      </c>
      <c r="BS539" t="s">
        <v>10401</v>
      </c>
      <c r="BT539" t="str">
        <f>HYPERLINK("https%3A%2F%2Fwww.webofscience.com%2Fwos%2Fwoscc%2Ffull-record%2FWOS:000215960400002","View Full Record in Web of Science")</f>
        <v>View Full Record in Web of Science</v>
      </c>
    </row>
    <row r="540" spans="1:72" x14ac:dyDescent="0.15">
      <c r="A540" t="s">
        <v>72</v>
      </c>
      <c r="B540" t="s">
        <v>10402</v>
      </c>
      <c r="C540" t="s">
        <v>74</v>
      </c>
      <c r="D540" t="s">
        <v>74</v>
      </c>
      <c r="E540" t="s">
        <v>74</v>
      </c>
      <c r="F540" t="s">
        <v>10403</v>
      </c>
      <c r="G540" t="s">
        <v>74</v>
      </c>
      <c r="H540" t="s">
        <v>74</v>
      </c>
      <c r="I540" t="s">
        <v>10404</v>
      </c>
      <c r="J540" t="s">
        <v>849</v>
      </c>
      <c r="K540" t="s">
        <v>74</v>
      </c>
      <c r="L540" t="s">
        <v>74</v>
      </c>
      <c r="M540" t="s">
        <v>850</v>
      </c>
      <c r="N540" t="s">
        <v>10405</v>
      </c>
      <c r="O540" t="s">
        <v>74</v>
      </c>
      <c r="P540" t="s">
        <v>74</v>
      </c>
      <c r="Q540" t="s">
        <v>74</v>
      </c>
      <c r="R540" t="s">
        <v>74</v>
      </c>
      <c r="S540" t="s">
        <v>74</v>
      </c>
      <c r="T540" t="s">
        <v>74</v>
      </c>
      <c r="U540" t="s">
        <v>74</v>
      </c>
      <c r="V540" t="s">
        <v>74</v>
      </c>
      <c r="W540" t="s">
        <v>10406</v>
      </c>
      <c r="X540" t="s">
        <v>10407</v>
      </c>
      <c r="Y540" t="s">
        <v>10408</v>
      </c>
      <c r="Z540" t="s">
        <v>10409</v>
      </c>
      <c r="AA540" t="s">
        <v>74</v>
      </c>
      <c r="AB540" t="s">
        <v>74</v>
      </c>
      <c r="AC540" t="s">
        <v>74</v>
      </c>
      <c r="AD540" t="s">
        <v>74</v>
      </c>
      <c r="AE540" t="s">
        <v>74</v>
      </c>
      <c r="AF540" t="s">
        <v>74</v>
      </c>
      <c r="AG540">
        <v>1</v>
      </c>
      <c r="AH540">
        <v>0</v>
      </c>
      <c r="AI540">
        <v>0</v>
      </c>
      <c r="AJ540">
        <v>0</v>
      </c>
      <c r="AK540">
        <v>0</v>
      </c>
      <c r="AL540" t="s">
        <v>857</v>
      </c>
      <c r="AM540" t="s">
        <v>858</v>
      </c>
      <c r="AN540" t="s">
        <v>859</v>
      </c>
      <c r="AO540" t="s">
        <v>860</v>
      </c>
      <c r="AP540" t="s">
        <v>74</v>
      </c>
      <c r="AQ540" t="s">
        <v>74</v>
      </c>
      <c r="AR540" t="s">
        <v>861</v>
      </c>
      <c r="AS540" t="s">
        <v>862</v>
      </c>
      <c r="AT540" t="s">
        <v>8548</v>
      </c>
      <c r="AU540">
        <v>2014</v>
      </c>
      <c r="AV540">
        <v>5</v>
      </c>
      <c r="AW540">
        <v>3</v>
      </c>
      <c r="AX540" t="s">
        <v>74</v>
      </c>
      <c r="AY540" t="s">
        <v>74</v>
      </c>
      <c r="AZ540" t="s">
        <v>74</v>
      </c>
      <c r="BA540" t="s">
        <v>74</v>
      </c>
      <c r="BB540">
        <v>32</v>
      </c>
      <c r="BC540">
        <v>33</v>
      </c>
      <c r="BD540" t="s">
        <v>74</v>
      </c>
      <c r="BE540" t="s">
        <v>74</v>
      </c>
      <c r="BF540" t="s">
        <v>74</v>
      </c>
      <c r="BG540" t="s">
        <v>74</v>
      </c>
      <c r="BH540" t="s">
        <v>74</v>
      </c>
      <c r="BI540">
        <v>2</v>
      </c>
      <c r="BJ540" t="s">
        <v>864</v>
      </c>
      <c r="BK540" t="s">
        <v>488</v>
      </c>
      <c r="BL540" t="s">
        <v>864</v>
      </c>
      <c r="BM540" t="s">
        <v>10393</v>
      </c>
      <c r="BN540" t="s">
        <v>74</v>
      </c>
      <c r="BO540" t="s">
        <v>74</v>
      </c>
      <c r="BP540" t="s">
        <v>74</v>
      </c>
      <c r="BQ540" t="s">
        <v>74</v>
      </c>
      <c r="BR540" t="s">
        <v>105</v>
      </c>
      <c r="BS540" t="s">
        <v>10410</v>
      </c>
      <c r="BT540" t="str">
        <f>HYPERLINK("https%3A%2F%2Fwww.webofscience.com%2Fwos%2Fwoscc%2Ffull-record%2FWOS:000215960400004","View Full Record in Web of Science")</f>
        <v>View Full Record in Web of Science</v>
      </c>
    </row>
    <row r="541" spans="1:72" x14ac:dyDescent="0.15">
      <c r="A541" t="s">
        <v>72</v>
      </c>
      <c r="B541" t="s">
        <v>6550</v>
      </c>
      <c r="C541" t="s">
        <v>74</v>
      </c>
      <c r="D541" t="s">
        <v>74</v>
      </c>
      <c r="E541" t="s">
        <v>74</v>
      </c>
      <c r="F541" t="s">
        <v>10411</v>
      </c>
      <c r="G541" t="s">
        <v>74</v>
      </c>
      <c r="H541" t="s">
        <v>74</v>
      </c>
      <c r="I541" t="s">
        <v>10412</v>
      </c>
      <c r="J541" t="s">
        <v>10413</v>
      </c>
      <c r="K541" t="s">
        <v>74</v>
      </c>
      <c r="L541" t="s">
        <v>74</v>
      </c>
      <c r="M541" t="s">
        <v>78</v>
      </c>
      <c r="N541" t="s">
        <v>79</v>
      </c>
      <c r="O541" t="s">
        <v>74</v>
      </c>
      <c r="P541" t="s">
        <v>74</v>
      </c>
      <c r="Q541" t="s">
        <v>74</v>
      </c>
      <c r="R541" t="s">
        <v>74</v>
      </c>
      <c r="S541" t="s">
        <v>74</v>
      </c>
      <c r="T541" t="s">
        <v>10414</v>
      </c>
      <c r="U541" t="s">
        <v>10415</v>
      </c>
      <c r="V541" t="s">
        <v>10416</v>
      </c>
      <c r="W541" t="s">
        <v>10417</v>
      </c>
      <c r="X541" t="s">
        <v>6556</v>
      </c>
      <c r="Y541" t="s">
        <v>10418</v>
      </c>
      <c r="Z541" t="s">
        <v>10419</v>
      </c>
      <c r="AA541" t="s">
        <v>10420</v>
      </c>
      <c r="AB541" t="s">
        <v>10421</v>
      </c>
      <c r="AC541" t="s">
        <v>10422</v>
      </c>
      <c r="AD541" t="s">
        <v>10423</v>
      </c>
      <c r="AE541" t="s">
        <v>10424</v>
      </c>
      <c r="AF541" t="s">
        <v>74</v>
      </c>
      <c r="AG541">
        <v>36</v>
      </c>
      <c r="AH541">
        <v>9</v>
      </c>
      <c r="AI541">
        <v>11</v>
      </c>
      <c r="AJ541">
        <v>0</v>
      </c>
      <c r="AK541">
        <v>25</v>
      </c>
      <c r="AL541" t="s">
        <v>5574</v>
      </c>
      <c r="AM541" t="s">
        <v>5575</v>
      </c>
      <c r="AN541" t="s">
        <v>5576</v>
      </c>
      <c r="AO541" t="s">
        <v>10425</v>
      </c>
      <c r="AP541" t="s">
        <v>10426</v>
      </c>
      <c r="AQ541" t="s">
        <v>74</v>
      </c>
      <c r="AR541" t="s">
        <v>10427</v>
      </c>
      <c r="AS541" t="s">
        <v>10428</v>
      </c>
      <c r="AT541" t="s">
        <v>8489</v>
      </c>
      <c r="AU541">
        <v>2014</v>
      </c>
      <c r="AV541">
        <v>57</v>
      </c>
      <c r="AW541">
        <v>7</v>
      </c>
      <c r="AX541" t="s">
        <v>74</v>
      </c>
      <c r="AY541" t="s">
        <v>74</v>
      </c>
      <c r="AZ541" t="s">
        <v>74</v>
      </c>
      <c r="BA541" t="s">
        <v>74</v>
      </c>
      <c r="BB541">
        <v>1538</v>
      </c>
      <c r="BC541">
        <v>1550</v>
      </c>
      <c r="BD541" t="s">
        <v>74</v>
      </c>
      <c r="BE541" t="s">
        <v>10429</v>
      </c>
      <c r="BF541" t="str">
        <f>HYPERLINK("http://dx.doi.org/10.1007/s11430-013-4684-4","http://dx.doi.org/10.1007/s11430-013-4684-4")</f>
        <v>http://dx.doi.org/10.1007/s11430-013-4684-4</v>
      </c>
      <c r="BG541" t="s">
        <v>74</v>
      </c>
      <c r="BH541" t="s">
        <v>74</v>
      </c>
      <c r="BI541">
        <v>13</v>
      </c>
      <c r="BJ541" t="s">
        <v>685</v>
      </c>
      <c r="BK541" t="s">
        <v>102</v>
      </c>
      <c r="BL541" t="s">
        <v>686</v>
      </c>
      <c r="BM541" t="s">
        <v>10430</v>
      </c>
      <c r="BN541" t="s">
        <v>74</v>
      </c>
      <c r="BO541" t="s">
        <v>74</v>
      </c>
      <c r="BP541" t="s">
        <v>74</v>
      </c>
      <c r="BQ541" t="s">
        <v>74</v>
      </c>
      <c r="BR541" t="s">
        <v>105</v>
      </c>
      <c r="BS541" t="s">
        <v>10431</v>
      </c>
      <c r="BT541" t="str">
        <f>HYPERLINK("https%3A%2F%2Fwww.webofscience.com%2Fwos%2Fwoscc%2Ffull-record%2FWOS:000338269500010","View Full Record in Web of Science")</f>
        <v>View Full Record in Web of Science</v>
      </c>
    </row>
    <row r="542" spans="1:72" x14ac:dyDescent="0.15">
      <c r="A542" t="s">
        <v>72</v>
      </c>
      <c r="B542" t="s">
        <v>10432</v>
      </c>
      <c r="C542" t="s">
        <v>74</v>
      </c>
      <c r="D542" t="s">
        <v>74</v>
      </c>
      <c r="E542" t="s">
        <v>74</v>
      </c>
      <c r="F542" t="s">
        <v>10433</v>
      </c>
      <c r="G542" t="s">
        <v>74</v>
      </c>
      <c r="H542" t="s">
        <v>74</v>
      </c>
      <c r="I542" t="s">
        <v>10434</v>
      </c>
      <c r="J542" t="s">
        <v>3206</v>
      </c>
      <c r="K542" t="s">
        <v>74</v>
      </c>
      <c r="L542" t="s">
        <v>74</v>
      </c>
      <c r="M542" t="s">
        <v>78</v>
      </c>
      <c r="N542" t="s">
        <v>79</v>
      </c>
      <c r="O542" t="s">
        <v>74</v>
      </c>
      <c r="P542" t="s">
        <v>74</v>
      </c>
      <c r="Q542" t="s">
        <v>74</v>
      </c>
      <c r="R542" t="s">
        <v>74</v>
      </c>
      <c r="S542" t="s">
        <v>74</v>
      </c>
      <c r="T542" t="s">
        <v>10435</v>
      </c>
      <c r="U542" t="s">
        <v>10436</v>
      </c>
      <c r="V542" t="s">
        <v>10437</v>
      </c>
      <c r="W542" t="s">
        <v>10438</v>
      </c>
      <c r="X542" t="s">
        <v>10439</v>
      </c>
      <c r="Y542" t="s">
        <v>10440</v>
      </c>
      <c r="Z542" t="s">
        <v>10441</v>
      </c>
      <c r="AA542" t="s">
        <v>10442</v>
      </c>
      <c r="AB542" t="s">
        <v>10443</v>
      </c>
      <c r="AC542" t="s">
        <v>10444</v>
      </c>
      <c r="AD542" t="s">
        <v>10445</v>
      </c>
      <c r="AE542" t="s">
        <v>10446</v>
      </c>
      <c r="AF542" t="s">
        <v>74</v>
      </c>
      <c r="AG542">
        <v>130</v>
      </c>
      <c r="AH542">
        <v>45</v>
      </c>
      <c r="AI542">
        <v>47</v>
      </c>
      <c r="AJ542">
        <v>0</v>
      </c>
      <c r="AK542">
        <v>19</v>
      </c>
      <c r="AL542" t="s">
        <v>753</v>
      </c>
      <c r="AM542" t="s">
        <v>124</v>
      </c>
      <c r="AN542" t="s">
        <v>754</v>
      </c>
      <c r="AO542" t="s">
        <v>3219</v>
      </c>
      <c r="AP542" t="s">
        <v>3220</v>
      </c>
      <c r="AQ542" t="s">
        <v>74</v>
      </c>
      <c r="AR542" t="s">
        <v>3221</v>
      </c>
      <c r="AS542" t="s">
        <v>3222</v>
      </c>
      <c r="AT542" t="s">
        <v>8489</v>
      </c>
      <c r="AU542">
        <v>2014</v>
      </c>
      <c r="AV542">
        <v>247</v>
      </c>
      <c r="AW542" t="s">
        <v>74</v>
      </c>
      <c r="AX542" t="s">
        <v>74</v>
      </c>
      <c r="AY542" t="s">
        <v>74</v>
      </c>
      <c r="AZ542" t="s">
        <v>74</v>
      </c>
      <c r="BA542" t="s">
        <v>74</v>
      </c>
      <c r="BB542">
        <v>159</v>
      </c>
      <c r="BC542">
        <v>186</v>
      </c>
      <c r="BD542" t="s">
        <v>74</v>
      </c>
      <c r="BE542" t="s">
        <v>10447</v>
      </c>
      <c r="BF542" t="str">
        <f>HYPERLINK("http://dx.doi.org/10.1016/j.precamres.2014.04.004","http://dx.doi.org/10.1016/j.precamres.2014.04.004")</f>
        <v>http://dx.doi.org/10.1016/j.precamres.2014.04.004</v>
      </c>
      <c r="BG542" t="s">
        <v>74</v>
      </c>
      <c r="BH542" t="s">
        <v>74</v>
      </c>
      <c r="BI542">
        <v>28</v>
      </c>
      <c r="BJ542" t="s">
        <v>685</v>
      </c>
      <c r="BK542" t="s">
        <v>102</v>
      </c>
      <c r="BL542" t="s">
        <v>686</v>
      </c>
      <c r="BM542" t="s">
        <v>10448</v>
      </c>
      <c r="BN542" t="s">
        <v>74</v>
      </c>
      <c r="BO542" t="s">
        <v>74</v>
      </c>
      <c r="BP542" t="s">
        <v>74</v>
      </c>
      <c r="BQ542" t="s">
        <v>74</v>
      </c>
      <c r="BR542" t="s">
        <v>105</v>
      </c>
      <c r="BS542" t="s">
        <v>10449</v>
      </c>
      <c r="BT542" t="str">
        <f>HYPERLINK("https%3A%2F%2Fwww.webofscience.com%2Fwos%2Fwoscc%2Ffull-record%2FWOS:000336821300009","View Full Record in Web of Science")</f>
        <v>View Full Record in Web of Science</v>
      </c>
    </row>
    <row r="543" spans="1:72" x14ac:dyDescent="0.15">
      <c r="A543" t="s">
        <v>72</v>
      </c>
      <c r="B543" t="s">
        <v>10450</v>
      </c>
      <c r="C543" t="s">
        <v>74</v>
      </c>
      <c r="D543" t="s">
        <v>74</v>
      </c>
      <c r="E543" t="s">
        <v>74</v>
      </c>
      <c r="F543" t="s">
        <v>10451</v>
      </c>
      <c r="G543" t="s">
        <v>74</v>
      </c>
      <c r="H543" t="s">
        <v>74</v>
      </c>
      <c r="I543" t="s">
        <v>10452</v>
      </c>
      <c r="J543" t="s">
        <v>1329</v>
      </c>
      <c r="K543" t="s">
        <v>74</v>
      </c>
      <c r="L543" t="s">
        <v>74</v>
      </c>
      <c r="M543" t="s">
        <v>78</v>
      </c>
      <c r="N543" t="s">
        <v>79</v>
      </c>
      <c r="O543" t="s">
        <v>74</v>
      </c>
      <c r="P543" t="s">
        <v>74</v>
      </c>
      <c r="Q543" t="s">
        <v>74</v>
      </c>
      <c r="R543" t="s">
        <v>74</v>
      </c>
      <c r="S543" t="s">
        <v>74</v>
      </c>
      <c r="T543" t="s">
        <v>74</v>
      </c>
      <c r="U543" t="s">
        <v>10453</v>
      </c>
      <c r="V543" t="s">
        <v>10454</v>
      </c>
      <c r="W543" t="s">
        <v>10455</v>
      </c>
      <c r="X543" t="s">
        <v>10456</v>
      </c>
      <c r="Y543" t="s">
        <v>10457</v>
      </c>
      <c r="Z543" t="s">
        <v>10458</v>
      </c>
      <c r="AA543" t="s">
        <v>10459</v>
      </c>
      <c r="AB543" t="s">
        <v>10460</v>
      </c>
      <c r="AC543" t="s">
        <v>10461</v>
      </c>
      <c r="AD543" t="s">
        <v>10462</v>
      </c>
      <c r="AE543" t="s">
        <v>10463</v>
      </c>
      <c r="AF543" t="s">
        <v>74</v>
      </c>
      <c r="AG543">
        <v>52</v>
      </c>
      <c r="AH543">
        <v>43</v>
      </c>
      <c r="AI543">
        <v>48</v>
      </c>
      <c r="AJ543">
        <v>0</v>
      </c>
      <c r="AK543">
        <v>46</v>
      </c>
      <c r="AL543" t="s">
        <v>250</v>
      </c>
      <c r="AM543" t="s">
        <v>251</v>
      </c>
      <c r="AN543" t="s">
        <v>252</v>
      </c>
      <c r="AO543" t="s">
        <v>1341</v>
      </c>
      <c r="AP543" t="s">
        <v>1342</v>
      </c>
      <c r="AQ543" t="s">
        <v>74</v>
      </c>
      <c r="AR543" t="s">
        <v>1343</v>
      </c>
      <c r="AS543" t="s">
        <v>1344</v>
      </c>
      <c r="AT543" t="s">
        <v>9490</v>
      </c>
      <c r="AU543">
        <v>2014</v>
      </c>
      <c r="AV543">
        <v>136</v>
      </c>
      <c r="AW543" t="s">
        <v>74</v>
      </c>
      <c r="AX543" t="s">
        <v>74</v>
      </c>
      <c r="AY543" t="s">
        <v>74</v>
      </c>
      <c r="AZ543" t="s">
        <v>74</v>
      </c>
      <c r="BA543" t="s">
        <v>74</v>
      </c>
      <c r="BB543">
        <v>1</v>
      </c>
      <c r="BC543">
        <v>12</v>
      </c>
      <c r="BD543" t="s">
        <v>74</v>
      </c>
      <c r="BE543" t="s">
        <v>10464</v>
      </c>
      <c r="BF543" t="str">
        <f>HYPERLINK("http://dx.doi.org/10.1016/j.gca.2014.04.001","http://dx.doi.org/10.1016/j.gca.2014.04.001")</f>
        <v>http://dx.doi.org/10.1016/j.gca.2014.04.001</v>
      </c>
      <c r="BG543" t="s">
        <v>74</v>
      </c>
      <c r="BH543" t="s">
        <v>74</v>
      </c>
      <c r="BI543">
        <v>12</v>
      </c>
      <c r="BJ543" t="s">
        <v>425</v>
      </c>
      <c r="BK543" t="s">
        <v>102</v>
      </c>
      <c r="BL543" t="s">
        <v>425</v>
      </c>
      <c r="BM543" t="s">
        <v>10465</v>
      </c>
      <c r="BN543" t="s">
        <v>74</v>
      </c>
      <c r="BO543" t="s">
        <v>1274</v>
      </c>
      <c r="BP543" t="s">
        <v>74</v>
      </c>
      <c r="BQ543" t="s">
        <v>74</v>
      </c>
      <c r="BR543" t="s">
        <v>105</v>
      </c>
      <c r="BS543" t="s">
        <v>10466</v>
      </c>
      <c r="BT543" t="str">
        <f>HYPERLINK("https%3A%2F%2Fwww.webofscience.com%2Fwos%2Fwoscc%2Ffull-record%2FWOS:000336481800001","View Full Record in Web of Science")</f>
        <v>View Full Record in Web of Science</v>
      </c>
    </row>
    <row r="544" spans="1:72" x14ac:dyDescent="0.15">
      <c r="A544" t="s">
        <v>72</v>
      </c>
      <c r="B544" t="s">
        <v>10467</v>
      </c>
      <c r="C544" t="s">
        <v>74</v>
      </c>
      <c r="D544" t="s">
        <v>74</v>
      </c>
      <c r="E544" t="s">
        <v>74</v>
      </c>
      <c r="F544" t="s">
        <v>10468</v>
      </c>
      <c r="G544" t="s">
        <v>74</v>
      </c>
      <c r="H544" t="s">
        <v>74</v>
      </c>
      <c r="I544" t="s">
        <v>10469</v>
      </c>
      <c r="J544" t="s">
        <v>10470</v>
      </c>
      <c r="K544" t="s">
        <v>74</v>
      </c>
      <c r="L544" t="s">
        <v>74</v>
      </c>
      <c r="M544" t="s">
        <v>78</v>
      </c>
      <c r="N544" t="s">
        <v>79</v>
      </c>
      <c r="O544" t="s">
        <v>74</v>
      </c>
      <c r="P544" t="s">
        <v>74</v>
      </c>
      <c r="Q544" t="s">
        <v>74</v>
      </c>
      <c r="R544" t="s">
        <v>74</v>
      </c>
      <c r="S544" t="s">
        <v>74</v>
      </c>
      <c r="T544" t="s">
        <v>10471</v>
      </c>
      <c r="U544" t="s">
        <v>10472</v>
      </c>
      <c r="V544" t="s">
        <v>10473</v>
      </c>
      <c r="W544" t="s">
        <v>10474</v>
      </c>
      <c r="X544" t="s">
        <v>10475</v>
      </c>
      <c r="Y544" t="s">
        <v>10476</v>
      </c>
      <c r="Z544" t="s">
        <v>10477</v>
      </c>
      <c r="AA544" t="s">
        <v>10478</v>
      </c>
      <c r="AB544" t="s">
        <v>10479</v>
      </c>
      <c r="AC544" t="s">
        <v>10480</v>
      </c>
      <c r="AD544" t="s">
        <v>10481</v>
      </c>
      <c r="AE544" t="s">
        <v>10482</v>
      </c>
      <c r="AF544" t="s">
        <v>74</v>
      </c>
      <c r="AG544">
        <v>30</v>
      </c>
      <c r="AH544">
        <v>37</v>
      </c>
      <c r="AI544">
        <v>38</v>
      </c>
      <c r="AJ544">
        <v>1</v>
      </c>
      <c r="AK544">
        <v>25</v>
      </c>
      <c r="AL544" t="s">
        <v>250</v>
      </c>
      <c r="AM544" t="s">
        <v>251</v>
      </c>
      <c r="AN544" t="s">
        <v>252</v>
      </c>
      <c r="AO544" t="s">
        <v>10483</v>
      </c>
      <c r="AP544" t="s">
        <v>10484</v>
      </c>
      <c r="AQ544" t="s">
        <v>74</v>
      </c>
      <c r="AR544" t="s">
        <v>10485</v>
      </c>
      <c r="AS544" t="s">
        <v>10486</v>
      </c>
      <c r="AT544" t="s">
        <v>8489</v>
      </c>
      <c r="AU544">
        <v>2014</v>
      </c>
      <c r="AV544">
        <v>141</v>
      </c>
      <c r="AW544" t="s">
        <v>74</v>
      </c>
      <c r="AX544" t="s">
        <v>74</v>
      </c>
      <c r="AY544" t="s">
        <v>74</v>
      </c>
      <c r="AZ544" t="s">
        <v>74</v>
      </c>
      <c r="BA544" t="s">
        <v>74</v>
      </c>
      <c r="BB544">
        <v>14</v>
      </c>
      <c r="BC544">
        <v>23</v>
      </c>
      <c r="BD544" t="s">
        <v>74</v>
      </c>
      <c r="BE544" t="s">
        <v>10487</v>
      </c>
      <c r="BF544" t="str">
        <f>HYPERLINK("http://dx.doi.org/10.1016/j.jqsrt.2014.02.022","http://dx.doi.org/10.1016/j.jqsrt.2014.02.022")</f>
        <v>http://dx.doi.org/10.1016/j.jqsrt.2014.02.022</v>
      </c>
      <c r="BG544" t="s">
        <v>74</v>
      </c>
      <c r="BH544" t="s">
        <v>74</v>
      </c>
      <c r="BI544">
        <v>10</v>
      </c>
      <c r="BJ544" t="s">
        <v>10488</v>
      </c>
      <c r="BK544" t="s">
        <v>102</v>
      </c>
      <c r="BL544" t="s">
        <v>10488</v>
      </c>
      <c r="BM544" t="s">
        <v>10489</v>
      </c>
      <c r="BN544" t="s">
        <v>74</v>
      </c>
      <c r="BO544" t="s">
        <v>74</v>
      </c>
      <c r="BP544" t="s">
        <v>74</v>
      </c>
      <c r="BQ544" t="s">
        <v>74</v>
      </c>
      <c r="BR544" t="s">
        <v>105</v>
      </c>
      <c r="BS544" t="s">
        <v>10490</v>
      </c>
      <c r="BT544" t="str">
        <f>HYPERLINK("https%3A%2F%2Fwww.webofscience.com%2Fwos%2Fwoscc%2Ffull-record%2FWOS:000336113200003","View Full Record in Web of Science")</f>
        <v>View Full Record in Web of Science</v>
      </c>
    </row>
    <row r="545" spans="1:72" x14ac:dyDescent="0.15">
      <c r="A545" t="s">
        <v>72</v>
      </c>
      <c r="B545" t="s">
        <v>10491</v>
      </c>
      <c r="C545" t="s">
        <v>74</v>
      </c>
      <c r="D545" t="s">
        <v>74</v>
      </c>
      <c r="E545" t="s">
        <v>74</v>
      </c>
      <c r="F545" t="s">
        <v>10492</v>
      </c>
      <c r="G545" t="s">
        <v>74</v>
      </c>
      <c r="H545" t="s">
        <v>74</v>
      </c>
      <c r="I545" t="s">
        <v>10493</v>
      </c>
      <c r="J545" t="s">
        <v>10494</v>
      </c>
      <c r="K545" t="s">
        <v>74</v>
      </c>
      <c r="L545" t="s">
        <v>74</v>
      </c>
      <c r="M545" t="s">
        <v>78</v>
      </c>
      <c r="N545" t="s">
        <v>79</v>
      </c>
      <c r="O545" t="s">
        <v>74</v>
      </c>
      <c r="P545" t="s">
        <v>74</v>
      </c>
      <c r="Q545" t="s">
        <v>74</v>
      </c>
      <c r="R545" t="s">
        <v>74</v>
      </c>
      <c r="S545" t="s">
        <v>74</v>
      </c>
      <c r="T545" t="s">
        <v>10495</v>
      </c>
      <c r="U545" t="s">
        <v>10496</v>
      </c>
      <c r="V545" t="s">
        <v>10497</v>
      </c>
      <c r="W545" t="s">
        <v>10498</v>
      </c>
      <c r="X545" t="s">
        <v>10499</v>
      </c>
      <c r="Y545" t="s">
        <v>10500</v>
      </c>
      <c r="Z545" t="s">
        <v>10501</v>
      </c>
      <c r="AA545" t="s">
        <v>10502</v>
      </c>
      <c r="AB545" t="s">
        <v>10503</v>
      </c>
      <c r="AC545" t="s">
        <v>74</v>
      </c>
      <c r="AD545" t="s">
        <v>74</v>
      </c>
      <c r="AE545" t="s">
        <v>74</v>
      </c>
      <c r="AF545" t="s">
        <v>74</v>
      </c>
      <c r="AG545">
        <v>27</v>
      </c>
      <c r="AH545">
        <v>26</v>
      </c>
      <c r="AI545">
        <v>41</v>
      </c>
      <c r="AJ545">
        <v>3</v>
      </c>
      <c r="AK545">
        <v>42</v>
      </c>
      <c r="AL545" t="s">
        <v>250</v>
      </c>
      <c r="AM545" t="s">
        <v>251</v>
      </c>
      <c r="AN545" t="s">
        <v>252</v>
      </c>
      <c r="AO545" t="s">
        <v>10504</v>
      </c>
      <c r="AP545" t="s">
        <v>74</v>
      </c>
      <c r="AQ545" t="s">
        <v>74</v>
      </c>
      <c r="AR545" t="s">
        <v>10505</v>
      </c>
      <c r="AS545" t="s">
        <v>10506</v>
      </c>
      <c r="AT545" t="s">
        <v>8489</v>
      </c>
      <c r="AU545">
        <v>2014</v>
      </c>
      <c r="AV545">
        <v>65</v>
      </c>
      <c r="AW545" t="s">
        <v>74</v>
      </c>
      <c r="AX545" t="s">
        <v>74</v>
      </c>
      <c r="AY545" t="s">
        <v>74</v>
      </c>
      <c r="AZ545" t="s">
        <v>74</v>
      </c>
      <c r="BA545" t="s">
        <v>74</v>
      </c>
      <c r="BB545">
        <v>24</v>
      </c>
      <c r="BC545">
        <v>29</v>
      </c>
      <c r="BD545" t="s">
        <v>74</v>
      </c>
      <c r="BE545" t="s">
        <v>10507</v>
      </c>
      <c r="BF545" t="str">
        <f>HYPERLINK("http://dx.doi.org/10.1016/j.paid.2014.01.029","http://dx.doi.org/10.1016/j.paid.2014.01.029")</f>
        <v>http://dx.doi.org/10.1016/j.paid.2014.01.029</v>
      </c>
      <c r="BG545" t="s">
        <v>74</v>
      </c>
      <c r="BH545" t="s">
        <v>74</v>
      </c>
      <c r="BI545">
        <v>6</v>
      </c>
      <c r="BJ545" t="s">
        <v>10508</v>
      </c>
      <c r="BK545" t="s">
        <v>2238</v>
      </c>
      <c r="BL545" t="s">
        <v>10509</v>
      </c>
      <c r="BM545" t="s">
        <v>10510</v>
      </c>
      <c r="BN545" t="s">
        <v>74</v>
      </c>
      <c r="BO545" t="s">
        <v>74</v>
      </c>
      <c r="BP545" t="s">
        <v>74</v>
      </c>
      <c r="BQ545" t="s">
        <v>74</v>
      </c>
      <c r="BR545" t="s">
        <v>105</v>
      </c>
      <c r="BS545" t="s">
        <v>10511</v>
      </c>
      <c r="BT545" t="str">
        <f>HYPERLINK("https%3A%2F%2Fwww.webofscience.com%2Fwos%2Fwoscc%2Ffull-record%2FWOS:000336193400006","View Full Record in Web of Science")</f>
        <v>View Full Record in Web of Science</v>
      </c>
    </row>
    <row r="546" spans="1:72" x14ac:dyDescent="0.15">
      <c r="A546" t="s">
        <v>72</v>
      </c>
      <c r="B546" t="s">
        <v>10512</v>
      </c>
      <c r="C546" t="s">
        <v>74</v>
      </c>
      <c r="D546" t="s">
        <v>74</v>
      </c>
      <c r="E546" t="s">
        <v>74</v>
      </c>
      <c r="F546" t="s">
        <v>10513</v>
      </c>
      <c r="G546" t="s">
        <v>74</v>
      </c>
      <c r="H546" t="s">
        <v>74</v>
      </c>
      <c r="I546" t="s">
        <v>10514</v>
      </c>
      <c r="J546" t="s">
        <v>939</v>
      </c>
      <c r="K546" t="s">
        <v>74</v>
      </c>
      <c r="L546" t="s">
        <v>74</v>
      </c>
      <c r="M546" t="s">
        <v>78</v>
      </c>
      <c r="N546" t="s">
        <v>79</v>
      </c>
      <c r="O546" t="s">
        <v>74</v>
      </c>
      <c r="P546" t="s">
        <v>74</v>
      </c>
      <c r="Q546" t="s">
        <v>74</v>
      </c>
      <c r="R546" t="s">
        <v>74</v>
      </c>
      <c r="S546" t="s">
        <v>74</v>
      </c>
      <c r="T546" t="s">
        <v>10515</v>
      </c>
      <c r="U546" t="s">
        <v>10516</v>
      </c>
      <c r="V546" t="s">
        <v>10517</v>
      </c>
      <c r="W546" t="s">
        <v>10518</v>
      </c>
      <c r="X546" t="s">
        <v>10519</v>
      </c>
      <c r="Y546" t="s">
        <v>10520</v>
      </c>
      <c r="Z546" t="s">
        <v>10521</v>
      </c>
      <c r="AA546" t="s">
        <v>10522</v>
      </c>
      <c r="AB546" t="s">
        <v>10523</v>
      </c>
      <c r="AC546" t="s">
        <v>74</v>
      </c>
      <c r="AD546" t="s">
        <v>74</v>
      </c>
      <c r="AE546" t="s">
        <v>74</v>
      </c>
      <c r="AF546" t="s">
        <v>74</v>
      </c>
      <c r="AG546">
        <v>59</v>
      </c>
      <c r="AH546">
        <v>25</v>
      </c>
      <c r="AI546">
        <v>26</v>
      </c>
      <c r="AJ546">
        <v>0</v>
      </c>
      <c r="AK546">
        <v>34</v>
      </c>
      <c r="AL546" t="s">
        <v>952</v>
      </c>
      <c r="AM546" t="s">
        <v>953</v>
      </c>
      <c r="AN546" t="s">
        <v>954</v>
      </c>
      <c r="AO546" t="s">
        <v>955</v>
      </c>
      <c r="AP546" t="s">
        <v>956</v>
      </c>
      <c r="AQ546" t="s">
        <v>74</v>
      </c>
      <c r="AR546" t="s">
        <v>957</v>
      </c>
      <c r="AS546" t="s">
        <v>958</v>
      </c>
      <c r="AT546" t="s">
        <v>8489</v>
      </c>
      <c r="AU546">
        <v>2014</v>
      </c>
      <c r="AV546">
        <v>52</v>
      </c>
      <c r="AW546">
        <v>7</v>
      </c>
      <c r="AX546" t="s">
        <v>74</v>
      </c>
      <c r="AY546" t="s">
        <v>74</v>
      </c>
      <c r="AZ546" t="s">
        <v>74</v>
      </c>
      <c r="BA546" t="s">
        <v>74</v>
      </c>
      <c r="BB546">
        <v>4122</v>
      </c>
      <c r="BC546">
        <v>4140</v>
      </c>
      <c r="BD546" t="s">
        <v>74</v>
      </c>
      <c r="BE546" t="s">
        <v>10524</v>
      </c>
      <c r="BF546" t="str">
        <f>HYPERLINK("http://dx.doi.org/10.1109/TGRS.2013.2279799","http://dx.doi.org/10.1109/TGRS.2013.2279799")</f>
        <v>http://dx.doi.org/10.1109/TGRS.2013.2279799</v>
      </c>
      <c r="BG546" t="s">
        <v>74</v>
      </c>
      <c r="BH546" t="s">
        <v>74</v>
      </c>
      <c r="BI546">
        <v>19</v>
      </c>
      <c r="BJ546" t="s">
        <v>960</v>
      </c>
      <c r="BK546" t="s">
        <v>102</v>
      </c>
      <c r="BL546" t="s">
        <v>961</v>
      </c>
      <c r="BM546" t="s">
        <v>10525</v>
      </c>
      <c r="BN546" t="s">
        <v>74</v>
      </c>
      <c r="BO546" t="s">
        <v>74</v>
      </c>
      <c r="BP546" t="s">
        <v>74</v>
      </c>
      <c r="BQ546" t="s">
        <v>74</v>
      </c>
      <c r="BR546" t="s">
        <v>105</v>
      </c>
      <c r="BS546" t="s">
        <v>10526</v>
      </c>
      <c r="BT546" t="str">
        <f>HYPERLINK("https%3A%2F%2Fwww.webofscience.com%2Fwos%2Fwoscc%2Ffull-record%2FWOS:000332597100034","View Full Record in Web of Science")</f>
        <v>View Full Record in Web of Science</v>
      </c>
    </row>
    <row r="547" spans="1:72" x14ac:dyDescent="0.15">
      <c r="A547" t="s">
        <v>72</v>
      </c>
      <c r="B547" t="s">
        <v>10527</v>
      </c>
      <c r="C547" t="s">
        <v>74</v>
      </c>
      <c r="D547" t="s">
        <v>74</v>
      </c>
      <c r="E547" t="s">
        <v>74</v>
      </c>
      <c r="F547" t="s">
        <v>10528</v>
      </c>
      <c r="G547" t="s">
        <v>74</v>
      </c>
      <c r="H547" t="s">
        <v>74</v>
      </c>
      <c r="I547" t="s">
        <v>10529</v>
      </c>
      <c r="J547" t="s">
        <v>939</v>
      </c>
      <c r="K547" t="s">
        <v>74</v>
      </c>
      <c r="L547" t="s">
        <v>74</v>
      </c>
      <c r="M547" t="s">
        <v>78</v>
      </c>
      <c r="N547" t="s">
        <v>79</v>
      </c>
      <c r="O547" t="s">
        <v>74</v>
      </c>
      <c r="P547" t="s">
        <v>74</v>
      </c>
      <c r="Q547" t="s">
        <v>74</v>
      </c>
      <c r="R547" t="s">
        <v>74</v>
      </c>
      <c r="S547" t="s">
        <v>74</v>
      </c>
      <c r="T547" t="s">
        <v>10530</v>
      </c>
      <c r="U547" t="s">
        <v>10531</v>
      </c>
      <c r="V547" t="s">
        <v>10532</v>
      </c>
      <c r="W547" t="s">
        <v>10533</v>
      </c>
      <c r="X547" t="s">
        <v>10534</v>
      </c>
      <c r="Y547" t="s">
        <v>10535</v>
      </c>
      <c r="Z547" t="s">
        <v>10536</v>
      </c>
      <c r="AA547" t="s">
        <v>10537</v>
      </c>
      <c r="AB547" t="s">
        <v>10538</v>
      </c>
      <c r="AC547" t="s">
        <v>74</v>
      </c>
      <c r="AD547" t="s">
        <v>74</v>
      </c>
      <c r="AE547" t="s">
        <v>74</v>
      </c>
      <c r="AF547" t="s">
        <v>74</v>
      </c>
      <c r="AG547">
        <v>28</v>
      </c>
      <c r="AH547">
        <v>34</v>
      </c>
      <c r="AI547">
        <v>39</v>
      </c>
      <c r="AJ547">
        <v>1</v>
      </c>
      <c r="AK547">
        <v>19</v>
      </c>
      <c r="AL547" t="s">
        <v>952</v>
      </c>
      <c r="AM547" t="s">
        <v>953</v>
      </c>
      <c r="AN547" t="s">
        <v>954</v>
      </c>
      <c r="AO547" t="s">
        <v>955</v>
      </c>
      <c r="AP547" t="s">
        <v>956</v>
      </c>
      <c r="AQ547" t="s">
        <v>74</v>
      </c>
      <c r="AR547" t="s">
        <v>957</v>
      </c>
      <c r="AS547" t="s">
        <v>958</v>
      </c>
      <c r="AT547" t="s">
        <v>8489</v>
      </c>
      <c r="AU547">
        <v>2014</v>
      </c>
      <c r="AV547">
        <v>52</v>
      </c>
      <c r="AW547">
        <v>7</v>
      </c>
      <c r="AX547" t="s">
        <v>74</v>
      </c>
      <c r="AY547" t="s">
        <v>74</v>
      </c>
      <c r="AZ547" t="s">
        <v>74</v>
      </c>
      <c r="BA547" t="s">
        <v>74</v>
      </c>
      <c r="BB547">
        <v>4281</v>
      </c>
      <c r="BC547">
        <v>4290</v>
      </c>
      <c r="BD547" t="s">
        <v>74</v>
      </c>
      <c r="BE547" t="s">
        <v>10539</v>
      </c>
      <c r="BF547" t="str">
        <f>HYPERLINK("http://dx.doi.org/10.1109/TGRS.2013.2281056","http://dx.doi.org/10.1109/TGRS.2013.2281056")</f>
        <v>http://dx.doi.org/10.1109/TGRS.2013.2281056</v>
      </c>
      <c r="BG547" t="s">
        <v>74</v>
      </c>
      <c r="BH547" t="s">
        <v>74</v>
      </c>
      <c r="BI547">
        <v>10</v>
      </c>
      <c r="BJ547" t="s">
        <v>960</v>
      </c>
      <c r="BK547" t="s">
        <v>102</v>
      </c>
      <c r="BL547" t="s">
        <v>961</v>
      </c>
      <c r="BM547" t="s">
        <v>10525</v>
      </c>
      <c r="BN547" t="s">
        <v>74</v>
      </c>
      <c r="BO547" t="s">
        <v>262</v>
      </c>
      <c r="BP547" t="s">
        <v>74</v>
      </c>
      <c r="BQ547" t="s">
        <v>74</v>
      </c>
      <c r="BR547" t="s">
        <v>105</v>
      </c>
      <c r="BS547" t="s">
        <v>10540</v>
      </c>
      <c r="BT547" t="str">
        <f>HYPERLINK("https%3A%2F%2Fwww.webofscience.com%2Fwos%2Fwoscc%2Ffull-record%2FWOS:000332597100047","View Full Record in Web of Science")</f>
        <v>View Full Record in Web of Science</v>
      </c>
    </row>
    <row r="548" spans="1:72" x14ac:dyDescent="0.15">
      <c r="A548" t="s">
        <v>72</v>
      </c>
      <c r="B548" t="s">
        <v>10541</v>
      </c>
      <c r="C548" t="s">
        <v>74</v>
      </c>
      <c r="D548" t="s">
        <v>74</v>
      </c>
      <c r="E548" t="s">
        <v>74</v>
      </c>
      <c r="F548" t="s">
        <v>10542</v>
      </c>
      <c r="G548" t="s">
        <v>74</v>
      </c>
      <c r="H548" t="s">
        <v>74</v>
      </c>
      <c r="I548" t="s">
        <v>10543</v>
      </c>
      <c r="J548" t="s">
        <v>939</v>
      </c>
      <c r="K548" t="s">
        <v>74</v>
      </c>
      <c r="L548" t="s">
        <v>74</v>
      </c>
      <c r="M548" t="s">
        <v>78</v>
      </c>
      <c r="N548" t="s">
        <v>79</v>
      </c>
      <c r="O548" t="s">
        <v>74</v>
      </c>
      <c r="P548" t="s">
        <v>74</v>
      </c>
      <c r="Q548" t="s">
        <v>74</v>
      </c>
      <c r="R548" t="s">
        <v>74</v>
      </c>
      <c r="S548" t="s">
        <v>74</v>
      </c>
      <c r="T548" t="s">
        <v>10544</v>
      </c>
      <c r="U548" t="s">
        <v>10545</v>
      </c>
      <c r="V548" t="s">
        <v>10546</v>
      </c>
      <c r="W548" t="s">
        <v>10547</v>
      </c>
      <c r="X548" t="s">
        <v>10548</v>
      </c>
      <c r="Y548" t="s">
        <v>10549</v>
      </c>
      <c r="Z548" t="s">
        <v>10550</v>
      </c>
      <c r="AA548" t="s">
        <v>10551</v>
      </c>
      <c r="AB548" t="s">
        <v>10552</v>
      </c>
      <c r="AC548" t="s">
        <v>10553</v>
      </c>
      <c r="AD548" t="s">
        <v>10554</v>
      </c>
      <c r="AE548" t="s">
        <v>10555</v>
      </c>
      <c r="AF548" t="s">
        <v>74</v>
      </c>
      <c r="AG548">
        <v>49</v>
      </c>
      <c r="AH548">
        <v>6</v>
      </c>
      <c r="AI548">
        <v>6</v>
      </c>
      <c r="AJ548">
        <v>0</v>
      </c>
      <c r="AK548">
        <v>33</v>
      </c>
      <c r="AL548" t="s">
        <v>952</v>
      </c>
      <c r="AM548" t="s">
        <v>953</v>
      </c>
      <c r="AN548" t="s">
        <v>954</v>
      </c>
      <c r="AO548" t="s">
        <v>955</v>
      </c>
      <c r="AP548" t="s">
        <v>956</v>
      </c>
      <c r="AQ548" t="s">
        <v>74</v>
      </c>
      <c r="AR548" t="s">
        <v>957</v>
      </c>
      <c r="AS548" t="s">
        <v>958</v>
      </c>
      <c r="AT548" t="s">
        <v>8489</v>
      </c>
      <c r="AU548">
        <v>2014</v>
      </c>
      <c r="AV548">
        <v>52</v>
      </c>
      <c r="AW548">
        <v>7</v>
      </c>
      <c r="AX548" t="s">
        <v>74</v>
      </c>
      <c r="AY548" t="s">
        <v>74</v>
      </c>
      <c r="AZ548" t="s">
        <v>74</v>
      </c>
      <c r="BA548" t="s">
        <v>74</v>
      </c>
      <c r="BB548">
        <v>4455</v>
      </c>
      <c r="BC548">
        <v>4461</v>
      </c>
      <c r="BD548" t="s">
        <v>74</v>
      </c>
      <c r="BE548" t="s">
        <v>10556</v>
      </c>
      <c r="BF548" t="str">
        <f>HYPERLINK("http://dx.doi.org/10.1109/TGRS.2013.2282158","http://dx.doi.org/10.1109/TGRS.2013.2282158")</f>
        <v>http://dx.doi.org/10.1109/TGRS.2013.2282158</v>
      </c>
      <c r="BG548" t="s">
        <v>74</v>
      </c>
      <c r="BH548" t="s">
        <v>74</v>
      </c>
      <c r="BI548">
        <v>7</v>
      </c>
      <c r="BJ548" t="s">
        <v>960</v>
      </c>
      <c r="BK548" t="s">
        <v>102</v>
      </c>
      <c r="BL548" t="s">
        <v>961</v>
      </c>
      <c r="BM548" t="s">
        <v>10525</v>
      </c>
      <c r="BN548" t="s">
        <v>74</v>
      </c>
      <c r="BO548" t="s">
        <v>74</v>
      </c>
      <c r="BP548" t="s">
        <v>74</v>
      </c>
      <c r="BQ548" t="s">
        <v>74</v>
      </c>
      <c r="BR548" t="s">
        <v>105</v>
      </c>
      <c r="BS548" t="s">
        <v>10557</v>
      </c>
      <c r="BT548" t="str">
        <f>HYPERLINK("https%3A%2F%2Fwww.webofscience.com%2Fwos%2Fwoscc%2Ffull-record%2FWOS:000332597100059","View Full Record in Web of Science")</f>
        <v>View Full Record in Web of Science</v>
      </c>
    </row>
    <row r="549" spans="1:72" x14ac:dyDescent="0.15">
      <c r="A549" t="s">
        <v>72</v>
      </c>
      <c r="B549" t="s">
        <v>10558</v>
      </c>
      <c r="C549" t="s">
        <v>74</v>
      </c>
      <c r="D549" t="s">
        <v>74</v>
      </c>
      <c r="E549" t="s">
        <v>74</v>
      </c>
      <c r="F549" t="s">
        <v>10559</v>
      </c>
      <c r="G549" t="s">
        <v>74</v>
      </c>
      <c r="H549" t="s">
        <v>74</v>
      </c>
      <c r="I549" t="s">
        <v>10560</v>
      </c>
      <c r="J549" t="s">
        <v>158</v>
      </c>
      <c r="K549" t="s">
        <v>74</v>
      </c>
      <c r="L549" t="s">
        <v>74</v>
      </c>
      <c r="M549" t="s">
        <v>78</v>
      </c>
      <c r="N549" t="s">
        <v>79</v>
      </c>
      <c r="O549" t="s">
        <v>74</v>
      </c>
      <c r="P549" t="s">
        <v>74</v>
      </c>
      <c r="Q549" t="s">
        <v>74</v>
      </c>
      <c r="R549" t="s">
        <v>74</v>
      </c>
      <c r="S549" t="s">
        <v>74</v>
      </c>
      <c r="T549" t="s">
        <v>10561</v>
      </c>
      <c r="U549" t="s">
        <v>10562</v>
      </c>
      <c r="V549" t="s">
        <v>10563</v>
      </c>
      <c r="W549" t="s">
        <v>10564</v>
      </c>
      <c r="X549" t="s">
        <v>2858</v>
      </c>
      <c r="Y549" t="s">
        <v>10565</v>
      </c>
      <c r="Z549" t="s">
        <v>10566</v>
      </c>
      <c r="AA549" t="s">
        <v>74</v>
      </c>
      <c r="AB549" t="s">
        <v>74</v>
      </c>
      <c r="AC549" t="s">
        <v>10567</v>
      </c>
      <c r="AD549" t="s">
        <v>10568</v>
      </c>
      <c r="AE549" t="s">
        <v>10569</v>
      </c>
      <c r="AF549" t="s">
        <v>74</v>
      </c>
      <c r="AG549">
        <v>29</v>
      </c>
      <c r="AH549">
        <v>4</v>
      </c>
      <c r="AI549">
        <v>4</v>
      </c>
      <c r="AJ549">
        <v>1</v>
      </c>
      <c r="AK549">
        <v>17</v>
      </c>
      <c r="AL549" t="s">
        <v>171</v>
      </c>
      <c r="AM549" t="s">
        <v>93</v>
      </c>
      <c r="AN549" t="s">
        <v>94</v>
      </c>
      <c r="AO549" t="s">
        <v>172</v>
      </c>
      <c r="AP549" t="s">
        <v>173</v>
      </c>
      <c r="AQ549" t="s">
        <v>74</v>
      </c>
      <c r="AR549" t="s">
        <v>174</v>
      </c>
      <c r="AS549" t="s">
        <v>175</v>
      </c>
      <c r="AT549" t="s">
        <v>10570</v>
      </c>
      <c r="AU549">
        <v>2014</v>
      </c>
      <c r="AV549">
        <v>34</v>
      </c>
      <c r="AW549">
        <v>8</v>
      </c>
      <c r="AX549" t="s">
        <v>74</v>
      </c>
      <c r="AY549" t="s">
        <v>74</v>
      </c>
      <c r="AZ549" t="s">
        <v>74</v>
      </c>
      <c r="BA549" t="s">
        <v>74</v>
      </c>
      <c r="BB549">
        <v>2715</v>
      </c>
      <c r="BC549">
        <v>2729</v>
      </c>
      <c r="BD549" t="s">
        <v>74</v>
      </c>
      <c r="BE549" t="s">
        <v>10571</v>
      </c>
      <c r="BF549" t="str">
        <f>HYPERLINK("http://dx.doi.org/10.1002/joc.3870","http://dx.doi.org/10.1002/joc.3870")</f>
        <v>http://dx.doi.org/10.1002/joc.3870</v>
      </c>
      <c r="BG549" t="s">
        <v>74</v>
      </c>
      <c r="BH549" t="s">
        <v>74</v>
      </c>
      <c r="BI549">
        <v>15</v>
      </c>
      <c r="BJ549" t="s">
        <v>177</v>
      </c>
      <c r="BK549" t="s">
        <v>102</v>
      </c>
      <c r="BL549" t="s">
        <v>177</v>
      </c>
      <c r="BM549" t="s">
        <v>10572</v>
      </c>
      <c r="BN549" t="s">
        <v>74</v>
      </c>
      <c r="BO549" t="s">
        <v>74</v>
      </c>
      <c r="BP549" t="s">
        <v>74</v>
      </c>
      <c r="BQ549" t="s">
        <v>74</v>
      </c>
      <c r="BR549" t="s">
        <v>105</v>
      </c>
      <c r="BS549" t="s">
        <v>10573</v>
      </c>
      <c r="BT549" t="str">
        <f>HYPERLINK("https%3A%2F%2Fwww.webofscience.com%2Fwos%2Fwoscc%2Ffull-record%2FWOS:000337667100014","View Full Record in Web of Science")</f>
        <v>View Full Record in Web of Science</v>
      </c>
    </row>
    <row r="550" spans="1:72" x14ac:dyDescent="0.15">
      <c r="A550" t="s">
        <v>72</v>
      </c>
      <c r="B550" t="s">
        <v>10574</v>
      </c>
      <c r="C550" t="s">
        <v>74</v>
      </c>
      <c r="D550" t="s">
        <v>74</v>
      </c>
      <c r="E550" t="s">
        <v>74</v>
      </c>
      <c r="F550" t="s">
        <v>10575</v>
      </c>
      <c r="G550" t="s">
        <v>74</v>
      </c>
      <c r="H550" t="s">
        <v>74</v>
      </c>
      <c r="I550" t="s">
        <v>10576</v>
      </c>
      <c r="J550" t="s">
        <v>1083</v>
      </c>
      <c r="K550" t="s">
        <v>74</v>
      </c>
      <c r="L550" t="s">
        <v>74</v>
      </c>
      <c r="M550" t="s">
        <v>78</v>
      </c>
      <c r="N550" t="s">
        <v>79</v>
      </c>
      <c r="O550" t="s">
        <v>74</v>
      </c>
      <c r="P550" t="s">
        <v>74</v>
      </c>
      <c r="Q550" t="s">
        <v>74</v>
      </c>
      <c r="R550" t="s">
        <v>74</v>
      </c>
      <c r="S550" t="s">
        <v>74</v>
      </c>
      <c r="T550" t="s">
        <v>74</v>
      </c>
      <c r="U550" t="s">
        <v>10577</v>
      </c>
      <c r="V550" t="s">
        <v>10578</v>
      </c>
      <c r="W550" t="s">
        <v>10579</v>
      </c>
      <c r="X550" t="s">
        <v>10580</v>
      </c>
      <c r="Y550" t="s">
        <v>10581</v>
      </c>
      <c r="Z550" t="s">
        <v>10582</v>
      </c>
      <c r="AA550" t="s">
        <v>10583</v>
      </c>
      <c r="AB550" t="s">
        <v>10584</v>
      </c>
      <c r="AC550" t="s">
        <v>10585</v>
      </c>
      <c r="AD550" t="s">
        <v>10586</v>
      </c>
      <c r="AE550" t="s">
        <v>10587</v>
      </c>
      <c r="AF550" t="s">
        <v>74</v>
      </c>
      <c r="AG550">
        <v>42</v>
      </c>
      <c r="AH550">
        <v>51</v>
      </c>
      <c r="AI550">
        <v>56</v>
      </c>
      <c r="AJ550">
        <v>2</v>
      </c>
      <c r="AK550">
        <v>37</v>
      </c>
      <c r="AL550" t="s">
        <v>1090</v>
      </c>
      <c r="AM550" t="s">
        <v>1091</v>
      </c>
      <c r="AN550" t="s">
        <v>1092</v>
      </c>
      <c r="AO550" t="s">
        <v>1093</v>
      </c>
      <c r="AP550" t="s">
        <v>74</v>
      </c>
      <c r="AQ550" t="s">
        <v>74</v>
      </c>
      <c r="AR550" t="s">
        <v>1083</v>
      </c>
      <c r="AS550" t="s">
        <v>1094</v>
      </c>
      <c r="AT550" t="s">
        <v>10570</v>
      </c>
      <c r="AU550">
        <v>2014</v>
      </c>
      <c r="AV550">
        <v>9</v>
      </c>
      <c r="AW550">
        <v>6</v>
      </c>
      <c r="AX550" t="s">
        <v>74</v>
      </c>
      <c r="AY550" t="s">
        <v>74</v>
      </c>
      <c r="AZ550" t="s">
        <v>74</v>
      </c>
      <c r="BA550" t="s">
        <v>74</v>
      </c>
      <c r="BB550" t="s">
        <v>74</v>
      </c>
      <c r="BC550" t="s">
        <v>74</v>
      </c>
      <c r="BD550" t="s">
        <v>10588</v>
      </c>
      <c r="BE550" t="s">
        <v>10589</v>
      </c>
      <c r="BF550" t="str">
        <f>HYPERLINK("http://dx.doi.org/10.1371/journal.pone.0099996","http://dx.doi.org/10.1371/journal.pone.0099996")</f>
        <v>http://dx.doi.org/10.1371/journal.pone.0099996</v>
      </c>
      <c r="BG550" t="s">
        <v>74</v>
      </c>
      <c r="BH550" t="s">
        <v>74</v>
      </c>
      <c r="BI550">
        <v>8</v>
      </c>
      <c r="BJ550" t="s">
        <v>660</v>
      </c>
      <c r="BK550" t="s">
        <v>102</v>
      </c>
      <c r="BL550" t="s">
        <v>661</v>
      </c>
      <c r="BM550" t="s">
        <v>10590</v>
      </c>
      <c r="BN550">
        <v>24979619</v>
      </c>
      <c r="BO550" t="s">
        <v>10591</v>
      </c>
      <c r="BP550" t="s">
        <v>74</v>
      </c>
      <c r="BQ550" t="s">
        <v>74</v>
      </c>
      <c r="BR550" t="s">
        <v>105</v>
      </c>
      <c r="BS550" t="s">
        <v>10592</v>
      </c>
      <c r="BT550" t="str">
        <f>HYPERLINK("https%3A%2F%2Fwww.webofscience.com%2Fwos%2Fwoscc%2Ffull-record%2FWOS:000338506400014","View Full Record in Web of Science")</f>
        <v>View Full Record in Web of Science</v>
      </c>
    </row>
    <row r="551" spans="1:72" x14ac:dyDescent="0.15">
      <c r="A551" t="s">
        <v>72</v>
      </c>
      <c r="B551" t="s">
        <v>10593</v>
      </c>
      <c r="C551" t="s">
        <v>74</v>
      </c>
      <c r="D551" t="s">
        <v>74</v>
      </c>
      <c r="E551" t="s">
        <v>74</v>
      </c>
      <c r="F551" t="s">
        <v>10594</v>
      </c>
      <c r="G551" t="s">
        <v>74</v>
      </c>
      <c r="H551" t="s">
        <v>74</v>
      </c>
      <c r="I551" t="s">
        <v>10595</v>
      </c>
      <c r="J551" t="s">
        <v>10596</v>
      </c>
      <c r="K551" t="s">
        <v>74</v>
      </c>
      <c r="L551" t="s">
        <v>74</v>
      </c>
      <c r="M551" t="s">
        <v>78</v>
      </c>
      <c r="N551" t="s">
        <v>79</v>
      </c>
      <c r="O551" t="s">
        <v>74</v>
      </c>
      <c r="P551" t="s">
        <v>74</v>
      </c>
      <c r="Q551" t="s">
        <v>74</v>
      </c>
      <c r="R551" t="s">
        <v>74</v>
      </c>
      <c r="S551" t="s">
        <v>74</v>
      </c>
      <c r="T551" t="s">
        <v>74</v>
      </c>
      <c r="U551" t="s">
        <v>10597</v>
      </c>
      <c r="V551" t="s">
        <v>10598</v>
      </c>
      <c r="W551" t="s">
        <v>10599</v>
      </c>
      <c r="X551" t="s">
        <v>10600</v>
      </c>
      <c r="Y551" t="s">
        <v>10601</v>
      </c>
      <c r="Z551" t="s">
        <v>74</v>
      </c>
      <c r="AA551" t="s">
        <v>10602</v>
      </c>
      <c r="AB551" t="s">
        <v>10603</v>
      </c>
      <c r="AC551" t="s">
        <v>10604</v>
      </c>
      <c r="AD551" t="s">
        <v>10605</v>
      </c>
      <c r="AE551" t="s">
        <v>10606</v>
      </c>
      <c r="AF551" t="s">
        <v>74</v>
      </c>
      <c r="AG551">
        <v>58</v>
      </c>
      <c r="AH551">
        <v>44</v>
      </c>
      <c r="AI551">
        <v>47</v>
      </c>
      <c r="AJ551">
        <v>1</v>
      </c>
      <c r="AK551">
        <v>59</v>
      </c>
      <c r="AL551" t="s">
        <v>8645</v>
      </c>
      <c r="AM551" t="s">
        <v>526</v>
      </c>
      <c r="AN551" t="s">
        <v>10607</v>
      </c>
      <c r="AO551" t="s">
        <v>10608</v>
      </c>
      <c r="AP551" t="s">
        <v>10609</v>
      </c>
      <c r="AQ551" t="s">
        <v>74</v>
      </c>
      <c r="AR551" t="s">
        <v>10610</v>
      </c>
      <c r="AS551" t="s">
        <v>10611</v>
      </c>
      <c r="AT551" t="s">
        <v>10612</v>
      </c>
      <c r="AU551">
        <v>2014</v>
      </c>
      <c r="AV551">
        <v>140</v>
      </c>
      <c r="AW551">
        <v>24</v>
      </c>
      <c r="AX551" t="s">
        <v>74</v>
      </c>
      <c r="AY551" t="s">
        <v>74</v>
      </c>
      <c r="AZ551" t="s">
        <v>74</v>
      </c>
      <c r="BA551" t="s">
        <v>74</v>
      </c>
      <c r="BB551" t="s">
        <v>74</v>
      </c>
      <c r="BC551" t="s">
        <v>74</v>
      </c>
      <c r="BD551">
        <v>244306</v>
      </c>
      <c r="BE551" t="s">
        <v>10613</v>
      </c>
      <c r="BF551" t="str">
        <f>HYPERLINK("http://dx.doi.org/10.1063/1.4882899","http://dx.doi.org/10.1063/1.4882899")</f>
        <v>http://dx.doi.org/10.1063/1.4882899</v>
      </c>
      <c r="BG551" t="s">
        <v>74</v>
      </c>
      <c r="BH551" t="s">
        <v>74</v>
      </c>
      <c r="BI551">
        <v>14</v>
      </c>
      <c r="BJ551" t="s">
        <v>10614</v>
      </c>
      <c r="BK551" t="s">
        <v>102</v>
      </c>
      <c r="BL551" t="s">
        <v>10615</v>
      </c>
      <c r="BM551" t="s">
        <v>10616</v>
      </c>
      <c r="BN551">
        <v>24985637</v>
      </c>
      <c r="BO551" t="s">
        <v>289</v>
      </c>
      <c r="BP551" t="s">
        <v>74</v>
      </c>
      <c r="BQ551" t="s">
        <v>74</v>
      </c>
      <c r="BR551" t="s">
        <v>105</v>
      </c>
      <c r="BS551" t="s">
        <v>10617</v>
      </c>
      <c r="BT551" t="str">
        <f>HYPERLINK("https%3A%2F%2Fwww.webofscience.com%2Fwos%2Fwoscc%2Ffull-record%2FWOS:000338634200028","View Full Record in Web of Science")</f>
        <v>View Full Record in Web of Science</v>
      </c>
    </row>
    <row r="552" spans="1:72" x14ac:dyDescent="0.15">
      <c r="A552" t="s">
        <v>72</v>
      </c>
      <c r="B552" t="s">
        <v>10618</v>
      </c>
      <c r="C552" t="s">
        <v>74</v>
      </c>
      <c r="D552" t="s">
        <v>74</v>
      </c>
      <c r="E552" t="s">
        <v>74</v>
      </c>
      <c r="F552" t="s">
        <v>10619</v>
      </c>
      <c r="G552" t="s">
        <v>74</v>
      </c>
      <c r="H552" t="s">
        <v>74</v>
      </c>
      <c r="I552" t="s">
        <v>10620</v>
      </c>
      <c r="J552" t="s">
        <v>1058</v>
      </c>
      <c r="K552" t="s">
        <v>74</v>
      </c>
      <c r="L552" t="s">
        <v>74</v>
      </c>
      <c r="M552" t="s">
        <v>78</v>
      </c>
      <c r="N552" t="s">
        <v>79</v>
      </c>
      <c r="O552" t="s">
        <v>74</v>
      </c>
      <c r="P552" t="s">
        <v>74</v>
      </c>
      <c r="Q552" t="s">
        <v>74</v>
      </c>
      <c r="R552" t="s">
        <v>74</v>
      </c>
      <c r="S552" t="s">
        <v>74</v>
      </c>
      <c r="T552" t="s">
        <v>10621</v>
      </c>
      <c r="U552" t="s">
        <v>10622</v>
      </c>
      <c r="V552" t="s">
        <v>10623</v>
      </c>
      <c r="W552" t="s">
        <v>10624</v>
      </c>
      <c r="X552" t="s">
        <v>10625</v>
      </c>
      <c r="Y552" t="s">
        <v>10626</v>
      </c>
      <c r="Z552" t="s">
        <v>10627</v>
      </c>
      <c r="AA552" t="s">
        <v>10628</v>
      </c>
      <c r="AB552" t="s">
        <v>10629</v>
      </c>
      <c r="AC552" t="s">
        <v>10630</v>
      </c>
      <c r="AD552" t="s">
        <v>10631</v>
      </c>
      <c r="AE552" t="s">
        <v>10632</v>
      </c>
      <c r="AF552" t="s">
        <v>74</v>
      </c>
      <c r="AG552">
        <v>29</v>
      </c>
      <c r="AH552">
        <v>8</v>
      </c>
      <c r="AI552">
        <v>8</v>
      </c>
      <c r="AJ552">
        <v>0</v>
      </c>
      <c r="AK552">
        <v>3</v>
      </c>
      <c r="AL552" t="s">
        <v>1070</v>
      </c>
      <c r="AM552" t="s">
        <v>654</v>
      </c>
      <c r="AN552" t="s">
        <v>1071</v>
      </c>
      <c r="AO552" t="s">
        <v>1072</v>
      </c>
      <c r="AP552" t="s">
        <v>1073</v>
      </c>
      <c r="AQ552" t="s">
        <v>74</v>
      </c>
      <c r="AR552" t="s">
        <v>1074</v>
      </c>
      <c r="AS552" t="s">
        <v>1075</v>
      </c>
      <c r="AT552" t="s">
        <v>10612</v>
      </c>
      <c r="AU552">
        <v>2014</v>
      </c>
      <c r="AV552">
        <v>372</v>
      </c>
      <c r="AW552">
        <v>2018</v>
      </c>
      <c r="AX552" t="s">
        <v>74</v>
      </c>
      <c r="AY552" t="s">
        <v>74</v>
      </c>
      <c r="AZ552" t="s">
        <v>258</v>
      </c>
      <c r="BA552" t="s">
        <v>74</v>
      </c>
      <c r="BB552" t="s">
        <v>74</v>
      </c>
      <c r="BC552" t="s">
        <v>74</v>
      </c>
      <c r="BD552">
        <v>20130285</v>
      </c>
      <c r="BE552" t="s">
        <v>10633</v>
      </c>
      <c r="BF552" t="str">
        <f>HYPERLINK("http://dx.doi.org/10.1098/rsta.2013.0285","http://dx.doi.org/10.1098/rsta.2013.0285")</f>
        <v>http://dx.doi.org/10.1098/rsta.2013.0285</v>
      </c>
      <c r="BG552" t="s">
        <v>74</v>
      </c>
      <c r="BH552" t="s">
        <v>74</v>
      </c>
      <c r="BI552">
        <v>15</v>
      </c>
      <c r="BJ552" t="s">
        <v>660</v>
      </c>
      <c r="BK552" t="s">
        <v>102</v>
      </c>
      <c r="BL552" t="s">
        <v>661</v>
      </c>
      <c r="BM552" t="s">
        <v>10634</v>
      </c>
      <c r="BN552">
        <v>24842029</v>
      </c>
      <c r="BO552" t="s">
        <v>1053</v>
      </c>
      <c r="BP552" t="s">
        <v>74</v>
      </c>
      <c r="BQ552" t="s">
        <v>74</v>
      </c>
      <c r="BR552" t="s">
        <v>105</v>
      </c>
      <c r="BS552" t="s">
        <v>10635</v>
      </c>
      <c r="BT552" t="str">
        <f>HYPERLINK("https%3A%2F%2Fwww.webofscience.com%2Fwos%2Fwoscc%2Ffull-record%2FWOS:000336972400009","View Full Record in Web of Science")</f>
        <v>View Full Record in Web of Science</v>
      </c>
    </row>
    <row r="553" spans="1:72" x14ac:dyDescent="0.15">
      <c r="A553" t="s">
        <v>72</v>
      </c>
      <c r="B553" t="s">
        <v>10636</v>
      </c>
      <c r="C553" t="s">
        <v>74</v>
      </c>
      <c r="D553" t="s">
        <v>74</v>
      </c>
      <c r="E553" t="s">
        <v>74</v>
      </c>
      <c r="F553" t="s">
        <v>10637</v>
      </c>
      <c r="G553" t="s">
        <v>74</v>
      </c>
      <c r="H553" t="s">
        <v>74</v>
      </c>
      <c r="I553" t="s">
        <v>10638</v>
      </c>
      <c r="J553" t="s">
        <v>1018</v>
      </c>
      <c r="K553" t="s">
        <v>74</v>
      </c>
      <c r="L553" t="s">
        <v>74</v>
      </c>
      <c r="M553" t="s">
        <v>78</v>
      </c>
      <c r="N553" t="s">
        <v>79</v>
      </c>
      <c r="O553" t="s">
        <v>74</v>
      </c>
      <c r="P553" t="s">
        <v>74</v>
      </c>
      <c r="Q553" t="s">
        <v>74</v>
      </c>
      <c r="R553" t="s">
        <v>74</v>
      </c>
      <c r="S553" t="s">
        <v>74</v>
      </c>
      <c r="T553" t="s">
        <v>74</v>
      </c>
      <c r="U553" t="s">
        <v>10639</v>
      </c>
      <c r="V553" t="s">
        <v>10640</v>
      </c>
      <c r="W553" t="s">
        <v>10641</v>
      </c>
      <c r="X553" t="s">
        <v>10642</v>
      </c>
      <c r="Y553" t="s">
        <v>10643</v>
      </c>
      <c r="Z553" t="s">
        <v>10644</v>
      </c>
      <c r="AA553" t="s">
        <v>10645</v>
      </c>
      <c r="AB553" t="s">
        <v>10646</v>
      </c>
      <c r="AC553" t="s">
        <v>10647</v>
      </c>
      <c r="AD553" t="s">
        <v>10648</v>
      </c>
      <c r="AE553" t="s">
        <v>10649</v>
      </c>
      <c r="AF553" t="s">
        <v>74</v>
      </c>
      <c r="AG553">
        <v>28</v>
      </c>
      <c r="AH553">
        <v>70</v>
      </c>
      <c r="AI553">
        <v>74</v>
      </c>
      <c r="AJ553">
        <v>1</v>
      </c>
      <c r="AK553">
        <v>29</v>
      </c>
      <c r="AL553" t="s">
        <v>331</v>
      </c>
      <c r="AM553" t="s">
        <v>332</v>
      </c>
      <c r="AN553" t="s">
        <v>333</v>
      </c>
      <c r="AO553" t="s">
        <v>1030</v>
      </c>
      <c r="AP553" t="s">
        <v>1031</v>
      </c>
      <c r="AQ553" t="s">
        <v>74</v>
      </c>
      <c r="AR553" t="s">
        <v>1032</v>
      </c>
      <c r="AS553" t="s">
        <v>1033</v>
      </c>
      <c r="AT553" t="s">
        <v>10612</v>
      </c>
      <c r="AU553">
        <v>2014</v>
      </c>
      <c r="AV553">
        <v>41</v>
      </c>
      <c r="AW553">
        <v>12</v>
      </c>
      <c r="AX553" t="s">
        <v>74</v>
      </c>
      <c r="AY553" t="s">
        <v>74</v>
      </c>
      <c r="AZ553" t="s">
        <v>74</v>
      </c>
      <c r="BA553" t="s">
        <v>74</v>
      </c>
      <c r="BB553">
        <v>4201</v>
      </c>
      <c r="BC553">
        <v>4206</v>
      </c>
      <c r="BD553" t="s">
        <v>74</v>
      </c>
      <c r="BE553" t="s">
        <v>10650</v>
      </c>
      <c r="BF553" t="str">
        <f>HYPERLINK("http://dx.doi.org/10.1002/2014GL060274","http://dx.doi.org/10.1002/2014GL060274")</f>
        <v>http://dx.doi.org/10.1002/2014GL060274</v>
      </c>
      <c r="BG553" t="s">
        <v>74</v>
      </c>
      <c r="BH553" t="s">
        <v>74</v>
      </c>
      <c r="BI553">
        <v>6</v>
      </c>
      <c r="BJ553" t="s">
        <v>685</v>
      </c>
      <c r="BK553" t="s">
        <v>102</v>
      </c>
      <c r="BL553" t="s">
        <v>686</v>
      </c>
      <c r="BM553" t="s">
        <v>10651</v>
      </c>
      <c r="BN553" t="s">
        <v>74</v>
      </c>
      <c r="BO553" t="s">
        <v>2979</v>
      </c>
      <c r="BP553" t="s">
        <v>74</v>
      </c>
      <c r="BQ553" t="s">
        <v>74</v>
      </c>
      <c r="BR553" t="s">
        <v>105</v>
      </c>
      <c r="BS553" t="s">
        <v>10652</v>
      </c>
      <c r="BT553" t="str">
        <f>HYPERLINK("https%3A%2F%2Fwww.webofscience.com%2Fwos%2Fwoscc%2Ffull-record%2FWOS:000340294300013","View Full Record in Web of Science")</f>
        <v>View Full Record in Web of Science</v>
      </c>
    </row>
    <row r="554" spans="1:72" x14ac:dyDescent="0.15">
      <c r="A554" t="s">
        <v>72</v>
      </c>
      <c r="B554" t="s">
        <v>10653</v>
      </c>
      <c r="C554" t="s">
        <v>74</v>
      </c>
      <c r="D554" t="s">
        <v>74</v>
      </c>
      <c r="E554" t="s">
        <v>74</v>
      </c>
      <c r="F554" t="s">
        <v>10654</v>
      </c>
      <c r="G554" t="s">
        <v>74</v>
      </c>
      <c r="H554" t="s">
        <v>74</v>
      </c>
      <c r="I554" t="s">
        <v>10655</v>
      </c>
      <c r="J554" t="s">
        <v>1018</v>
      </c>
      <c r="K554" t="s">
        <v>74</v>
      </c>
      <c r="L554" t="s">
        <v>74</v>
      </c>
      <c r="M554" t="s">
        <v>78</v>
      </c>
      <c r="N554" t="s">
        <v>79</v>
      </c>
      <c r="O554" t="s">
        <v>74</v>
      </c>
      <c r="P554" t="s">
        <v>74</v>
      </c>
      <c r="Q554" t="s">
        <v>74</v>
      </c>
      <c r="R554" t="s">
        <v>74</v>
      </c>
      <c r="S554" t="s">
        <v>74</v>
      </c>
      <c r="T554" t="s">
        <v>74</v>
      </c>
      <c r="U554" t="s">
        <v>10656</v>
      </c>
      <c r="V554" t="s">
        <v>10657</v>
      </c>
      <c r="W554" t="s">
        <v>1802</v>
      </c>
      <c r="X554" t="s">
        <v>1022</v>
      </c>
      <c r="Y554" t="s">
        <v>10658</v>
      </c>
      <c r="Z554" t="s">
        <v>10659</v>
      </c>
      <c r="AA554" t="s">
        <v>10660</v>
      </c>
      <c r="AB554" t="s">
        <v>74</v>
      </c>
      <c r="AC554" t="s">
        <v>10661</v>
      </c>
      <c r="AD554" t="s">
        <v>678</v>
      </c>
      <c r="AE554" t="s">
        <v>74</v>
      </c>
      <c r="AF554" t="s">
        <v>74</v>
      </c>
      <c r="AG554">
        <v>29</v>
      </c>
      <c r="AH554">
        <v>114</v>
      </c>
      <c r="AI554">
        <v>124</v>
      </c>
      <c r="AJ554">
        <v>3</v>
      </c>
      <c r="AK554">
        <v>39</v>
      </c>
      <c r="AL554" t="s">
        <v>331</v>
      </c>
      <c r="AM554" t="s">
        <v>332</v>
      </c>
      <c r="AN554" t="s">
        <v>333</v>
      </c>
      <c r="AO554" t="s">
        <v>1030</v>
      </c>
      <c r="AP554" t="s">
        <v>1031</v>
      </c>
      <c r="AQ554" t="s">
        <v>74</v>
      </c>
      <c r="AR554" t="s">
        <v>1032</v>
      </c>
      <c r="AS554" t="s">
        <v>1033</v>
      </c>
      <c r="AT554" t="s">
        <v>10612</v>
      </c>
      <c r="AU554">
        <v>2014</v>
      </c>
      <c r="AV554">
        <v>41</v>
      </c>
      <c r="AW554">
        <v>12</v>
      </c>
      <c r="AX554" t="s">
        <v>74</v>
      </c>
      <c r="AY554" t="s">
        <v>74</v>
      </c>
      <c r="AZ554" t="s">
        <v>74</v>
      </c>
      <c r="BA554" t="s">
        <v>74</v>
      </c>
      <c r="BB554">
        <v>4230</v>
      </c>
      <c r="BC554">
        <v>4237</v>
      </c>
      <c r="BD554" t="s">
        <v>74</v>
      </c>
      <c r="BE554" t="s">
        <v>10662</v>
      </c>
      <c r="BF554" t="str">
        <f>HYPERLINK("http://dx.doi.org/10.1002/2014GL060172","http://dx.doi.org/10.1002/2014GL060172")</f>
        <v>http://dx.doi.org/10.1002/2014GL060172</v>
      </c>
      <c r="BG554" t="s">
        <v>74</v>
      </c>
      <c r="BH554" t="s">
        <v>74</v>
      </c>
      <c r="BI554">
        <v>8</v>
      </c>
      <c r="BJ554" t="s">
        <v>685</v>
      </c>
      <c r="BK554" t="s">
        <v>102</v>
      </c>
      <c r="BL554" t="s">
        <v>686</v>
      </c>
      <c r="BM554" t="s">
        <v>10651</v>
      </c>
      <c r="BN554" t="s">
        <v>74</v>
      </c>
      <c r="BO554" t="s">
        <v>341</v>
      </c>
      <c r="BP554" t="s">
        <v>74</v>
      </c>
      <c r="BQ554" t="s">
        <v>74</v>
      </c>
      <c r="BR554" t="s">
        <v>105</v>
      </c>
      <c r="BS554" t="s">
        <v>10663</v>
      </c>
      <c r="BT554" t="str">
        <f>HYPERLINK("https%3A%2F%2Fwww.webofscience.com%2Fwos%2Fwoscc%2Ffull-record%2FWOS:000340294300017","View Full Record in Web of Science")</f>
        <v>View Full Record in Web of Science</v>
      </c>
    </row>
    <row r="555" spans="1:72" x14ac:dyDescent="0.15">
      <c r="A555" t="s">
        <v>72</v>
      </c>
      <c r="B555" t="s">
        <v>10664</v>
      </c>
      <c r="C555" t="s">
        <v>74</v>
      </c>
      <c r="D555" t="s">
        <v>74</v>
      </c>
      <c r="E555" t="s">
        <v>74</v>
      </c>
      <c r="F555" t="s">
        <v>10665</v>
      </c>
      <c r="G555" t="s">
        <v>74</v>
      </c>
      <c r="H555" t="s">
        <v>74</v>
      </c>
      <c r="I555" t="s">
        <v>10666</v>
      </c>
      <c r="J555" t="s">
        <v>10596</v>
      </c>
      <c r="K555" t="s">
        <v>74</v>
      </c>
      <c r="L555" t="s">
        <v>74</v>
      </c>
      <c r="M555" t="s">
        <v>78</v>
      </c>
      <c r="N555" t="s">
        <v>79</v>
      </c>
      <c r="O555" t="s">
        <v>74</v>
      </c>
      <c r="P555" t="s">
        <v>74</v>
      </c>
      <c r="Q555" t="s">
        <v>74</v>
      </c>
      <c r="R555" t="s">
        <v>74</v>
      </c>
      <c r="S555" t="s">
        <v>74</v>
      </c>
      <c r="T555" t="s">
        <v>74</v>
      </c>
      <c r="U555" t="s">
        <v>10667</v>
      </c>
      <c r="V555" t="s">
        <v>10668</v>
      </c>
      <c r="W555" t="s">
        <v>10669</v>
      </c>
      <c r="X555" t="s">
        <v>10670</v>
      </c>
      <c r="Y555" t="s">
        <v>10671</v>
      </c>
      <c r="Z555" t="s">
        <v>10672</v>
      </c>
      <c r="AA555" t="s">
        <v>10673</v>
      </c>
      <c r="AB555" t="s">
        <v>10674</v>
      </c>
      <c r="AC555" t="s">
        <v>10675</v>
      </c>
      <c r="AD555" t="s">
        <v>10676</v>
      </c>
      <c r="AE555" t="s">
        <v>10677</v>
      </c>
      <c r="AF555" t="s">
        <v>74</v>
      </c>
      <c r="AG555">
        <v>52</v>
      </c>
      <c r="AH555">
        <v>41</v>
      </c>
      <c r="AI555">
        <v>43</v>
      </c>
      <c r="AJ555">
        <v>2</v>
      </c>
      <c r="AK555">
        <v>58</v>
      </c>
      <c r="AL555" t="s">
        <v>8645</v>
      </c>
      <c r="AM555" t="s">
        <v>526</v>
      </c>
      <c r="AN555" t="s">
        <v>10607</v>
      </c>
      <c r="AO555" t="s">
        <v>10608</v>
      </c>
      <c r="AP555" t="s">
        <v>10609</v>
      </c>
      <c r="AQ555" t="s">
        <v>74</v>
      </c>
      <c r="AR555" t="s">
        <v>10610</v>
      </c>
      <c r="AS555" t="s">
        <v>10611</v>
      </c>
      <c r="AT555" t="s">
        <v>10612</v>
      </c>
      <c r="AU555">
        <v>2014</v>
      </c>
      <c r="AV555">
        <v>140</v>
      </c>
      <c r="AW555">
        <v>24</v>
      </c>
      <c r="AX555" t="s">
        <v>74</v>
      </c>
      <c r="AY555" t="s">
        <v>74</v>
      </c>
      <c r="AZ555" t="s">
        <v>74</v>
      </c>
      <c r="BA555" t="s">
        <v>74</v>
      </c>
      <c r="BB555" t="s">
        <v>74</v>
      </c>
      <c r="BC555" t="s">
        <v>74</v>
      </c>
      <c r="BD555">
        <v>244305</v>
      </c>
      <c r="BE555" t="s">
        <v>10678</v>
      </c>
      <c r="BF555" t="str">
        <f>HYPERLINK("http://dx.doi.org/10.1063/1.4882898","http://dx.doi.org/10.1063/1.4882898")</f>
        <v>http://dx.doi.org/10.1063/1.4882898</v>
      </c>
      <c r="BG555" t="s">
        <v>74</v>
      </c>
      <c r="BH555" t="s">
        <v>74</v>
      </c>
      <c r="BI555">
        <v>14</v>
      </c>
      <c r="BJ555" t="s">
        <v>10614</v>
      </c>
      <c r="BK555" t="s">
        <v>102</v>
      </c>
      <c r="BL555" t="s">
        <v>10615</v>
      </c>
      <c r="BM555" t="s">
        <v>10616</v>
      </c>
      <c r="BN555">
        <v>24985636</v>
      </c>
      <c r="BO555" t="s">
        <v>289</v>
      </c>
      <c r="BP555" t="s">
        <v>74</v>
      </c>
      <c r="BQ555" t="s">
        <v>74</v>
      </c>
      <c r="BR555" t="s">
        <v>105</v>
      </c>
      <c r="BS555" t="s">
        <v>10679</v>
      </c>
      <c r="BT555" t="str">
        <f>HYPERLINK("https%3A%2F%2Fwww.webofscience.com%2Fwos%2Fwoscc%2Ffull-record%2FWOS:000338634200027","View Full Record in Web of Science")</f>
        <v>View Full Record in Web of Science</v>
      </c>
    </row>
    <row r="556" spans="1:72" x14ac:dyDescent="0.15">
      <c r="A556" t="s">
        <v>72</v>
      </c>
      <c r="B556" t="s">
        <v>10680</v>
      </c>
      <c r="C556" t="s">
        <v>74</v>
      </c>
      <c r="D556" t="s">
        <v>74</v>
      </c>
      <c r="E556" t="s">
        <v>74</v>
      </c>
      <c r="F556" t="s">
        <v>10681</v>
      </c>
      <c r="G556" t="s">
        <v>74</v>
      </c>
      <c r="H556" t="s">
        <v>74</v>
      </c>
      <c r="I556" t="s">
        <v>10682</v>
      </c>
      <c r="J556" t="s">
        <v>1058</v>
      </c>
      <c r="K556" t="s">
        <v>74</v>
      </c>
      <c r="L556" t="s">
        <v>74</v>
      </c>
      <c r="M556" t="s">
        <v>78</v>
      </c>
      <c r="N556" t="s">
        <v>79</v>
      </c>
      <c r="O556" t="s">
        <v>74</v>
      </c>
      <c r="P556" t="s">
        <v>74</v>
      </c>
      <c r="Q556" t="s">
        <v>74</v>
      </c>
      <c r="R556" t="s">
        <v>74</v>
      </c>
      <c r="S556" t="s">
        <v>74</v>
      </c>
      <c r="T556" t="s">
        <v>10683</v>
      </c>
      <c r="U556" t="s">
        <v>10684</v>
      </c>
      <c r="V556" t="s">
        <v>10685</v>
      </c>
      <c r="W556" t="s">
        <v>10686</v>
      </c>
      <c r="X556" t="s">
        <v>2873</v>
      </c>
      <c r="Y556" t="s">
        <v>10687</v>
      </c>
      <c r="Z556" t="s">
        <v>10688</v>
      </c>
      <c r="AA556" t="s">
        <v>10689</v>
      </c>
      <c r="AB556" t="s">
        <v>10690</v>
      </c>
      <c r="AC556" t="s">
        <v>10691</v>
      </c>
      <c r="AD556" t="s">
        <v>10692</v>
      </c>
      <c r="AE556" t="s">
        <v>10693</v>
      </c>
      <c r="AF556" t="s">
        <v>74</v>
      </c>
      <c r="AG556">
        <v>49</v>
      </c>
      <c r="AH556">
        <v>19</v>
      </c>
      <c r="AI556">
        <v>19</v>
      </c>
      <c r="AJ556">
        <v>0</v>
      </c>
      <c r="AK556">
        <v>9</v>
      </c>
      <c r="AL556" t="s">
        <v>1070</v>
      </c>
      <c r="AM556" t="s">
        <v>654</v>
      </c>
      <c r="AN556" t="s">
        <v>1071</v>
      </c>
      <c r="AO556" t="s">
        <v>1072</v>
      </c>
      <c r="AP556" t="s">
        <v>1073</v>
      </c>
      <c r="AQ556" t="s">
        <v>74</v>
      </c>
      <c r="AR556" t="s">
        <v>1074</v>
      </c>
      <c r="AS556" t="s">
        <v>1075</v>
      </c>
      <c r="AT556" t="s">
        <v>10612</v>
      </c>
      <c r="AU556">
        <v>2014</v>
      </c>
      <c r="AV556">
        <v>372</v>
      </c>
      <c r="AW556">
        <v>2018</v>
      </c>
      <c r="AX556" t="s">
        <v>74</v>
      </c>
      <c r="AY556" t="s">
        <v>74</v>
      </c>
      <c r="AZ556" t="s">
        <v>258</v>
      </c>
      <c r="BA556" t="s">
        <v>74</v>
      </c>
      <c r="BB556" t="s">
        <v>74</v>
      </c>
      <c r="BC556" t="s">
        <v>74</v>
      </c>
      <c r="BD556">
        <v>20130283</v>
      </c>
      <c r="BE556" t="s">
        <v>10694</v>
      </c>
      <c r="BF556" t="str">
        <f>HYPERLINK("http://dx.doi.org/10.1098/rsta.2013.0283","http://dx.doi.org/10.1098/rsta.2013.0283")</f>
        <v>http://dx.doi.org/10.1098/rsta.2013.0283</v>
      </c>
      <c r="BG556" t="s">
        <v>74</v>
      </c>
      <c r="BH556" t="s">
        <v>74</v>
      </c>
      <c r="BI556">
        <v>17</v>
      </c>
      <c r="BJ556" t="s">
        <v>660</v>
      </c>
      <c r="BK556" t="s">
        <v>102</v>
      </c>
      <c r="BL556" t="s">
        <v>661</v>
      </c>
      <c r="BM556" t="s">
        <v>10634</v>
      </c>
      <c r="BN556">
        <v>24842027</v>
      </c>
      <c r="BO556" t="s">
        <v>2647</v>
      </c>
      <c r="BP556" t="s">
        <v>74</v>
      </c>
      <c r="BQ556" t="s">
        <v>74</v>
      </c>
      <c r="BR556" t="s">
        <v>105</v>
      </c>
      <c r="BS556" t="s">
        <v>10695</v>
      </c>
      <c r="BT556" t="str">
        <f>HYPERLINK("https%3A%2F%2Fwww.webofscience.com%2Fwos%2Fwoscc%2Ffull-record%2FWOS:000336972400007","View Full Record in Web of Science")</f>
        <v>View Full Record in Web of Science</v>
      </c>
    </row>
    <row r="557" spans="1:72" x14ac:dyDescent="0.15">
      <c r="A557" t="s">
        <v>72</v>
      </c>
      <c r="B557" t="s">
        <v>10696</v>
      </c>
      <c r="C557" t="s">
        <v>74</v>
      </c>
      <c r="D557" t="s">
        <v>74</v>
      </c>
      <c r="E557" t="s">
        <v>74</v>
      </c>
      <c r="F557" t="s">
        <v>10697</v>
      </c>
      <c r="G557" t="s">
        <v>74</v>
      </c>
      <c r="H557" t="s">
        <v>74</v>
      </c>
      <c r="I557" t="s">
        <v>10698</v>
      </c>
      <c r="J557" t="s">
        <v>4474</v>
      </c>
      <c r="K557" t="s">
        <v>74</v>
      </c>
      <c r="L557" t="s">
        <v>74</v>
      </c>
      <c r="M557" t="s">
        <v>78</v>
      </c>
      <c r="N557" t="s">
        <v>79</v>
      </c>
      <c r="O557" t="s">
        <v>74</v>
      </c>
      <c r="P557" t="s">
        <v>74</v>
      </c>
      <c r="Q557" t="s">
        <v>74</v>
      </c>
      <c r="R557" t="s">
        <v>74</v>
      </c>
      <c r="S557" t="s">
        <v>74</v>
      </c>
      <c r="T557" t="s">
        <v>74</v>
      </c>
      <c r="U557" t="s">
        <v>10699</v>
      </c>
      <c r="V557" t="s">
        <v>10700</v>
      </c>
      <c r="W557" t="s">
        <v>10701</v>
      </c>
      <c r="X557" t="s">
        <v>10702</v>
      </c>
      <c r="Y557" t="s">
        <v>10703</v>
      </c>
      <c r="Z557" t="s">
        <v>10704</v>
      </c>
      <c r="AA557" t="s">
        <v>10705</v>
      </c>
      <c r="AB557" t="s">
        <v>10706</v>
      </c>
      <c r="AC557" t="s">
        <v>10707</v>
      </c>
      <c r="AD557" t="s">
        <v>10707</v>
      </c>
      <c r="AE557" t="s">
        <v>10708</v>
      </c>
      <c r="AF557" t="s">
        <v>74</v>
      </c>
      <c r="AG557">
        <v>36</v>
      </c>
      <c r="AH557">
        <v>16</v>
      </c>
      <c r="AI557">
        <v>20</v>
      </c>
      <c r="AJ557">
        <v>0</v>
      </c>
      <c r="AK557">
        <v>14</v>
      </c>
      <c r="AL557" t="s">
        <v>331</v>
      </c>
      <c r="AM557" t="s">
        <v>332</v>
      </c>
      <c r="AN557" t="s">
        <v>333</v>
      </c>
      <c r="AO557" t="s">
        <v>4485</v>
      </c>
      <c r="AP557" t="s">
        <v>4486</v>
      </c>
      <c r="AQ557" t="s">
        <v>74</v>
      </c>
      <c r="AR557" t="s">
        <v>4487</v>
      </c>
      <c r="AS557" t="s">
        <v>4488</v>
      </c>
      <c r="AT557" t="s">
        <v>10709</v>
      </c>
      <c r="AU557">
        <v>2014</v>
      </c>
      <c r="AV557">
        <v>119</v>
      </c>
      <c r="AW557">
        <v>12</v>
      </c>
      <c r="AX557" t="s">
        <v>74</v>
      </c>
      <c r="AY557" t="s">
        <v>74</v>
      </c>
      <c r="AZ557" t="s">
        <v>74</v>
      </c>
      <c r="BA557" t="s">
        <v>74</v>
      </c>
      <c r="BB557">
        <v>7136</v>
      </c>
      <c r="BC557">
        <v>7159</v>
      </c>
      <c r="BD557" t="s">
        <v>74</v>
      </c>
      <c r="BE557" t="s">
        <v>10710</v>
      </c>
      <c r="BF557" t="str">
        <f>HYPERLINK("http://dx.doi.org/10.1002/2013JD020847","http://dx.doi.org/10.1002/2013JD020847")</f>
        <v>http://dx.doi.org/10.1002/2013JD020847</v>
      </c>
      <c r="BG557" t="s">
        <v>74</v>
      </c>
      <c r="BH557" t="s">
        <v>74</v>
      </c>
      <c r="BI557">
        <v>24</v>
      </c>
      <c r="BJ557" t="s">
        <v>177</v>
      </c>
      <c r="BK557" t="s">
        <v>102</v>
      </c>
      <c r="BL557" t="s">
        <v>177</v>
      </c>
      <c r="BM557" t="s">
        <v>10711</v>
      </c>
      <c r="BN557" t="s">
        <v>74</v>
      </c>
      <c r="BO557" t="s">
        <v>179</v>
      </c>
      <c r="BP557" t="s">
        <v>74</v>
      </c>
      <c r="BQ557" t="s">
        <v>74</v>
      </c>
      <c r="BR557" t="s">
        <v>105</v>
      </c>
      <c r="BS557" t="s">
        <v>10712</v>
      </c>
      <c r="BT557" t="str">
        <f>HYPERLINK("https%3A%2F%2Fwww.webofscience.com%2Fwos%2Fwoscc%2Ffull-record%2FWOS:000340247000009","View Full Record in Web of Science")</f>
        <v>View Full Record in Web of Science</v>
      </c>
    </row>
    <row r="558" spans="1:72" x14ac:dyDescent="0.15">
      <c r="A558" t="s">
        <v>72</v>
      </c>
      <c r="B558" t="s">
        <v>10713</v>
      </c>
      <c r="C558" t="s">
        <v>74</v>
      </c>
      <c r="D558" t="s">
        <v>74</v>
      </c>
      <c r="E558" t="s">
        <v>74</v>
      </c>
      <c r="F558" t="s">
        <v>10714</v>
      </c>
      <c r="G558" t="s">
        <v>74</v>
      </c>
      <c r="H558" t="s">
        <v>74</v>
      </c>
      <c r="I558" t="s">
        <v>10715</v>
      </c>
      <c r="J558" t="s">
        <v>1083</v>
      </c>
      <c r="K558" t="s">
        <v>74</v>
      </c>
      <c r="L558" t="s">
        <v>74</v>
      </c>
      <c r="M558" t="s">
        <v>78</v>
      </c>
      <c r="N558" t="s">
        <v>79</v>
      </c>
      <c r="O558" t="s">
        <v>74</v>
      </c>
      <c r="P558" t="s">
        <v>74</v>
      </c>
      <c r="Q558" t="s">
        <v>74</v>
      </c>
      <c r="R558" t="s">
        <v>74</v>
      </c>
      <c r="S558" t="s">
        <v>74</v>
      </c>
      <c r="T558" t="s">
        <v>74</v>
      </c>
      <c r="U558" t="s">
        <v>10716</v>
      </c>
      <c r="V558" t="s">
        <v>10717</v>
      </c>
      <c r="W558" t="s">
        <v>10718</v>
      </c>
      <c r="X558" t="s">
        <v>10719</v>
      </c>
      <c r="Y558" t="s">
        <v>10720</v>
      </c>
      <c r="Z558" t="s">
        <v>10721</v>
      </c>
      <c r="AA558" t="s">
        <v>74</v>
      </c>
      <c r="AB558" t="s">
        <v>74</v>
      </c>
      <c r="AC558" t="s">
        <v>10722</v>
      </c>
      <c r="AD558" t="s">
        <v>10723</v>
      </c>
      <c r="AE558" t="s">
        <v>10724</v>
      </c>
      <c r="AF558" t="s">
        <v>74</v>
      </c>
      <c r="AG558">
        <v>52</v>
      </c>
      <c r="AH558">
        <v>7</v>
      </c>
      <c r="AI558">
        <v>8</v>
      </c>
      <c r="AJ558">
        <v>0</v>
      </c>
      <c r="AK558">
        <v>22</v>
      </c>
      <c r="AL558" t="s">
        <v>1090</v>
      </c>
      <c r="AM558" t="s">
        <v>1091</v>
      </c>
      <c r="AN558" t="s">
        <v>1092</v>
      </c>
      <c r="AO558" t="s">
        <v>1093</v>
      </c>
      <c r="AP558" t="s">
        <v>74</v>
      </c>
      <c r="AQ558" t="s">
        <v>74</v>
      </c>
      <c r="AR558" t="s">
        <v>1083</v>
      </c>
      <c r="AS558" t="s">
        <v>1094</v>
      </c>
      <c r="AT558" t="s">
        <v>10725</v>
      </c>
      <c r="AU558">
        <v>2014</v>
      </c>
      <c r="AV558">
        <v>9</v>
      </c>
      <c r="AW558">
        <v>6</v>
      </c>
      <c r="AX558" t="s">
        <v>74</v>
      </c>
      <c r="AY558" t="s">
        <v>74</v>
      </c>
      <c r="AZ558" t="s">
        <v>74</v>
      </c>
      <c r="BA558" t="s">
        <v>74</v>
      </c>
      <c r="BB558" t="s">
        <v>74</v>
      </c>
      <c r="BC558" t="s">
        <v>74</v>
      </c>
      <c r="BD558" t="s">
        <v>10726</v>
      </c>
      <c r="BE558" t="s">
        <v>10727</v>
      </c>
      <c r="BF558" t="str">
        <f>HYPERLINK("http://dx.doi.org/10.1371/journal.pone.0100735","http://dx.doi.org/10.1371/journal.pone.0100735")</f>
        <v>http://dx.doi.org/10.1371/journal.pone.0100735</v>
      </c>
      <c r="BG558" t="s">
        <v>74</v>
      </c>
      <c r="BH558" t="s">
        <v>74</v>
      </c>
      <c r="BI558">
        <v>9</v>
      </c>
      <c r="BJ558" t="s">
        <v>660</v>
      </c>
      <c r="BK558" t="s">
        <v>102</v>
      </c>
      <c r="BL558" t="s">
        <v>661</v>
      </c>
      <c r="BM558" t="s">
        <v>10728</v>
      </c>
      <c r="BN558">
        <v>24968131</v>
      </c>
      <c r="BO558" t="s">
        <v>1231</v>
      </c>
      <c r="BP558" t="s">
        <v>74</v>
      </c>
      <c r="BQ558" t="s">
        <v>74</v>
      </c>
      <c r="BR558" t="s">
        <v>105</v>
      </c>
      <c r="BS558" t="s">
        <v>10729</v>
      </c>
      <c r="BT558" t="str">
        <f>HYPERLINK("https%3A%2F%2Fwww.webofscience.com%2Fwos%2Fwoscc%2Ffull-record%2FWOS:000338280800060","View Full Record in Web of Science")</f>
        <v>View Full Record in Web of Science</v>
      </c>
    </row>
    <row r="559" spans="1:72" x14ac:dyDescent="0.15">
      <c r="A559" t="s">
        <v>72</v>
      </c>
      <c r="B559" t="s">
        <v>10730</v>
      </c>
      <c r="C559" t="s">
        <v>74</v>
      </c>
      <c r="D559" t="s">
        <v>74</v>
      </c>
      <c r="E559" t="s">
        <v>74</v>
      </c>
      <c r="F559" t="s">
        <v>10731</v>
      </c>
      <c r="G559" t="s">
        <v>74</v>
      </c>
      <c r="H559" t="s">
        <v>74</v>
      </c>
      <c r="I559" t="s">
        <v>10732</v>
      </c>
      <c r="J559" t="s">
        <v>1083</v>
      </c>
      <c r="K559" t="s">
        <v>74</v>
      </c>
      <c r="L559" t="s">
        <v>74</v>
      </c>
      <c r="M559" t="s">
        <v>78</v>
      </c>
      <c r="N559" t="s">
        <v>79</v>
      </c>
      <c r="O559" t="s">
        <v>74</v>
      </c>
      <c r="P559" t="s">
        <v>74</v>
      </c>
      <c r="Q559" t="s">
        <v>74</v>
      </c>
      <c r="R559" t="s">
        <v>74</v>
      </c>
      <c r="S559" t="s">
        <v>74</v>
      </c>
      <c r="T559" t="s">
        <v>74</v>
      </c>
      <c r="U559" t="s">
        <v>10733</v>
      </c>
      <c r="V559" t="s">
        <v>10734</v>
      </c>
      <c r="W559" t="s">
        <v>10735</v>
      </c>
      <c r="X559" t="s">
        <v>10736</v>
      </c>
      <c r="Y559" t="s">
        <v>10737</v>
      </c>
      <c r="Z559" t="s">
        <v>10738</v>
      </c>
      <c r="AA559" t="s">
        <v>10739</v>
      </c>
      <c r="AB559" t="s">
        <v>10740</v>
      </c>
      <c r="AC559" t="s">
        <v>10741</v>
      </c>
      <c r="AD559" t="s">
        <v>10742</v>
      </c>
      <c r="AE559" t="s">
        <v>10743</v>
      </c>
      <c r="AF559" t="s">
        <v>74</v>
      </c>
      <c r="AG559">
        <v>35</v>
      </c>
      <c r="AH559">
        <v>15</v>
      </c>
      <c r="AI559">
        <v>16</v>
      </c>
      <c r="AJ559">
        <v>2</v>
      </c>
      <c r="AK559">
        <v>38</v>
      </c>
      <c r="AL559" t="s">
        <v>1090</v>
      </c>
      <c r="AM559" t="s">
        <v>1091</v>
      </c>
      <c r="AN559" t="s">
        <v>1092</v>
      </c>
      <c r="AO559" t="s">
        <v>1093</v>
      </c>
      <c r="AP559" t="s">
        <v>74</v>
      </c>
      <c r="AQ559" t="s">
        <v>74</v>
      </c>
      <c r="AR559" t="s">
        <v>1083</v>
      </c>
      <c r="AS559" t="s">
        <v>1094</v>
      </c>
      <c r="AT559" t="s">
        <v>10744</v>
      </c>
      <c r="AU559">
        <v>2014</v>
      </c>
      <c r="AV559">
        <v>9</v>
      </c>
      <c r="AW559">
        <v>6</v>
      </c>
      <c r="AX559" t="s">
        <v>74</v>
      </c>
      <c r="AY559" t="s">
        <v>74</v>
      </c>
      <c r="AZ559" t="s">
        <v>74</v>
      </c>
      <c r="BA559" t="s">
        <v>74</v>
      </c>
      <c r="BB559" t="s">
        <v>74</v>
      </c>
      <c r="BC559" t="s">
        <v>74</v>
      </c>
      <c r="BD559" t="s">
        <v>10745</v>
      </c>
      <c r="BE559" t="s">
        <v>10746</v>
      </c>
      <c r="BF559" t="str">
        <f>HYPERLINK("http://dx.doi.org/10.1371/journal.pone.0100404","http://dx.doi.org/10.1371/journal.pone.0100404")</f>
        <v>http://dx.doi.org/10.1371/journal.pone.0100404</v>
      </c>
      <c r="BG559" t="s">
        <v>74</v>
      </c>
      <c r="BH559" t="s">
        <v>74</v>
      </c>
      <c r="BI559">
        <v>8</v>
      </c>
      <c r="BJ559" t="s">
        <v>660</v>
      </c>
      <c r="BK559" t="s">
        <v>102</v>
      </c>
      <c r="BL559" t="s">
        <v>661</v>
      </c>
      <c r="BM559" t="s">
        <v>10747</v>
      </c>
      <c r="BN559">
        <v>24963661</v>
      </c>
      <c r="BO559" t="s">
        <v>10748</v>
      </c>
      <c r="BP559" t="s">
        <v>74</v>
      </c>
      <c r="BQ559" t="s">
        <v>74</v>
      </c>
      <c r="BR559" t="s">
        <v>105</v>
      </c>
      <c r="BS559" t="s">
        <v>10749</v>
      </c>
      <c r="BT559" t="str">
        <f>HYPERLINK("https%3A%2F%2Fwww.webofscience.com%2Fwos%2Fwoscc%2Ffull-record%2FWOS:000338709500046","View Full Record in Web of Science")</f>
        <v>View Full Record in Web of Science</v>
      </c>
    </row>
    <row r="560" spans="1:72" x14ac:dyDescent="0.15">
      <c r="A560" t="s">
        <v>72</v>
      </c>
      <c r="B560" t="s">
        <v>10750</v>
      </c>
      <c r="C560" t="s">
        <v>74</v>
      </c>
      <c r="D560" t="s">
        <v>74</v>
      </c>
      <c r="E560" t="s">
        <v>74</v>
      </c>
      <c r="F560" t="s">
        <v>10751</v>
      </c>
      <c r="G560" t="s">
        <v>74</v>
      </c>
      <c r="H560" t="s">
        <v>74</v>
      </c>
      <c r="I560" t="s">
        <v>10752</v>
      </c>
      <c r="J560" t="s">
        <v>1194</v>
      </c>
      <c r="K560" t="s">
        <v>74</v>
      </c>
      <c r="L560" t="s">
        <v>74</v>
      </c>
      <c r="M560" t="s">
        <v>78</v>
      </c>
      <c r="N560" t="s">
        <v>79</v>
      </c>
      <c r="O560" t="s">
        <v>74</v>
      </c>
      <c r="P560" t="s">
        <v>74</v>
      </c>
      <c r="Q560" t="s">
        <v>74</v>
      </c>
      <c r="R560" t="s">
        <v>74</v>
      </c>
      <c r="S560" t="s">
        <v>74</v>
      </c>
      <c r="T560" t="s">
        <v>10753</v>
      </c>
      <c r="U560" t="s">
        <v>10754</v>
      </c>
      <c r="V560" t="s">
        <v>10755</v>
      </c>
      <c r="W560" t="s">
        <v>10756</v>
      </c>
      <c r="X560" t="s">
        <v>10757</v>
      </c>
      <c r="Y560" t="s">
        <v>10758</v>
      </c>
      <c r="Z560" t="s">
        <v>10759</v>
      </c>
      <c r="AA560" t="s">
        <v>10760</v>
      </c>
      <c r="AB560" t="s">
        <v>10761</v>
      </c>
      <c r="AC560" t="s">
        <v>10762</v>
      </c>
      <c r="AD560" t="s">
        <v>10763</v>
      </c>
      <c r="AE560" t="s">
        <v>10764</v>
      </c>
      <c r="AF560" t="s">
        <v>74</v>
      </c>
      <c r="AG560">
        <v>29</v>
      </c>
      <c r="AH560">
        <v>95</v>
      </c>
      <c r="AI560">
        <v>101</v>
      </c>
      <c r="AJ560">
        <v>1</v>
      </c>
      <c r="AK560">
        <v>54</v>
      </c>
      <c r="AL560" t="s">
        <v>1207</v>
      </c>
      <c r="AM560" t="s">
        <v>332</v>
      </c>
      <c r="AN560" t="s">
        <v>1208</v>
      </c>
      <c r="AO560" t="s">
        <v>1209</v>
      </c>
      <c r="AP560" t="s">
        <v>74</v>
      </c>
      <c r="AQ560" t="s">
        <v>74</v>
      </c>
      <c r="AR560" t="s">
        <v>1210</v>
      </c>
      <c r="AS560" t="s">
        <v>1211</v>
      </c>
      <c r="AT560" t="s">
        <v>10765</v>
      </c>
      <c r="AU560">
        <v>2014</v>
      </c>
      <c r="AV560">
        <v>111</v>
      </c>
      <c r="AW560">
        <v>25</v>
      </c>
      <c r="AX560" t="s">
        <v>74</v>
      </c>
      <c r="AY560" t="s">
        <v>74</v>
      </c>
      <c r="AZ560" t="s">
        <v>74</v>
      </c>
      <c r="BA560" t="s">
        <v>74</v>
      </c>
      <c r="BB560">
        <v>9070</v>
      </c>
      <c r="BC560">
        <v>9072</v>
      </c>
      <c r="BD560" t="s">
        <v>74</v>
      </c>
      <c r="BE560" t="s">
        <v>10766</v>
      </c>
      <c r="BF560" t="str">
        <f>HYPERLINK("http://dx.doi.org/10.1073/pnas.1405184111","http://dx.doi.org/10.1073/pnas.1405184111")</f>
        <v>http://dx.doi.org/10.1073/pnas.1405184111</v>
      </c>
      <c r="BG560" t="s">
        <v>74</v>
      </c>
      <c r="BH560" t="s">
        <v>74</v>
      </c>
      <c r="BI560">
        <v>3</v>
      </c>
      <c r="BJ560" t="s">
        <v>660</v>
      </c>
      <c r="BK560" t="s">
        <v>102</v>
      </c>
      <c r="BL560" t="s">
        <v>661</v>
      </c>
      <c r="BM560" t="s">
        <v>10767</v>
      </c>
      <c r="BN560">
        <v>24927578</v>
      </c>
      <c r="BO560" t="s">
        <v>2037</v>
      </c>
      <c r="BP560" t="s">
        <v>74</v>
      </c>
      <c r="BQ560" t="s">
        <v>74</v>
      </c>
      <c r="BR560" t="s">
        <v>105</v>
      </c>
      <c r="BS560" t="s">
        <v>10768</v>
      </c>
      <c r="BT560" t="str">
        <f>HYPERLINK("https%3A%2F%2Fwww.webofscience.com%2Fwos%2Fwoscc%2Ffull-record%2FWOS:000337760600029","View Full Record in Web of Science")</f>
        <v>View Full Record in Web of Science</v>
      </c>
    </row>
    <row r="561" spans="1:72" x14ac:dyDescent="0.15">
      <c r="A561" t="s">
        <v>72</v>
      </c>
      <c r="B561" t="s">
        <v>10769</v>
      </c>
      <c r="C561" t="s">
        <v>74</v>
      </c>
      <c r="D561" t="s">
        <v>74</v>
      </c>
      <c r="E561" t="s">
        <v>74</v>
      </c>
      <c r="F561" t="s">
        <v>10770</v>
      </c>
      <c r="G561" t="s">
        <v>74</v>
      </c>
      <c r="H561" t="s">
        <v>74</v>
      </c>
      <c r="I561" t="s">
        <v>10771</v>
      </c>
      <c r="J561" t="s">
        <v>1083</v>
      </c>
      <c r="K561" t="s">
        <v>74</v>
      </c>
      <c r="L561" t="s">
        <v>74</v>
      </c>
      <c r="M561" t="s">
        <v>78</v>
      </c>
      <c r="N561" t="s">
        <v>79</v>
      </c>
      <c r="O561" t="s">
        <v>74</v>
      </c>
      <c r="P561" t="s">
        <v>74</v>
      </c>
      <c r="Q561" t="s">
        <v>74</v>
      </c>
      <c r="R561" t="s">
        <v>74</v>
      </c>
      <c r="S561" t="s">
        <v>74</v>
      </c>
      <c r="T561" t="s">
        <v>74</v>
      </c>
      <c r="U561" t="s">
        <v>10772</v>
      </c>
      <c r="V561" t="s">
        <v>10773</v>
      </c>
      <c r="W561" t="s">
        <v>10774</v>
      </c>
      <c r="X561" t="s">
        <v>10775</v>
      </c>
      <c r="Y561" t="s">
        <v>10776</v>
      </c>
      <c r="Z561" t="s">
        <v>10777</v>
      </c>
      <c r="AA561" t="s">
        <v>10778</v>
      </c>
      <c r="AB561" t="s">
        <v>10779</v>
      </c>
      <c r="AC561" t="s">
        <v>10780</v>
      </c>
      <c r="AD561" t="s">
        <v>10781</v>
      </c>
      <c r="AE561" t="s">
        <v>10782</v>
      </c>
      <c r="AF561" t="s">
        <v>74</v>
      </c>
      <c r="AG561">
        <v>61</v>
      </c>
      <c r="AH561">
        <v>33</v>
      </c>
      <c r="AI561">
        <v>36</v>
      </c>
      <c r="AJ561">
        <v>1</v>
      </c>
      <c r="AK561">
        <v>63</v>
      </c>
      <c r="AL561" t="s">
        <v>1090</v>
      </c>
      <c r="AM561" t="s">
        <v>1091</v>
      </c>
      <c r="AN561" t="s">
        <v>1092</v>
      </c>
      <c r="AO561" t="s">
        <v>1093</v>
      </c>
      <c r="AP561" t="s">
        <v>74</v>
      </c>
      <c r="AQ561" t="s">
        <v>74</v>
      </c>
      <c r="AR561" t="s">
        <v>1083</v>
      </c>
      <c r="AS561" t="s">
        <v>1094</v>
      </c>
      <c r="AT561" t="s">
        <v>10783</v>
      </c>
      <c r="AU561">
        <v>2014</v>
      </c>
      <c r="AV561">
        <v>9</v>
      </c>
      <c r="AW561">
        <v>6</v>
      </c>
      <c r="AX561" t="s">
        <v>74</v>
      </c>
      <c r="AY561" t="s">
        <v>74</v>
      </c>
      <c r="AZ561" t="s">
        <v>74</v>
      </c>
      <c r="BA561" t="s">
        <v>74</v>
      </c>
      <c r="BB561" t="s">
        <v>74</v>
      </c>
      <c r="BC561" t="s">
        <v>74</v>
      </c>
      <c r="BD561" t="s">
        <v>10784</v>
      </c>
      <c r="BE561" t="s">
        <v>10785</v>
      </c>
      <c r="BF561" t="str">
        <f>HYPERLINK("http://dx.doi.org/10.1371/journal.pone.0100714","http://dx.doi.org/10.1371/journal.pone.0100714")</f>
        <v>http://dx.doi.org/10.1371/journal.pone.0100714</v>
      </c>
      <c r="BG561" t="s">
        <v>74</v>
      </c>
      <c r="BH561" t="s">
        <v>74</v>
      </c>
      <c r="BI561">
        <v>12</v>
      </c>
      <c r="BJ561" t="s">
        <v>660</v>
      </c>
      <c r="BK561" t="s">
        <v>102</v>
      </c>
      <c r="BL561" t="s">
        <v>661</v>
      </c>
      <c r="BM561" t="s">
        <v>10786</v>
      </c>
      <c r="BN561">
        <v>24956114</v>
      </c>
      <c r="BO561" t="s">
        <v>1381</v>
      </c>
      <c r="BP561" t="s">
        <v>74</v>
      </c>
      <c r="BQ561" t="s">
        <v>74</v>
      </c>
      <c r="BR561" t="s">
        <v>105</v>
      </c>
      <c r="BS561" t="s">
        <v>10787</v>
      </c>
      <c r="BT561" t="str">
        <f>HYPERLINK("https%3A%2F%2Fwww.webofscience.com%2Fwos%2Fwoscc%2Ffull-record%2FWOS:000338917900086","View Full Record in Web of Science")</f>
        <v>View Full Record in Web of Science</v>
      </c>
    </row>
    <row r="562" spans="1:72" x14ac:dyDescent="0.15">
      <c r="A562" t="s">
        <v>72</v>
      </c>
      <c r="B562" t="s">
        <v>10788</v>
      </c>
      <c r="C562" t="s">
        <v>74</v>
      </c>
      <c r="D562" t="s">
        <v>74</v>
      </c>
      <c r="E562" t="s">
        <v>74</v>
      </c>
      <c r="F562" t="s">
        <v>10789</v>
      </c>
      <c r="G562" t="s">
        <v>74</v>
      </c>
      <c r="H562" t="s">
        <v>74</v>
      </c>
      <c r="I562" t="s">
        <v>10790</v>
      </c>
      <c r="J562" t="s">
        <v>10791</v>
      </c>
      <c r="K562" t="s">
        <v>74</v>
      </c>
      <c r="L562" t="s">
        <v>74</v>
      </c>
      <c r="M562" t="s">
        <v>78</v>
      </c>
      <c r="N562" t="s">
        <v>79</v>
      </c>
      <c r="O562" t="s">
        <v>74</v>
      </c>
      <c r="P562" t="s">
        <v>74</v>
      </c>
      <c r="Q562" t="s">
        <v>74</v>
      </c>
      <c r="R562" t="s">
        <v>74</v>
      </c>
      <c r="S562" t="s">
        <v>74</v>
      </c>
      <c r="T562" t="s">
        <v>10792</v>
      </c>
      <c r="U562" t="s">
        <v>10793</v>
      </c>
      <c r="V562" t="s">
        <v>10794</v>
      </c>
      <c r="W562" t="s">
        <v>10795</v>
      </c>
      <c r="X562" t="s">
        <v>10796</v>
      </c>
      <c r="Y562" t="s">
        <v>10797</v>
      </c>
      <c r="Z562" t="s">
        <v>10798</v>
      </c>
      <c r="AA562" t="s">
        <v>10799</v>
      </c>
      <c r="AB562" t="s">
        <v>10800</v>
      </c>
      <c r="AC562" t="s">
        <v>10801</v>
      </c>
      <c r="AD562" t="s">
        <v>10802</v>
      </c>
      <c r="AE562" t="s">
        <v>10803</v>
      </c>
      <c r="AF562" t="s">
        <v>74</v>
      </c>
      <c r="AG562">
        <v>63</v>
      </c>
      <c r="AH562">
        <v>35</v>
      </c>
      <c r="AI562">
        <v>38</v>
      </c>
      <c r="AJ562">
        <v>0</v>
      </c>
      <c r="AK562">
        <v>47</v>
      </c>
      <c r="AL562" t="s">
        <v>2571</v>
      </c>
      <c r="AM562" t="s">
        <v>654</v>
      </c>
      <c r="AN562" t="s">
        <v>2572</v>
      </c>
      <c r="AO562" t="s">
        <v>10804</v>
      </c>
      <c r="AP562" t="s">
        <v>10805</v>
      </c>
      <c r="AQ562" t="s">
        <v>74</v>
      </c>
      <c r="AR562" t="s">
        <v>10806</v>
      </c>
      <c r="AS562" t="s">
        <v>10807</v>
      </c>
      <c r="AT562" t="s">
        <v>10808</v>
      </c>
      <c r="AU562">
        <v>2014</v>
      </c>
      <c r="AV562">
        <v>147</v>
      </c>
      <c r="AW562" t="s">
        <v>74</v>
      </c>
      <c r="AX562" t="s">
        <v>74</v>
      </c>
      <c r="AY562" t="s">
        <v>74</v>
      </c>
      <c r="AZ562" t="s">
        <v>74</v>
      </c>
      <c r="BA562" t="s">
        <v>74</v>
      </c>
      <c r="BB562">
        <v>137</v>
      </c>
      <c r="BC562">
        <v>147</v>
      </c>
      <c r="BD562" t="s">
        <v>74</v>
      </c>
      <c r="BE562" t="s">
        <v>10809</v>
      </c>
      <c r="BF562" t="str">
        <f>HYPERLINK("http://dx.doi.org/10.1016/j.ecss.2014.05.019","http://dx.doi.org/10.1016/j.ecss.2014.05.019")</f>
        <v>http://dx.doi.org/10.1016/j.ecss.2014.05.019</v>
      </c>
      <c r="BG562" t="s">
        <v>74</v>
      </c>
      <c r="BH562" t="s">
        <v>74</v>
      </c>
      <c r="BI562">
        <v>11</v>
      </c>
      <c r="BJ562" t="s">
        <v>2511</v>
      </c>
      <c r="BK562" t="s">
        <v>102</v>
      </c>
      <c r="BL562" t="s">
        <v>2511</v>
      </c>
      <c r="BM562" t="s">
        <v>10810</v>
      </c>
      <c r="BN562" t="s">
        <v>74</v>
      </c>
      <c r="BO562" t="s">
        <v>74</v>
      </c>
      <c r="BP562" t="s">
        <v>74</v>
      </c>
      <c r="BQ562" t="s">
        <v>74</v>
      </c>
      <c r="BR562" t="s">
        <v>105</v>
      </c>
      <c r="BS562" t="s">
        <v>10811</v>
      </c>
      <c r="BT562" t="str">
        <f>HYPERLINK("https%3A%2F%2Fwww.webofscience.com%2Fwos%2Fwoscc%2Ffull-record%2FWOS:000341477000014","View Full Record in Web of Science")</f>
        <v>View Full Record in Web of Science</v>
      </c>
    </row>
    <row r="563" spans="1:72" x14ac:dyDescent="0.15">
      <c r="A563" t="s">
        <v>72</v>
      </c>
      <c r="B563" t="s">
        <v>10812</v>
      </c>
      <c r="C563" t="s">
        <v>74</v>
      </c>
      <c r="D563" t="s">
        <v>74</v>
      </c>
      <c r="E563" t="s">
        <v>74</v>
      </c>
      <c r="F563" t="s">
        <v>10813</v>
      </c>
      <c r="G563" t="s">
        <v>74</v>
      </c>
      <c r="H563" t="s">
        <v>74</v>
      </c>
      <c r="I563" t="s">
        <v>10814</v>
      </c>
      <c r="J563" t="s">
        <v>1715</v>
      </c>
      <c r="K563" t="s">
        <v>74</v>
      </c>
      <c r="L563" t="s">
        <v>74</v>
      </c>
      <c r="M563" t="s">
        <v>78</v>
      </c>
      <c r="N563" t="s">
        <v>79</v>
      </c>
      <c r="O563" t="s">
        <v>74</v>
      </c>
      <c r="P563" t="s">
        <v>74</v>
      </c>
      <c r="Q563" t="s">
        <v>74</v>
      </c>
      <c r="R563" t="s">
        <v>74</v>
      </c>
      <c r="S563" t="s">
        <v>74</v>
      </c>
      <c r="T563" t="s">
        <v>10815</v>
      </c>
      <c r="U563" t="s">
        <v>10816</v>
      </c>
      <c r="V563" t="s">
        <v>10817</v>
      </c>
      <c r="W563" t="s">
        <v>10818</v>
      </c>
      <c r="X563" t="s">
        <v>10819</v>
      </c>
      <c r="Y563" t="s">
        <v>10820</v>
      </c>
      <c r="Z563" t="s">
        <v>10821</v>
      </c>
      <c r="AA563" t="s">
        <v>10822</v>
      </c>
      <c r="AB563" t="s">
        <v>10823</v>
      </c>
      <c r="AC563" t="s">
        <v>10824</v>
      </c>
      <c r="AD563" t="s">
        <v>10825</v>
      </c>
      <c r="AE563" t="s">
        <v>10826</v>
      </c>
      <c r="AF563" t="s">
        <v>74</v>
      </c>
      <c r="AG563">
        <v>49</v>
      </c>
      <c r="AH563">
        <v>5</v>
      </c>
      <c r="AI563">
        <v>5</v>
      </c>
      <c r="AJ563">
        <v>0</v>
      </c>
      <c r="AK563">
        <v>11</v>
      </c>
      <c r="AL563" t="s">
        <v>123</v>
      </c>
      <c r="AM563" t="s">
        <v>124</v>
      </c>
      <c r="AN563" t="s">
        <v>125</v>
      </c>
      <c r="AO563" t="s">
        <v>1728</v>
      </c>
      <c r="AP563" t="s">
        <v>1729</v>
      </c>
      <c r="AQ563" t="s">
        <v>74</v>
      </c>
      <c r="AR563" t="s">
        <v>1715</v>
      </c>
      <c r="AS563" t="s">
        <v>1730</v>
      </c>
      <c r="AT563" t="s">
        <v>10808</v>
      </c>
      <c r="AU563">
        <v>2014</v>
      </c>
      <c r="AV563">
        <v>626</v>
      </c>
      <c r="AW563" t="s">
        <v>74</v>
      </c>
      <c r="AX563" t="s">
        <v>74</v>
      </c>
      <c r="AY563" t="s">
        <v>74</v>
      </c>
      <c r="AZ563" t="s">
        <v>74</v>
      </c>
      <c r="BA563" t="s">
        <v>74</v>
      </c>
      <c r="BB563">
        <v>69</v>
      </c>
      <c r="BC563">
        <v>85</v>
      </c>
      <c r="BD563" t="s">
        <v>74</v>
      </c>
      <c r="BE563" t="s">
        <v>10827</v>
      </c>
      <c r="BF563" t="str">
        <f>HYPERLINK("http://dx.doi.org/10.1016/j.tecto.2014.03.032","http://dx.doi.org/10.1016/j.tecto.2014.03.032")</f>
        <v>http://dx.doi.org/10.1016/j.tecto.2014.03.032</v>
      </c>
      <c r="BG563" t="s">
        <v>74</v>
      </c>
      <c r="BH563" t="s">
        <v>74</v>
      </c>
      <c r="BI563">
        <v>17</v>
      </c>
      <c r="BJ563" t="s">
        <v>425</v>
      </c>
      <c r="BK563" t="s">
        <v>102</v>
      </c>
      <c r="BL563" t="s">
        <v>425</v>
      </c>
      <c r="BM563" t="s">
        <v>10828</v>
      </c>
      <c r="BN563" t="s">
        <v>74</v>
      </c>
      <c r="BO563" t="s">
        <v>74</v>
      </c>
      <c r="BP563" t="s">
        <v>74</v>
      </c>
      <c r="BQ563" t="s">
        <v>74</v>
      </c>
      <c r="BR563" t="s">
        <v>105</v>
      </c>
      <c r="BS563" t="s">
        <v>10829</v>
      </c>
      <c r="BT563" t="str">
        <f>HYPERLINK("https%3A%2F%2Fwww.webofscience.com%2Fwos%2Fwoscc%2Ffull-record%2FWOS:000338615800005","View Full Record in Web of Science")</f>
        <v>View Full Record in Web of Science</v>
      </c>
    </row>
    <row r="564" spans="1:72" x14ac:dyDescent="0.15">
      <c r="A564" t="s">
        <v>72</v>
      </c>
      <c r="B564" t="s">
        <v>10830</v>
      </c>
      <c r="C564" t="s">
        <v>74</v>
      </c>
      <c r="D564" t="s">
        <v>74</v>
      </c>
      <c r="E564" t="s">
        <v>74</v>
      </c>
      <c r="F564" t="s">
        <v>10831</v>
      </c>
      <c r="G564" t="s">
        <v>74</v>
      </c>
      <c r="H564" t="s">
        <v>10832</v>
      </c>
      <c r="I564" t="s">
        <v>10833</v>
      </c>
      <c r="J564" t="s">
        <v>10834</v>
      </c>
      <c r="K564" t="s">
        <v>74</v>
      </c>
      <c r="L564" t="s">
        <v>74</v>
      </c>
      <c r="M564" t="s">
        <v>78</v>
      </c>
      <c r="N564" t="s">
        <v>79</v>
      </c>
      <c r="O564" t="s">
        <v>74</v>
      </c>
      <c r="P564" t="s">
        <v>74</v>
      </c>
      <c r="Q564" t="s">
        <v>74</v>
      </c>
      <c r="R564" t="s">
        <v>74</v>
      </c>
      <c r="S564" t="s">
        <v>74</v>
      </c>
      <c r="T564" t="s">
        <v>74</v>
      </c>
      <c r="U564" t="s">
        <v>10835</v>
      </c>
      <c r="V564" t="s">
        <v>10836</v>
      </c>
      <c r="W564" t="s">
        <v>10837</v>
      </c>
      <c r="X564" t="s">
        <v>10838</v>
      </c>
      <c r="Y564" t="s">
        <v>10839</v>
      </c>
      <c r="Z564" t="s">
        <v>10840</v>
      </c>
      <c r="AA564" t="s">
        <v>10841</v>
      </c>
      <c r="AB564" t="s">
        <v>10842</v>
      </c>
      <c r="AC564" t="s">
        <v>10843</v>
      </c>
      <c r="AD564" t="s">
        <v>10844</v>
      </c>
      <c r="AE564" t="s">
        <v>10845</v>
      </c>
      <c r="AF564" t="s">
        <v>74</v>
      </c>
      <c r="AG564">
        <v>103</v>
      </c>
      <c r="AH564">
        <v>1144</v>
      </c>
      <c r="AI564">
        <v>1252</v>
      </c>
      <c r="AJ564">
        <v>1</v>
      </c>
      <c r="AK564">
        <v>144</v>
      </c>
      <c r="AL564" t="s">
        <v>10846</v>
      </c>
      <c r="AM564" t="s">
        <v>10847</v>
      </c>
      <c r="AN564" t="s">
        <v>10848</v>
      </c>
      <c r="AO564" t="s">
        <v>10849</v>
      </c>
      <c r="AP564" t="s">
        <v>10850</v>
      </c>
      <c r="AQ564" t="s">
        <v>74</v>
      </c>
      <c r="AR564" t="s">
        <v>10851</v>
      </c>
      <c r="AS564" t="s">
        <v>10852</v>
      </c>
      <c r="AT564" t="s">
        <v>10853</v>
      </c>
      <c r="AU564">
        <v>2014</v>
      </c>
      <c r="AV564">
        <v>112</v>
      </c>
      <c r="AW564">
        <v>24</v>
      </c>
      <c r="AX564" t="s">
        <v>74</v>
      </c>
      <c r="AY564" t="s">
        <v>74</v>
      </c>
      <c r="AZ564" t="s">
        <v>74</v>
      </c>
      <c r="BA564" t="s">
        <v>74</v>
      </c>
      <c r="BB564" t="s">
        <v>74</v>
      </c>
      <c r="BC564" t="s">
        <v>74</v>
      </c>
      <c r="BD564">
        <v>241101</v>
      </c>
      <c r="BE564" t="s">
        <v>10854</v>
      </c>
      <c r="BF564" t="str">
        <f>HYPERLINK("http://dx.doi.org/10.1103/PhysRevLett.112.241101","http://dx.doi.org/10.1103/PhysRevLett.112.241101")</f>
        <v>http://dx.doi.org/10.1103/PhysRevLett.112.241101</v>
      </c>
      <c r="BG564" t="s">
        <v>74</v>
      </c>
      <c r="BH564" t="s">
        <v>74</v>
      </c>
      <c r="BI564">
        <v>25</v>
      </c>
      <c r="BJ564" t="s">
        <v>1812</v>
      </c>
      <c r="BK564" t="s">
        <v>102</v>
      </c>
      <c r="BL564" t="s">
        <v>1813</v>
      </c>
      <c r="BM564" t="s">
        <v>10855</v>
      </c>
      <c r="BN564">
        <v>24996078</v>
      </c>
      <c r="BO564" t="s">
        <v>10856</v>
      </c>
      <c r="BP564" t="s">
        <v>3371</v>
      </c>
      <c r="BQ564" t="s">
        <v>3372</v>
      </c>
      <c r="BR564" t="s">
        <v>105</v>
      </c>
      <c r="BS564" t="s">
        <v>10857</v>
      </c>
      <c r="BT564" t="str">
        <f>HYPERLINK("https%3A%2F%2Fwww.webofscience.com%2Fwos%2Fwoscc%2Ffull-record%2FWOS:000341003800002","View Full Record in Web of Science")</f>
        <v>View Full Record in Web of Science</v>
      </c>
    </row>
    <row r="565" spans="1:72" x14ac:dyDescent="0.15">
      <c r="A565" t="s">
        <v>72</v>
      </c>
      <c r="B565" t="s">
        <v>10858</v>
      </c>
      <c r="C565" t="s">
        <v>74</v>
      </c>
      <c r="D565" t="s">
        <v>74</v>
      </c>
      <c r="E565" t="s">
        <v>74</v>
      </c>
      <c r="F565" t="s">
        <v>10859</v>
      </c>
      <c r="G565" t="s">
        <v>74</v>
      </c>
      <c r="H565" t="s">
        <v>74</v>
      </c>
      <c r="I565" t="s">
        <v>10860</v>
      </c>
      <c r="J565" t="s">
        <v>1083</v>
      </c>
      <c r="K565" t="s">
        <v>74</v>
      </c>
      <c r="L565" t="s">
        <v>74</v>
      </c>
      <c r="M565" t="s">
        <v>78</v>
      </c>
      <c r="N565" t="s">
        <v>79</v>
      </c>
      <c r="O565" t="s">
        <v>74</v>
      </c>
      <c r="P565" t="s">
        <v>74</v>
      </c>
      <c r="Q565" t="s">
        <v>74</v>
      </c>
      <c r="R565" t="s">
        <v>74</v>
      </c>
      <c r="S565" t="s">
        <v>74</v>
      </c>
      <c r="T565" t="s">
        <v>74</v>
      </c>
      <c r="U565" t="s">
        <v>10861</v>
      </c>
      <c r="V565" t="s">
        <v>10862</v>
      </c>
      <c r="W565" t="s">
        <v>74</v>
      </c>
      <c r="X565" t="s">
        <v>74</v>
      </c>
      <c r="Y565" t="s">
        <v>74</v>
      </c>
      <c r="Z565" t="s">
        <v>10863</v>
      </c>
      <c r="AA565" t="s">
        <v>74</v>
      </c>
      <c r="AB565" t="s">
        <v>10864</v>
      </c>
      <c r="AC565" t="s">
        <v>74</v>
      </c>
      <c r="AD565" t="s">
        <v>74</v>
      </c>
      <c r="AE565" t="s">
        <v>74</v>
      </c>
      <c r="AF565" t="s">
        <v>74</v>
      </c>
      <c r="AG565">
        <v>51</v>
      </c>
      <c r="AH565">
        <v>2</v>
      </c>
      <c r="AI565">
        <v>3</v>
      </c>
      <c r="AJ565">
        <v>0</v>
      </c>
      <c r="AK565">
        <v>9</v>
      </c>
      <c r="AL565" t="s">
        <v>1090</v>
      </c>
      <c r="AM565" t="s">
        <v>1091</v>
      </c>
      <c r="AN565" t="s">
        <v>1092</v>
      </c>
      <c r="AO565" t="s">
        <v>1093</v>
      </c>
      <c r="AP565" t="s">
        <v>74</v>
      </c>
      <c r="AQ565" t="s">
        <v>74</v>
      </c>
      <c r="AR565" t="s">
        <v>1083</v>
      </c>
      <c r="AS565" t="s">
        <v>1094</v>
      </c>
      <c r="AT565" t="s">
        <v>10865</v>
      </c>
      <c r="AU565">
        <v>2014</v>
      </c>
      <c r="AV565">
        <v>9</v>
      </c>
      <c r="AW565">
        <v>6</v>
      </c>
      <c r="AX565" t="s">
        <v>74</v>
      </c>
      <c r="AY565" t="s">
        <v>74</v>
      </c>
      <c r="AZ565" t="s">
        <v>74</v>
      </c>
      <c r="BA565" t="s">
        <v>74</v>
      </c>
      <c r="BB565" t="s">
        <v>74</v>
      </c>
      <c r="BC565" t="s">
        <v>74</v>
      </c>
      <c r="BD565" t="s">
        <v>10866</v>
      </c>
      <c r="BE565" t="s">
        <v>10867</v>
      </c>
      <c r="BF565" t="str">
        <f>HYPERLINK("http://dx.doi.org/10.1371/journal.pone.0100306","http://dx.doi.org/10.1371/journal.pone.0100306")</f>
        <v>http://dx.doi.org/10.1371/journal.pone.0100306</v>
      </c>
      <c r="BG565" t="s">
        <v>74</v>
      </c>
      <c r="BH565" t="s">
        <v>74</v>
      </c>
      <c r="BI565">
        <v>10</v>
      </c>
      <c r="BJ565" t="s">
        <v>660</v>
      </c>
      <c r="BK565" t="s">
        <v>102</v>
      </c>
      <c r="BL565" t="s">
        <v>661</v>
      </c>
      <c r="BM565" t="s">
        <v>10868</v>
      </c>
      <c r="BN565">
        <v>24940739</v>
      </c>
      <c r="BO565" t="s">
        <v>8437</v>
      </c>
      <c r="BP565" t="s">
        <v>74</v>
      </c>
      <c r="BQ565" t="s">
        <v>74</v>
      </c>
      <c r="BR565" t="s">
        <v>105</v>
      </c>
      <c r="BS565" t="s">
        <v>10869</v>
      </c>
      <c r="BT565" t="str">
        <f>HYPERLINK("https%3A%2F%2Fwww.webofscience.com%2Fwos%2Fwoscc%2Ffull-record%2FWOS:000338508200094","View Full Record in Web of Science")</f>
        <v>View Full Record in Web of Science</v>
      </c>
    </row>
    <row r="566" spans="1:72" x14ac:dyDescent="0.15">
      <c r="A566" t="s">
        <v>72</v>
      </c>
      <c r="B566" t="s">
        <v>10870</v>
      </c>
      <c r="C566" t="s">
        <v>74</v>
      </c>
      <c r="D566" t="s">
        <v>74</v>
      </c>
      <c r="E566" t="s">
        <v>74</v>
      </c>
      <c r="F566" t="s">
        <v>10871</v>
      </c>
      <c r="G566" t="s">
        <v>74</v>
      </c>
      <c r="H566" t="s">
        <v>74</v>
      </c>
      <c r="I566" t="s">
        <v>10872</v>
      </c>
      <c r="J566" t="s">
        <v>1083</v>
      </c>
      <c r="K566" t="s">
        <v>74</v>
      </c>
      <c r="L566" t="s">
        <v>74</v>
      </c>
      <c r="M566" t="s">
        <v>78</v>
      </c>
      <c r="N566" t="s">
        <v>79</v>
      </c>
      <c r="O566" t="s">
        <v>74</v>
      </c>
      <c r="P566" t="s">
        <v>74</v>
      </c>
      <c r="Q566" t="s">
        <v>74</v>
      </c>
      <c r="R566" t="s">
        <v>74</v>
      </c>
      <c r="S566" t="s">
        <v>74</v>
      </c>
      <c r="T566" t="s">
        <v>74</v>
      </c>
      <c r="U566" t="s">
        <v>10873</v>
      </c>
      <c r="V566" t="s">
        <v>10874</v>
      </c>
      <c r="W566" t="s">
        <v>10875</v>
      </c>
      <c r="X566" t="s">
        <v>10876</v>
      </c>
      <c r="Y566" t="s">
        <v>10877</v>
      </c>
      <c r="Z566" t="s">
        <v>10878</v>
      </c>
      <c r="AA566" t="s">
        <v>10879</v>
      </c>
      <c r="AB566" t="s">
        <v>10880</v>
      </c>
      <c r="AC566" t="s">
        <v>10881</v>
      </c>
      <c r="AD566" t="s">
        <v>10882</v>
      </c>
      <c r="AE566" t="s">
        <v>10883</v>
      </c>
      <c r="AF566" t="s">
        <v>74</v>
      </c>
      <c r="AG566">
        <v>74</v>
      </c>
      <c r="AH566">
        <v>276</v>
      </c>
      <c r="AI566">
        <v>308</v>
      </c>
      <c r="AJ566">
        <v>12</v>
      </c>
      <c r="AK566">
        <v>386</v>
      </c>
      <c r="AL566" t="s">
        <v>1090</v>
      </c>
      <c r="AM566" t="s">
        <v>1091</v>
      </c>
      <c r="AN566" t="s">
        <v>1092</v>
      </c>
      <c r="AO566" t="s">
        <v>1093</v>
      </c>
      <c r="AP566" t="s">
        <v>74</v>
      </c>
      <c r="AQ566" t="s">
        <v>74</v>
      </c>
      <c r="AR566" t="s">
        <v>1083</v>
      </c>
      <c r="AS566" t="s">
        <v>1094</v>
      </c>
      <c r="AT566" t="s">
        <v>10865</v>
      </c>
      <c r="AU566">
        <v>2014</v>
      </c>
      <c r="AV566">
        <v>9</v>
      </c>
      <c r="AW566">
        <v>6</v>
      </c>
      <c r="AX566" t="s">
        <v>74</v>
      </c>
      <c r="AY566" t="s">
        <v>74</v>
      </c>
      <c r="AZ566" t="s">
        <v>74</v>
      </c>
      <c r="BA566" t="s">
        <v>74</v>
      </c>
      <c r="BB566" t="s">
        <v>74</v>
      </c>
      <c r="BC566" t="s">
        <v>74</v>
      </c>
      <c r="BD566" t="s">
        <v>10884</v>
      </c>
      <c r="BE566" t="s">
        <v>10885</v>
      </c>
      <c r="BF566" t="str">
        <f>HYPERLINK("http://dx.doi.org/10.1371/journal.pone.0100289","http://dx.doi.org/10.1371/journal.pone.0100289")</f>
        <v>http://dx.doi.org/10.1371/journal.pone.0100289</v>
      </c>
      <c r="BG566" t="s">
        <v>74</v>
      </c>
      <c r="BH566" t="s">
        <v>74</v>
      </c>
      <c r="BI566">
        <v>11</v>
      </c>
      <c r="BJ566" t="s">
        <v>660</v>
      </c>
      <c r="BK566" t="s">
        <v>102</v>
      </c>
      <c r="BL566" t="s">
        <v>661</v>
      </c>
      <c r="BM566" t="s">
        <v>10868</v>
      </c>
      <c r="BN566">
        <v>24941218</v>
      </c>
      <c r="BO566" t="s">
        <v>10886</v>
      </c>
      <c r="BP566" t="s">
        <v>74</v>
      </c>
      <c r="BQ566" t="s">
        <v>74</v>
      </c>
      <c r="BR566" t="s">
        <v>105</v>
      </c>
      <c r="BS566" t="s">
        <v>10887</v>
      </c>
      <c r="BT566" t="str">
        <f>HYPERLINK("https%3A%2F%2Fwww.webofscience.com%2Fwos%2Fwoscc%2Ffull-record%2FWOS:000338508200091","View Full Record in Web of Science")</f>
        <v>View Full Record in Web of Science</v>
      </c>
    </row>
    <row r="567" spans="1:72" x14ac:dyDescent="0.15">
      <c r="A567" t="s">
        <v>72</v>
      </c>
      <c r="B567" t="s">
        <v>10888</v>
      </c>
      <c r="C567" t="s">
        <v>74</v>
      </c>
      <c r="D567" t="s">
        <v>74</v>
      </c>
      <c r="E567" t="s">
        <v>74</v>
      </c>
      <c r="F567" t="s">
        <v>10889</v>
      </c>
      <c r="G567" t="s">
        <v>74</v>
      </c>
      <c r="H567" t="s">
        <v>74</v>
      </c>
      <c r="I567" t="s">
        <v>10890</v>
      </c>
      <c r="J567" t="s">
        <v>1083</v>
      </c>
      <c r="K567" t="s">
        <v>74</v>
      </c>
      <c r="L567" t="s">
        <v>74</v>
      </c>
      <c r="M567" t="s">
        <v>78</v>
      </c>
      <c r="N567" t="s">
        <v>1084</v>
      </c>
      <c r="O567" t="s">
        <v>74</v>
      </c>
      <c r="P567" t="s">
        <v>74</v>
      </c>
      <c r="Q567" t="s">
        <v>74</v>
      </c>
      <c r="R567" t="s">
        <v>74</v>
      </c>
      <c r="S567" t="s">
        <v>74</v>
      </c>
      <c r="T567" t="s">
        <v>74</v>
      </c>
      <c r="U567" t="s">
        <v>74</v>
      </c>
      <c r="V567" t="s">
        <v>74</v>
      </c>
      <c r="W567" t="s">
        <v>74</v>
      </c>
      <c r="X567" t="s">
        <v>74</v>
      </c>
      <c r="Y567" t="s">
        <v>74</v>
      </c>
      <c r="Z567" t="s">
        <v>74</v>
      </c>
      <c r="AA567" t="s">
        <v>74</v>
      </c>
      <c r="AB567" t="s">
        <v>74</v>
      </c>
      <c r="AC567" t="s">
        <v>74</v>
      </c>
      <c r="AD567" t="s">
        <v>74</v>
      </c>
      <c r="AE567" t="s">
        <v>74</v>
      </c>
      <c r="AF567" t="s">
        <v>74</v>
      </c>
      <c r="AG567">
        <v>1</v>
      </c>
      <c r="AH567">
        <v>1</v>
      </c>
      <c r="AI567">
        <v>1</v>
      </c>
      <c r="AJ567">
        <v>1</v>
      </c>
      <c r="AK567">
        <v>12</v>
      </c>
      <c r="AL567" t="s">
        <v>1090</v>
      </c>
      <c r="AM567" t="s">
        <v>1091</v>
      </c>
      <c r="AN567" t="s">
        <v>1092</v>
      </c>
      <c r="AO567" t="s">
        <v>1093</v>
      </c>
      <c r="AP567" t="s">
        <v>74</v>
      </c>
      <c r="AQ567" t="s">
        <v>74</v>
      </c>
      <c r="AR567" t="s">
        <v>1083</v>
      </c>
      <c r="AS567" t="s">
        <v>1094</v>
      </c>
      <c r="AT567" t="s">
        <v>10891</v>
      </c>
      <c r="AU567">
        <v>2014</v>
      </c>
      <c r="AV567">
        <v>9</v>
      </c>
      <c r="AW567">
        <v>6</v>
      </c>
      <c r="AX567" t="s">
        <v>74</v>
      </c>
      <c r="AY567" t="s">
        <v>74</v>
      </c>
      <c r="AZ567" t="s">
        <v>74</v>
      </c>
      <c r="BA567" t="s">
        <v>74</v>
      </c>
      <c r="BB567" t="s">
        <v>74</v>
      </c>
      <c r="BC567" t="s">
        <v>74</v>
      </c>
      <c r="BD567" t="s">
        <v>10892</v>
      </c>
      <c r="BE567" t="s">
        <v>10893</v>
      </c>
      <c r="BF567" t="str">
        <f>HYPERLINK("http://dx.doi.org/10.1371/journal.pone.0101100","http://dx.doi.org/10.1371/journal.pone.0101100")</f>
        <v>http://dx.doi.org/10.1371/journal.pone.0101100</v>
      </c>
      <c r="BG567" t="s">
        <v>74</v>
      </c>
      <c r="BH567" t="s">
        <v>74</v>
      </c>
      <c r="BI567">
        <v>1</v>
      </c>
      <c r="BJ567" t="s">
        <v>660</v>
      </c>
      <c r="BK567" t="s">
        <v>102</v>
      </c>
      <c r="BL567" t="s">
        <v>661</v>
      </c>
      <c r="BM567" t="s">
        <v>10894</v>
      </c>
      <c r="BN567" t="s">
        <v>74</v>
      </c>
      <c r="BO567" t="s">
        <v>4836</v>
      </c>
      <c r="BP567" t="s">
        <v>74</v>
      </c>
      <c r="BQ567" t="s">
        <v>74</v>
      </c>
      <c r="BR567" t="s">
        <v>105</v>
      </c>
      <c r="BS567" t="s">
        <v>10895</v>
      </c>
      <c r="BT567" t="str">
        <f>HYPERLINK("https%3A%2F%2Fwww.webofscience.com%2Fwos%2Fwoscc%2Ffull-record%2FWOS:000338503400114","View Full Record in Web of Science")</f>
        <v>View Full Record in Web of Science</v>
      </c>
    </row>
    <row r="568" spans="1:72" x14ac:dyDescent="0.15">
      <c r="A568" t="s">
        <v>72</v>
      </c>
      <c r="B568" t="s">
        <v>10896</v>
      </c>
      <c r="C568" t="s">
        <v>74</v>
      </c>
      <c r="D568" t="s">
        <v>74</v>
      </c>
      <c r="E568" t="s">
        <v>74</v>
      </c>
      <c r="F568" t="s">
        <v>10897</v>
      </c>
      <c r="G568" t="s">
        <v>74</v>
      </c>
      <c r="H568" t="s">
        <v>74</v>
      </c>
      <c r="I568" t="s">
        <v>10898</v>
      </c>
      <c r="J568" t="s">
        <v>1194</v>
      </c>
      <c r="K568" t="s">
        <v>74</v>
      </c>
      <c r="L568" t="s">
        <v>74</v>
      </c>
      <c r="M568" t="s">
        <v>78</v>
      </c>
      <c r="N568" t="s">
        <v>79</v>
      </c>
      <c r="O568" t="s">
        <v>74</v>
      </c>
      <c r="P568" t="s">
        <v>74</v>
      </c>
      <c r="Q568" t="s">
        <v>74</v>
      </c>
      <c r="R568" t="s">
        <v>74</v>
      </c>
      <c r="S568" t="s">
        <v>74</v>
      </c>
      <c r="T568" t="s">
        <v>10899</v>
      </c>
      <c r="U568" t="s">
        <v>10900</v>
      </c>
      <c r="V568" t="s">
        <v>10901</v>
      </c>
      <c r="W568" t="s">
        <v>10902</v>
      </c>
      <c r="X568" t="s">
        <v>10903</v>
      </c>
      <c r="Y568" t="s">
        <v>10904</v>
      </c>
      <c r="Z568" t="s">
        <v>438</v>
      </c>
      <c r="AA568" t="s">
        <v>10905</v>
      </c>
      <c r="AB568" t="s">
        <v>10906</v>
      </c>
      <c r="AC568" t="s">
        <v>10907</v>
      </c>
      <c r="AD568" t="s">
        <v>10908</v>
      </c>
      <c r="AE568" t="s">
        <v>10909</v>
      </c>
      <c r="AF568" t="s">
        <v>74</v>
      </c>
      <c r="AG568">
        <v>51</v>
      </c>
      <c r="AH568">
        <v>278</v>
      </c>
      <c r="AI568">
        <v>303</v>
      </c>
      <c r="AJ568">
        <v>6</v>
      </c>
      <c r="AK568">
        <v>119</v>
      </c>
      <c r="AL568" t="s">
        <v>1207</v>
      </c>
      <c r="AM568" t="s">
        <v>332</v>
      </c>
      <c r="AN568" t="s">
        <v>1208</v>
      </c>
      <c r="AO568" t="s">
        <v>1209</v>
      </c>
      <c r="AP568" t="s">
        <v>74</v>
      </c>
      <c r="AQ568" t="s">
        <v>74</v>
      </c>
      <c r="AR568" t="s">
        <v>1210</v>
      </c>
      <c r="AS568" t="s">
        <v>1211</v>
      </c>
      <c r="AT568" t="s">
        <v>10891</v>
      </c>
      <c r="AU568">
        <v>2014</v>
      </c>
      <c r="AV568">
        <v>111</v>
      </c>
      <c r="AW568">
        <v>24</v>
      </c>
      <c r="AX568" t="s">
        <v>74</v>
      </c>
      <c r="AY568" t="s">
        <v>74</v>
      </c>
      <c r="AZ568" t="s">
        <v>74</v>
      </c>
      <c r="BA568" t="s">
        <v>74</v>
      </c>
      <c r="BB568">
        <v>8753</v>
      </c>
      <c r="BC568">
        <v>8758</v>
      </c>
      <c r="BD568" t="s">
        <v>74</v>
      </c>
      <c r="BE568" t="s">
        <v>10910</v>
      </c>
      <c r="BF568" t="str">
        <f>HYPERLINK("http://dx.doi.org/10.1073/pnas.1323922111","http://dx.doi.org/10.1073/pnas.1323922111")</f>
        <v>http://dx.doi.org/10.1073/pnas.1323922111</v>
      </c>
      <c r="BG568" t="s">
        <v>74</v>
      </c>
      <c r="BH568" t="s">
        <v>74</v>
      </c>
      <c r="BI568">
        <v>6</v>
      </c>
      <c r="BJ568" t="s">
        <v>660</v>
      </c>
      <c r="BK568" t="s">
        <v>102</v>
      </c>
      <c r="BL568" t="s">
        <v>661</v>
      </c>
      <c r="BM568" t="s">
        <v>10911</v>
      </c>
      <c r="BN568">
        <v>24889624</v>
      </c>
      <c r="BO568" t="s">
        <v>7716</v>
      </c>
      <c r="BP568" t="s">
        <v>3371</v>
      </c>
      <c r="BQ568" t="s">
        <v>3372</v>
      </c>
      <c r="BR568" t="s">
        <v>105</v>
      </c>
      <c r="BS568" t="s">
        <v>10912</v>
      </c>
      <c r="BT568" t="str">
        <f>HYPERLINK("https%3A%2F%2Fwww.webofscience.com%2Fwos%2Fwoscc%2Ffull-record%2FWOS:000337300100024","View Full Record in Web of Science")</f>
        <v>View Full Record in Web of Science</v>
      </c>
    </row>
    <row r="569" spans="1:72" x14ac:dyDescent="0.15">
      <c r="A569" t="s">
        <v>72</v>
      </c>
      <c r="B569" t="s">
        <v>10913</v>
      </c>
      <c r="C569" t="s">
        <v>74</v>
      </c>
      <c r="D569" t="s">
        <v>74</v>
      </c>
      <c r="E569" t="s">
        <v>74</v>
      </c>
      <c r="F569" t="s">
        <v>10914</v>
      </c>
      <c r="G569" t="s">
        <v>74</v>
      </c>
      <c r="H569" t="s">
        <v>74</v>
      </c>
      <c r="I569" t="s">
        <v>10915</v>
      </c>
      <c r="J569" t="s">
        <v>967</v>
      </c>
      <c r="K569" t="s">
        <v>74</v>
      </c>
      <c r="L569" t="s">
        <v>74</v>
      </c>
      <c r="M569" t="s">
        <v>78</v>
      </c>
      <c r="N569" t="s">
        <v>79</v>
      </c>
      <c r="O569" t="s">
        <v>74</v>
      </c>
      <c r="P569" t="s">
        <v>74</v>
      </c>
      <c r="Q569" t="s">
        <v>74</v>
      </c>
      <c r="R569" t="s">
        <v>74</v>
      </c>
      <c r="S569" t="s">
        <v>74</v>
      </c>
      <c r="T569" t="s">
        <v>74</v>
      </c>
      <c r="U569" t="s">
        <v>10916</v>
      </c>
      <c r="V569" t="s">
        <v>10917</v>
      </c>
      <c r="W569" t="s">
        <v>10918</v>
      </c>
      <c r="X569" t="s">
        <v>10919</v>
      </c>
      <c r="Y569" t="s">
        <v>10920</v>
      </c>
      <c r="Z569" t="s">
        <v>10921</v>
      </c>
      <c r="AA569" t="s">
        <v>10922</v>
      </c>
      <c r="AB569" t="s">
        <v>10923</v>
      </c>
      <c r="AC569" t="s">
        <v>10924</v>
      </c>
      <c r="AD569" t="s">
        <v>10925</v>
      </c>
      <c r="AE569" t="s">
        <v>10926</v>
      </c>
      <c r="AF569" t="s">
        <v>74</v>
      </c>
      <c r="AG569">
        <v>17</v>
      </c>
      <c r="AH569">
        <v>23</v>
      </c>
      <c r="AI569">
        <v>29</v>
      </c>
      <c r="AJ569">
        <v>1</v>
      </c>
      <c r="AK569">
        <v>24</v>
      </c>
      <c r="AL569" t="s">
        <v>979</v>
      </c>
      <c r="AM569" t="s">
        <v>980</v>
      </c>
      <c r="AN569" t="s">
        <v>981</v>
      </c>
      <c r="AO569" t="s">
        <v>982</v>
      </c>
      <c r="AP569" t="s">
        <v>74</v>
      </c>
      <c r="AQ569" t="s">
        <v>74</v>
      </c>
      <c r="AR569" t="s">
        <v>983</v>
      </c>
      <c r="AS569" t="s">
        <v>984</v>
      </c>
      <c r="AT569" t="s">
        <v>10891</v>
      </c>
      <c r="AU569">
        <v>2014</v>
      </c>
      <c r="AV569">
        <v>4</v>
      </c>
      <c r="AW569" t="s">
        <v>74</v>
      </c>
      <c r="AX569" t="s">
        <v>74</v>
      </c>
      <c r="AY569" t="s">
        <v>74</v>
      </c>
      <c r="AZ569" t="s">
        <v>74</v>
      </c>
      <c r="BA569" t="s">
        <v>74</v>
      </c>
      <c r="BB569" t="s">
        <v>74</v>
      </c>
      <c r="BC569" t="s">
        <v>74</v>
      </c>
      <c r="BD569">
        <v>5317</v>
      </c>
      <c r="BE569" t="s">
        <v>10927</v>
      </c>
      <c r="BF569" t="str">
        <f>HYPERLINK("http://dx.doi.org/10.1038/srep05317","http://dx.doi.org/10.1038/srep05317")</f>
        <v>http://dx.doi.org/10.1038/srep05317</v>
      </c>
      <c r="BG569" t="s">
        <v>74</v>
      </c>
      <c r="BH569" t="s">
        <v>74</v>
      </c>
      <c r="BI569">
        <v>6</v>
      </c>
      <c r="BJ569" t="s">
        <v>660</v>
      </c>
      <c r="BK569" t="s">
        <v>102</v>
      </c>
      <c r="BL569" t="s">
        <v>661</v>
      </c>
      <c r="BM569" t="s">
        <v>10928</v>
      </c>
      <c r="BN569">
        <v>24937550</v>
      </c>
      <c r="BO569" t="s">
        <v>10929</v>
      </c>
      <c r="BP569" t="s">
        <v>74</v>
      </c>
      <c r="BQ569" t="s">
        <v>74</v>
      </c>
      <c r="BR569" t="s">
        <v>105</v>
      </c>
      <c r="BS569" t="s">
        <v>10930</v>
      </c>
      <c r="BT569" t="str">
        <f>HYPERLINK("https%3A%2F%2Fwww.webofscience.com%2Fwos%2Fwoscc%2Ffull-record%2FWOS:000337342500005","View Full Record in Web of Science")</f>
        <v>View Full Record in Web of Science</v>
      </c>
    </row>
    <row r="570" spans="1:72" x14ac:dyDescent="0.15">
      <c r="A570" t="s">
        <v>72</v>
      </c>
      <c r="B570" t="s">
        <v>10931</v>
      </c>
      <c r="C570" t="s">
        <v>74</v>
      </c>
      <c r="D570" t="s">
        <v>74</v>
      </c>
      <c r="E570" t="s">
        <v>74</v>
      </c>
      <c r="F570" t="s">
        <v>10932</v>
      </c>
      <c r="G570" t="s">
        <v>74</v>
      </c>
      <c r="H570" t="s">
        <v>74</v>
      </c>
      <c r="I570" t="s">
        <v>10933</v>
      </c>
      <c r="J570" t="s">
        <v>1018</v>
      </c>
      <c r="K570" t="s">
        <v>74</v>
      </c>
      <c r="L570" t="s">
        <v>74</v>
      </c>
      <c r="M570" t="s">
        <v>78</v>
      </c>
      <c r="N570" t="s">
        <v>79</v>
      </c>
      <c r="O570" t="s">
        <v>74</v>
      </c>
      <c r="P570" t="s">
        <v>74</v>
      </c>
      <c r="Q570" t="s">
        <v>74</v>
      </c>
      <c r="R570" t="s">
        <v>74</v>
      </c>
      <c r="S570" t="s">
        <v>74</v>
      </c>
      <c r="T570" t="s">
        <v>74</v>
      </c>
      <c r="U570" t="s">
        <v>10934</v>
      </c>
      <c r="V570" t="s">
        <v>10935</v>
      </c>
      <c r="W570" t="s">
        <v>10936</v>
      </c>
      <c r="X570" t="s">
        <v>10937</v>
      </c>
      <c r="Y570" t="s">
        <v>10938</v>
      </c>
      <c r="Z570" t="s">
        <v>10939</v>
      </c>
      <c r="AA570" t="s">
        <v>10940</v>
      </c>
      <c r="AB570" t="s">
        <v>10941</v>
      </c>
      <c r="AC570" t="s">
        <v>10942</v>
      </c>
      <c r="AD570" t="s">
        <v>10943</v>
      </c>
      <c r="AE570" t="s">
        <v>10944</v>
      </c>
      <c r="AF570" t="s">
        <v>74</v>
      </c>
      <c r="AG570">
        <v>45</v>
      </c>
      <c r="AH570">
        <v>21</v>
      </c>
      <c r="AI570">
        <v>23</v>
      </c>
      <c r="AJ570">
        <v>1</v>
      </c>
      <c r="AK570">
        <v>31</v>
      </c>
      <c r="AL570" t="s">
        <v>331</v>
      </c>
      <c r="AM570" t="s">
        <v>332</v>
      </c>
      <c r="AN570" t="s">
        <v>333</v>
      </c>
      <c r="AO570" t="s">
        <v>1030</v>
      </c>
      <c r="AP570" t="s">
        <v>1031</v>
      </c>
      <c r="AQ570" t="s">
        <v>74</v>
      </c>
      <c r="AR570" t="s">
        <v>1032</v>
      </c>
      <c r="AS570" t="s">
        <v>1033</v>
      </c>
      <c r="AT570" t="s">
        <v>10945</v>
      </c>
      <c r="AU570">
        <v>2014</v>
      </c>
      <c r="AV570">
        <v>41</v>
      </c>
      <c r="AW570">
        <v>11</v>
      </c>
      <c r="AX570" t="s">
        <v>74</v>
      </c>
      <c r="AY570" t="s">
        <v>74</v>
      </c>
      <c r="AZ570" t="s">
        <v>74</v>
      </c>
      <c r="BA570" t="s">
        <v>74</v>
      </c>
      <c r="BB570">
        <v>3972</v>
      </c>
      <c r="BC570">
        <v>3978</v>
      </c>
      <c r="BD570" t="s">
        <v>74</v>
      </c>
      <c r="BE570" t="s">
        <v>10946</v>
      </c>
      <c r="BF570" t="str">
        <f>HYPERLINK("http://dx.doi.org/10.1002/2014GL059923","http://dx.doi.org/10.1002/2014GL059923")</f>
        <v>http://dx.doi.org/10.1002/2014GL059923</v>
      </c>
      <c r="BG570" t="s">
        <v>74</v>
      </c>
      <c r="BH570" t="s">
        <v>74</v>
      </c>
      <c r="BI570">
        <v>7</v>
      </c>
      <c r="BJ570" t="s">
        <v>685</v>
      </c>
      <c r="BK570" t="s">
        <v>102</v>
      </c>
      <c r="BL570" t="s">
        <v>686</v>
      </c>
      <c r="BM570" t="s">
        <v>10947</v>
      </c>
      <c r="BN570" t="s">
        <v>74</v>
      </c>
      <c r="BO570" t="s">
        <v>341</v>
      </c>
      <c r="BP570" t="s">
        <v>74</v>
      </c>
      <c r="BQ570" t="s">
        <v>74</v>
      </c>
      <c r="BR570" t="s">
        <v>105</v>
      </c>
      <c r="BS570" t="s">
        <v>10948</v>
      </c>
      <c r="BT570" t="str">
        <f>HYPERLINK("https%3A%2F%2Fwww.webofscience.com%2Fwos%2Fwoscc%2Ffull-record%2FWOS:000339280200039","View Full Record in Web of Science")</f>
        <v>View Full Record in Web of Science</v>
      </c>
    </row>
    <row r="571" spans="1:72" x14ac:dyDescent="0.15">
      <c r="A571" t="s">
        <v>72</v>
      </c>
      <c r="B571" t="s">
        <v>10949</v>
      </c>
      <c r="C571" t="s">
        <v>74</v>
      </c>
      <c r="D571" t="s">
        <v>74</v>
      </c>
      <c r="E571" t="s">
        <v>74</v>
      </c>
      <c r="F571" t="s">
        <v>10950</v>
      </c>
      <c r="G571" t="s">
        <v>74</v>
      </c>
      <c r="H571" t="s">
        <v>74</v>
      </c>
      <c r="I571" t="s">
        <v>10951</v>
      </c>
      <c r="J571" t="s">
        <v>4474</v>
      </c>
      <c r="K571" t="s">
        <v>74</v>
      </c>
      <c r="L571" t="s">
        <v>74</v>
      </c>
      <c r="M571" t="s">
        <v>78</v>
      </c>
      <c r="N571" t="s">
        <v>79</v>
      </c>
      <c r="O571" t="s">
        <v>74</v>
      </c>
      <c r="P571" t="s">
        <v>74</v>
      </c>
      <c r="Q571" t="s">
        <v>74</v>
      </c>
      <c r="R571" t="s">
        <v>74</v>
      </c>
      <c r="S571" t="s">
        <v>74</v>
      </c>
      <c r="T571" t="s">
        <v>10952</v>
      </c>
      <c r="U571" t="s">
        <v>10953</v>
      </c>
      <c r="V571" t="s">
        <v>10954</v>
      </c>
      <c r="W571" t="s">
        <v>10955</v>
      </c>
      <c r="X571" t="s">
        <v>10956</v>
      </c>
      <c r="Y571" t="s">
        <v>10957</v>
      </c>
      <c r="Z571" t="s">
        <v>10958</v>
      </c>
      <c r="AA571" t="s">
        <v>10959</v>
      </c>
      <c r="AB571" t="s">
        <v>10960</v>
      </c>
      <c r="AC571" t="s">
        <v>10961</v>
      </c>
      <c r="AD571" t="s">
        <v>10962</v>
      </c>
      <c r="AE571" t="s">
        <v>10963</v>
      </c>
      <c r="AF571" t="s">
        <v>74</v>
      </c>
      <c r="AG571">
        <v>66</v>
      </c>
      <c r="AH571">
        <v>12</v>
      </c>
      <c r="AI571">
        <v>12</v>
      </c>
      <c r="AJ571">
        <v>2</v>
      </c>
      <c r="AK571">
        <v>19</v>
      </c>
      <c r="AL571" t="s">
        <v>331</v>
      </c>
      <c r="AM571" t="s">
        <v>332</v>
      </c>
      <c r="AN571" t="s">
        <v>333</v>
      </c>
      <c r="AO571" t="s">
        <v>4485</v>
      </c>
      <c r="AP571" t="s">
        <v>4486</v>
      </c>
      <c r="AQ571" t="s">
        <v>74</v>
      </c>
      <c r="AR571" t="s">
        <v>4487</v>
      </c>
      <c r="AS571" t="s">
        <v>4488</v>
      </c>
      <c r="AT571" t="s">
        <v>10945</v>
      </c>
      <c r="AU571">
        <v>2014</v>
      </c>
      <c r="AV571">
        <v>119</v>
      </c>
      <c r="AW571">
        <v>11</v>
      </c>
      <c r="AX571" t="s">
        <v>74</v>
      </c>
      <c r="AY571" t="s">
        <v>74</v>
      </c>
      <c r="AZ571" t="s">
        <v>74</v>
      </c>
      <c r="BA571" t="s">
        <v>74</v>
      </c>
      <c r="BB571">
        <v>6549</v>
      </c>
      <c r="BC571">
        <v>6562</v>
      </c>
      <c r="BD571" t="s">
        <v>74</v>
      </c>
      <c r="BE571" t="s">
        <v>10964</v>
      </c>
      <c r="BF571" t="str">
        <f>HYPERLINK("http://dx.doi.org/10.1002/2013JD020818","http://dx.doi.org/10.1002/2013JD020818")</f>
        <v>http://dx.doi.org/10.1002/2013JD020818</v>
      </c>
      <c r="BG571" t="s">
        <v>74</v>
      </c>
      <c r="BH571" t="s">
        <v>74</v>
      </c>
      <c r="BI571">
        <v>14</v>
      </c>
      <c r="BJ571" t="s">
        <v>177</v>
      </c>
      <c r="BK571" t="s">
        <v>102</v>
      </c>
      <c r="BL571" t="s">
        <v>177</v>
      </c>
      <c r="BM571" t="s">
        <v>10965</v>
      </c>
      <c r="BN571">
        <v>25821663</v>
      </c>
      <c r="BO571" t="s">
        <v>2979</v>
      </c>
      <c r="BP571" t="s">
        <v>74</v>
      </c>
      <c r="BQ571" t="s">
        <v>74</v>
      </c>
      <c r="BR571" t="s">
        <v>105</v>
      </c>
      <c r="BS571" t="s">
        <v>10966</v>
      </c>
      <c r="BT571" t="str">
        <f>HYPERLINK("https%3A%2F%2Fwww.webofscience.com%2Fwos%2Fwoscc%2Ffull-record%2FWOS:000337974500018","View Full Record in Web of Science")</f>
        <v>View Full Record in Web of Science</v>
      </c>
    </row>
    <row r="572" spans="1:72" x14ac:dyDescent="0.15">
      <c r="A572" t="s">
        <v>72</v>
      </c>
      <c r="B572" t="s">
        <v>10967</v>
      </c>
      <c r="C572" t="s">
        <v>74</v>
      </c>
      <c r="D572" t="s">
        <v>74</v>
      </c>
      <c r="E572" t="s">
        <v>74</v>
      </c>
      <c r="F572" t="s">
        <v>10968</v>
      </c>
      <c r="G572" t="s">
        <v>74</v>
      </c>
      <c r="H572" t="s">
        <v>74</v>
      </c>
      <c r="I572" t="s">
        <v>10969</v>
      </c>
      <c r="J572" t="s">
        <v>4474</v>
      </c>
      <c r="K572" t="s">
        <v>74</v>
      </c>
      <c r="L572" t="s">
        <v>74</v>
      </c>
      <c r="M572" t="s">
        <v>78</v>
      </c>
      <c r="N572" t="s">
        <v>79</v>
      </c>
      <c r="O572" t="s">
        <v>74</v>
      </c>
      <c r="P572" t="s">
        <v>74</v>
      </c>
      <c r="Q572" t="s">
        <v>74</v>
      </c>
      <c r="R572" t="s">
        <v>74</v>
      </c>
      <c r="S572" t="s">
        <v>74</v>
      </c>
      <c r="T572" t="s">
        <v>10970</v>
      </c>
      <c r="U572" t="s">
        <v>10971</v>
      </c>
      <c r="V572" t="s">
        <v>10972</v>
      </c>
      <c r="W572" t="s">
        <v>10973</v>
      </c>
      <c r="X572" t="s">
        <v>8171</v>
      </c>
      <c r="Y572" t="s">
        <v>10974</v>
      </c>
      <c r="Z572" t="s">
        <v>10975</v>
      </c>
      <c r="AA572" t="s">
        <v>74</v>
      </c>
      <c r="AB572" t="s">
        <v>10976</v>
      </c>
      <c r="AC572" t="s">
        <v>10977</v>
      </c>
      <c r="AD572" t="s">
        <v>10978</v>
      </c>
      <c r="AE572" t="s">
        <v>10979</v>
      </c>
      <c r="AF572" t="s">
        <v>74</v>
      </c>
      <c r="AG572">
        <v>40</v>
      </c>
      <c r="AH572">
        <v>19</v>
      </c>
      <c r="AI572">
        <v>21</v>
      </c>
      <c r="AJ572">
        <v>0</v>
      </c>
      <c r="AK572">
        <v>18</v>
      </c>
      <c r="AL572" t="s">
        <v>331</v>
      </c>
      <c r="AM572" t="s">
        <v>332</v>
      </c>
      <c r="AN572" t="s">
        <v>333</v>
      </c>
      <c r="AO572" t="s">
        <v>4485</v>
      </c>
      <c r="AP572" t="s">
        <v>4486</v>
      </c>
      <c r="AQ572" t="s">
        <v>74</v>
      </c>
      <c r="AR572" t="s">
        <v>4487</v>
      </c>
      <c r="AS572" t="s">
        <v>4488</v>
      </c>
      <c r="AT572" t="s">
        <v>10945</v>
      </c>
      <c r="AU572">
        <v>2014</v>
      </c>
      <c r="AV572">
        <v>119</v>
      </c>
      <c r="AW572">
        <v>11</v>
      </c>
      <c r="AX572" t="s">
        <v>74</v>
      </c>
      <c r="AY572" t="s">
        <v>74</v>
      </c>
      <c r="AZ572" t="s">
        <v>74</v>
      </c>
      <c r="BA572" t="s">
        <v>74</v>
      </c>
      <c r="BB572">
        <v>6702</v>
      </c>
      <c r="BC572">
        <v>6723</v>
      </c>
      <c r="BD572" t="s">
        <v>74</v>
      </c>
      <c r="BE572" t="s">
        <v>10980</v>
      </c>
      <c r="BF572" t="str">
        <f>HYPERLINK("http://dx.doi.org/10.1002/2013JD021132","http://dx.doi.org/10.1002/2013JD021132")</f>
        <v>http://dx.doi.org/10.1002/2013JD021132</v>
      </c>
      <c r="BG572" t="s">
        <v>74</v>
      </c>
      <c r="BH572" t="s">
        <v>74</v>
      </c>
      <c r="BI572">
        <v>22</v>
      </c>
      <c r="BJ572" t="s">
        <v>177</v>
      </c>
      <c r="BK572" t="s">
        <v>102</v>
      </c>
      <c r="BL572" t="s">
        <v>177</v>
      </c>
      <c r="BM572" t="s">
        <v>10965</v>
      </c>
      <c r="BN572" t="s">
        <v>74</v>
      </c>
      <c r="BO572" t="s">
        <v>179</v>
      </c>
      <c r="BP572" t="s">
        <v>74</v>
      </c>
      <c r="BQ572" t="s">
        <v>74</v>
      </c>
      <c r="BR572" t="s">
        <v>105</v>
      </c>
      <c r="BS572" t="s">
        <v>10981</v>
      </c>
      <c r="BT572" t="str">
        <f>HYPERLINK("https%3A%2F%2Fwww.webofscience.com%2Fwos%2Fwoscc%2Ffull-record%2FWOS:000337974500029","View Full Record in Web of Science")</f>
        <v>View Full Record in Web of Science</v>
      </c>
    </row>
    <row r="573" spans="1:72" x14ac:dyDescent="0.15">
      <c r="A573" t="s">
        <v>72</v>
      </c>
      <c r="B573" t="s">
        <v>10982</v>
      </c>
      <c r="C573" t="s">
        <v>74</v>
      </c>
      <c r="D573" t="s">
        <v>74</v>
      </c>
      <c r="E573" t="s">
        <v>74</v>
      </c>
      <c r="F573" t="s">
        <v>10983</v>
      </c>
      <c r="G573" t="s">
        <v>74</v>
      </c>
      <c r="H573" t="s">
        <v>74</v>
      </c>
      <c r="I573" t="s">
        <v>10984</v>
      </c>
      <c r="J573" t="s">
        <v>4474</v>
      </c>
      <c r="K573" t="s">
        <v>74</v>
      </c>
      <c r="L573" t="s">
        <v>74</v>
      </c>
      <c r="M573" t="s">
        <v>78</v>
      </c>
      <c r="N573" t="s">
        <v>79</v>
      </c>
      <c r="O573" t="s">
        <v>74</v>
      </c>
      <c r="P573" t="s">
        <v>74</v>
      </c>
      <c r="Q573" t="s">
        <v>74</v>
      </c>
      <c r="R573" t="s">
        <v>74</v>
      </c>
      <c r="S573" t="s">
        <v>74</v>
      </c>
      <c r="T573" t="s">
        <v>10985</v>
      </c>
      <c r="U573" t="s">
        <v>10986</v>
      </c>
      <c r="V573" t="s">
        <v>10987</v>
      </c>
      <c r="W573" t="s">
        <v>10988</v>
      </c>
      <c r="X573" t="s">
        <v>10989</v>
      </c>
      <c r="Y573" t="s">
        <v>10990</v>
      </c>
      <c r="Z573" t="s">
        <v>10991</v>
      </c>
      <c r="AA573" t="s">
        <v>10992</v>
      </c>
      <c r="AB573" t="s">
        <v>10993</v>
      </c>
      <c r="AC573" t="s">
        <v>10994</v>
      </c>
      <c r="AD573" t="s">
        <v>10995</v>
      </c>
      <c r="AE573" t="s">
        <v>10996</v>
      </c>
      <c r="AF573" t="s">
        <v>74</v>
      </c>
      <c r="AG573">
        <v>80</v>
      </c>
      <c r="AH573">
        <v>1</v>
      </c>
      <c r="AI573">
        <v>1</v>
      </c>
      <c r="AJ573">
        <v>1</v>
      </c>
      <c r="AK573">
        <v>31</v>
      </c>
      <c r="AL573" t="s">
        <v>331</v>
      </c>
      <c r="AM573" t="s">
        <v>332</v>
      </c>
      <c r="AN573" t="s">
        <v>333</v>
      </c>
      <c r="AO573" t="s">
        <v>4485</v>
      </c>
      <c r="AP573" t="s">
        <v>4486</v>
      </c>
      <c r="AQ573" t="s">
        <v>74</v>
      </c>
      <c r="AR573" t="s">
        <v>4487</v>
      </c>
      <c r="AS573" t="s">
        <v>4488</v>
      </c>
      <c r="AT573" t="s">
        <v>10945</v>
      </c>
      <c r="AU573">
        <v>2014</v>
      </c>
      <c r="AV573">
        <v>119</v>
      </c>
      <c r="AW573">
        <v>11</v>
      </c>
      <c r="AX573" t="s">
        <v>74</v>
      </c>
      <c r="AY573" t="s">
        <v>74</v>
      </c>
      <c r="AZ573" t="s">
        <v>74</v>
      </c>
      <c r="BA573" t="s">
        <v>74</v>
      </c>
      <c r="BB573">
        <v>6916</v>
      </c>
      <c r="BC573">
        <v>6937</v>
      </c>
      <c r="BD573" t="s">
        <v>74</v>
      </c>
      <c r="BE573" t="s">
        <v>10997</v>
      </c>
      <c r="BF573" t="str">
        <f>HYPERLINK("http://dx.doi.org/10.1002/2013JD021433","http://dx.doi.org/10.1002/2013JD021433")</f>
        <v>http://dx.doi.org/10.1002/2013JD021433</v>
      </c>
      <c r="BG573" t="s">
        <v>74</v>
      </c>
      <c r="BH573" t="s">
        <v>74</v>
      </c>
      <c r="BI573">
        <v>22</v>
      </c>
      <c r="BJ573" t="s">
        <v>177</v>
      </c>
      <c r="BK573" t="s">
        <v>102</v>
      </c>
      <c r="BL573" t="s">
        <v>177</v>
      </c>
      <c r="BM573" t="s">
        <v>10965</v>
      </c>
      <c r="BN573" t="s">
        <v>74</v>
      </c>
      <c r="BO573" t="s">
        <v>2037</v>
      </c>
      <c r="BP573" t="s">
        <v>74</v>
      </c>
      <c r="BQ573" t="s">
        <v>74</v>
      </c>
      <c r="BR573" t="s">
        <v>105</v>
      </c>
      <c r="BS573" t="s">
        <v>10998</v>
      </c>
      <c r="BT573" t="str">
        <f>HYPERLINK("https%3A%2F%2Fwww.webofscience.com%2Fwos%2Fwoscc%2Ffull-record%2FWOS:000337974500041","View Full Record in Web of Science")</f>
        <v>View Full Record in Web of Science</v>
      </c>
    </row>
    <row r="574" spans="1:72" x14ac:dyDescent="0.15">
      <c r="A574" t="s">
        <v>72</v>
      </c>
      <c r="B574" t="s">
        <v>10999</v>
      </c>
      <c r="C574" t="s">
        <v>74</v>
      </c>
      <c r="D574" t="s">
        <v>74</v>
      </c>
      <c r="E574" t="s">
        <v>74</v>
      </c>
      <c r="F574" t="s">
        <v>11000</v>
      </c>
      <c r="G574" t="s">
        <v>74</v>
      </c>
      <c r="H574" t="s">
        <v>74</v>
      </c>
      <c r="I574" t="s">
        <v>11001</v>
      </c>
      <c r="J574" t="s">
        <v>11002</v>
      </c>
      <c r="K574" t="s">
        <v>74</v>
      </c>
      <c r="L574" t="s">
        <v>74</v>
      </c>
      <c r="M574" t="s">
        <v>78</v>
      </c>
      <c r="N574" t="s">
        <v>1130</v>
      </c>
      <c r="O574" t="s">
        <v>74</v>
      </c>
      <c r="P574" t="s">
        <v>74</v>
      </c>
      <c r="Q574" t="s">
        <v>74</v>
      </c>
      <c r="R574" t="s">
        <v>74</v>
      </c>
      <c r="S574" t="s">
        <v>74</v>
      </c>
      <c r="T574" t="s">
        <v>74</v>
      </c>
      <c r="U574" t="s">
        <v>74</v>
      </c>
      <c r="V574" t="s">
        <v>74</v>
      </c>
      <c r="W574" t="s">
        <v>11003</v>
      </c>
      <c r="X574" t="s">
        <v>1022</v>
      </c>
      <c r="Y574" t="s">
        <v>11004</v>
      </c>
      <c r="Z574" t="s">
        <v>11005</v>
      </c>
      <c r="AA574" t="s">
        <v>74</v>
      </c>
      <c r="AB574" t="s">
        <v>11006</v>
      </c>
      <c r="AC574" t="s">
        <v>3911</v>
      </c>
      <c r="AD574" t="s">
        <v>3836</v>
      </c>
      <c r="AE574" t="s">
        <v>74</v>
      </c>
      <c r="AF574" t="s">
        <v>74</v>
      </c>
      <c r="AG574">
        <v>10</v>
      </c>
      <c r="AH574">
        <v>31</v>
      </c>
      <c r="AI574">
        <v>33</v>
      </c>
      <c r="AJ574">
        <v>0</v>
      </c>
      <c r="AK574">
        <v>26</v>
      </c>
      <c r="AL574" t="s">
        <v>11007</v>
      </c>
      <c r="AM574" t="s">
        <v>1293</v>
      </c>
      <c r="AN574" t="s">
        <v>11008</v>
      </c>
      <c r="AO574" t="s">
        <v>11009</v>
      </c>
      <c r="AP574" t="s">
        <v>11010</v>
      </c>
      <c r="AQ574" t="s">
        <v>74</v>
      </c>
      <c r="AR574" t="s">
        <v>11011</v>
      </c>
      <c r="AS574" t="s">
        <v>11012</v>
      </c>
      <c r="AT574" t="s">
        <v>10945</v>
      </c>
      <c r="AU574">
        <v>2014</v>
      </c>
      <c r="AV574">
        <v>24</v>
      </c>
      <c r="AW574">
        <v>12</v>
      </c>
      <c r="AX574" t="s">
        <v>74</v>
      </c>
      <c r="AY574" t="s">
        <v>74</v>
      </c>
      <c r="AZ574" t="s">
        <v>74</v>
      </c>
      <c r="BA574" t="s">
        <v>74</v>
      </c>
      <c r="BB574" t="s">
        <v>11013</v>
      </c>
      <c r="BC574" t="s">
        <v>11014</v>
      </c>
      <c r="BD574" t="s">
        <v>74</v>
      </c>
      <c r="BE574" t="s">
        <v>11015</v>
      </c>
      <c r="BF574" t="str">
        <f>HYPERLINK("http://dx.doi.org/10.1016/j.cub.2014.04.040","http://dx.doi.org/10.1016/j.cub.2014.04.040")</f>
        <v>http://dx.doi.org/10.1016/j.cub.2014.04.040</v>
      </c>
      <c r="BG574" t="s">
        <v>74</v>
      </c>
      <c r="BH574" t="s">
        <v>74</v>
      </c>
      <c r="BI574">
        <v>2</v>
      </c>
      <c r="BJ574" t="s">
        <v>11016</v>
      </c>
      <c r="BK574" t="s">
        <v>102</v>
      </c>
      <c r="BL574" t="s">
        <v>11017</v>
      </c>
      <c r="BM574" t="s">
        <v>11018</v>
      </c>
      <c r="BN574">
        <v>24937277</v>
      </c>
      <c r="BO574" t="s">
        <v>289</v>
      </c>
      <c r="BP574" t="s">
        <v>74</v>
      </c>
      <c r="BQ574" t="s">
        <v>74</v>
      </c>
      <c r="BR574" t="s">
        <v>105</v>
      </c>
      <c r="BS574" t="s">
        <v>11019</v>
      </c>
      <c r="BT574" t="str">
        <f>HYPERLINK("https%3A%2F%2Fwww.webofscience.com%2Fwos%2Fwoscc%2Ffull-record%2FWOS:000337648200007","View Full Record in Web of Science")</f>
        <v>View Full Record in Web of Science</v>
      </c>
    </row>
    <row r="575" spans="1:72" x14ac:dyDescent="0.15">
      <c r="A575" t="s">
        <v>72</v>
      </c>
      <c r="B575" t="s">
        <v>11020</v>
      </c>
      <c r="C575" t="s">
        <v>74</v>
      </c>
      <c r="D575" t="s">
        <v>74</v>
      </c>
      <c r="E575" t="s">
        <v>74</v>
      </c>
      <c r="F575" t="s">
        <v>11021</v>
      </c>
      <c r="G575" t="s">
        <v>74</v>
      </c>
      <c r="H575" t="s">
        <v>74</v>
      </c>
      <c r="I575" t="s">
        <v>11022</v>
      </c>
      <c r="J575" t="s">
        <v>1018</v>
      </c>
      <c r="K575" t="s">
        <v>74</v>
      </c>
      <c r="L575" t="s">
        <v>74</v>
      </c>
      <c r="M575" t="s">
        <v>78</v>
      </c>
      <c r="N575" t="s">
        <v>79</v>
      </c>
      <c r="O575" t="s">
        <v>74</v>
      </c>
      <c r="P575" t="s">
        <v>74</v>
      </c>
      <c r="Q575" t="s">
        <v>74</v>
      </c>
      <c r="R575" t="s">
        <v>74</v>
      </c>
      <c r="S575" t="s">
        <v>74</v>
      </c>
      <c r="T575" t="s">
        <v>74</v>
      </c>
      <c r="U575" t="s">
        <v>11023</v>
      </c>
      <c r="V575" t="s">
        <v>11024</v>
      </c>
      <c r="W575" t="s">
        <v>11025</v>
      </c>
      <c r="X575" t="s">
        <v>11026</v>
      </c>
      <c r="Y575" t="s">
        <v>11027</v>
      </c>
      <c r="Z575" t="s">
        <v>11028</v>
      </c>
      <c r="AA575" t="s">
        <v>11029</v>
      </c>
      <c r="AB575" t="s">
        <v>11030</v>
      </c>
      <c r="AC575" t="s">
        <v>11031</v>
      </c>
      <c r="AD575" t="s">
        <v>11032</v>
      </c>
      <c r="AE575" t="s">
        <v>11033</v>
      </c>
      <c r="AF575" t="s">
        <v>74</v>
      </c>
      <c r="AG575">
        <v>34</v>
      </c>
      <c r="AH575">
        <v>223</v>
      </c>
      <c r="AI575">
        <v>238</v>
      </c>
      <c r="AJ575">
        <v>3</v>
      </c>
      <c r="AK575">
        <v>134</v>
      </c>
      <c r="AL575" t="s">
        <v>331</v>
      </c>
      <c r="AM575" t="s">
        <v>332</v>
      </c>
      <c r="AN575" t="s">
        <v>333</v>
      </c>
      <c r="AO575" t="s">
        <v>1030</v>
      </c>
      <c r="AP575" t="s">
        <v>1031</v>
      </c>
      <c r="AQ575" t="s">
        <v>74</v>
      </c>
      <c r="AR575" t="s">
        <v>1032</v>
      </c>
      <c r="AS575" t="s">
        <v>1033</v>
      </c>
      <c r="AT575" t="s">
        <v>10945</v>
      </c>
      <c r="AU575">
        <v>2014</v>
      </c>
      <c r="AV575">
        <v>41</v>
      </c>
      <c r="AW575">
        <v>11</v>
      </c>
      <c r="AX575" t="s">
        <v>74</v>
      </c>
      <c r="AY575" t="s">
        <v>74</v>
      </c>
      <c r="AZ575" t="s">
        <v>74</v>
      </c>
      <c r="BA575" t="s">
        <v>74</v>
      </c>
      <c r="BB575">
        <v>3899</v>
      </c>
      <c r="BC575">
        <v>3905</v>
      </c>
      <c r="BD575" t="s">
        <v>74</v>
      </c>
      <c r="BE575" t="s">
        <v>11034</v>
      </c>
      <c r="BF575" t="str">
        <f>HYPERLINK("http://dx.doi.org/10.1002/2014GL060111","http://dx.doi.org/10.1002/2014GL060111")</f>
        <v>http://dx.doi.org/10.1002/2014GL060111</v>
      </c>
      <c r="BG575" t="s">
        <v>74</v>
      </c>
      <c r="BH575" t="s">
        <v>74</v>
      </c>
      <c r="BI575">
        <v>7</v>
      </c>
      <c r="BJ575" t="s">
        <v>685</v>
      </c>
      <c r="BK575" t="s">
        <v>102</v>
      </c>
      <c r="BL575" t="s">
        <v>686</v>
      </c>
      <c r="BM575" t="s">
        <v>10947</v>
      </c>
      <c r="BN575" t="s">
        <v>74</v>
      </c>
      <c r="BO575" t="s">
        <v>4028</v>
      </c>
      <c r="BP575" t="s">
        <v>74</v>
      </c>
      <c r="BQ575" t="s">
        <v>74</v>
      </c>
      <c r="BR575" t="s">
        <v>105</v>
      </c>
      <c r="BS575" t="s">
        <v>11035</v>
      </c>
      <c r="BT575" t="str">
        <f>HYPERLINK("https%3A%2F%2Fwww.webofscience.com%2Fwos%2Fwoscc%2Ffull-record%2FWOS:000339280200030","View Full Record in Web of Science")</f>
        <v>View Full Record in Web of Science</v>
      </c>
    </row>
    <row r="576" spans="1:72" x14ac:dyDescent="0.15">
      <c r="A576" t="s">
        <v>72</v>
      </c>
      <c r="B576" t="s">
        <v>11036</v>
      </c>
      <c r="C576" t="s">
        <v>74</v>
      </c>
      <c r="D576" t="s">
        <v>74</v>
      </c>
      <c r="E576" t="s">
        <v>74</v>
      </c>
      <c r="F576" t="s">
        <v>11037</v>
      </c>
      <c r="G576" t="s">
        <v>74</v>
      </c>
      <c r="H576" t="s">
        <v>74</v>
      </c>
      <c r="I576" t="s">
        <v>11038</v>
      </c>
      <c r="J576" t="s">
        <v>1018</v>
      </c>
      <c r="K576" t="s">
        <v>74</v>
      </c>
      <c r="L576" t="s">
        <v>74</v>
      </c>
      <c r="M576" t="s">
        <v>78</v>
      </c>
      <c r="N576" t="s">
        <v>79</v>
      </c>
      <c r="O576" t="s">
        <v>74</v>
      </c>
      <c r="P576" t="s">
        <v>74</v>
      </c>
      <c r="Q576" t="s">
        <v>74</v>
      </c>
      <c r="R576" t="s">
        <v>74</v>
      </c>
      <c r="S576" t="s">
        <v>74</v>
      </c>
      <c r="T576" t="s">
        <v>74</v>
      </c>
      <c r="U576" t="s">
        <v>11039</v>
      </c>
      <c r="V576" t="s">
        <v>11040</v>
      </c>
      <c r="W576" t="s">
        <v>11041</v>
      </c>
      <c r="X576" t="s">
        <v>11042</v>
      </c>
      <c r="Y576" t="s">
        <v>11043</v>
      </c>
      <c r="Z576" t="s">
        <v>11044</v>
      </c>
      <c r="AA576" t="s">
        <v>11045</v>
      </c>
      <c r="AB576" t="s">
        <v>11046</v>
      </c>
      <c r="AC576" t="s">
        <v>11047</v>
      </c>
      <c r="AD576" t="s">
        <v>11048</v>
      </c>
      <c r="AE576" t="s">
        <v>11049</v>
      </c>
      <c r="AF576" t="s">
        <v>74</v>
      </c>
      <c r="AG576">
        <v>38</v>
      </c>
      <c r="AH576">
        <v>57</v>
      </c>
      <c r="AI576">
        <v>67</v>
      </c>
      <c r="AJ576">
        <v>0</v>
      </c>
      <c r="AK576">
        <v>23</v>
      </c>
      <c r="AL576" t="s">
        <v>331</v>
      </c>
      <c r="AM576" t="s">
        <v>332</v>
      </c>
      <c r="AN576" t="s">
        <v>333</v>
      </c>
      <c r="AO576" t="s">
        <v>1030</v>
      </c>
      <c r="AP576" t="s">
        <v>1031</v>
      </c>
      <c r="AQ576" t="s">
        <v>74</v>
      </c>
      <c r="AR576" t="s">
        <v>1032</v>
      </c>
      <c r="AS576" t="s">
        <v>1033</v>
      </c>
      <c r="AT576" t="s">
        <v>10945</v>
      </c>
      <c r="AU576">
        <v>2014</v>
      </c>
      <c r="AV576">
        <v>41</v>
      </c>
      <c r="AW576">
        <v>11</v>
      </c>
      <c r="AX576" t="s">
        <v>74</v>
      </c>
      <c r="AY576" t="s">
        <v>74</v>
      </c>
      <c r="AZ576" t="s">
        <v>74</v>
      </c>
      <c r="BA576" t="s">
        <v>74</v>
      </c>
      <c r="BB576">
        <v>3925</v>
      </c>
      <c r="BC576">
        <v>3932</v>
      </c>
      <c r="BD576" t="s">
        <v>74</v>
      </c>
      <c r="BE576" t="s">
        <v>11050</v>
      </c>
      <c r="BF576" t="str">
        <f>HYPERLINK("http://dx.doi.org/10.1002/2014GL059976","http://dx.doi.org/10.1002/2014GL059976")</f>
        <v>http://dx.doi.org/10.1002/2014GL059976</v>
      </c>
      <c r="BG576" t="s">
        <v>74</v>
      </c>
      <c r="BH576" t="s">
        <v>74</v>
      </c>
      <c r="BI576">
        <v>8</v>
      </c>
      <c r="BJ576" t="s">
        <v>685</v>
      </c>
      <c r="BK576" t="s">
        <v>102</v>
      </c>
      <c r="BL576" t="s">
        <v>686</v>
      </c>
      <c r="BM576" t="s">
        <v>10947</v>
      </c>
      <c r="BN576" t="s">
        <v>74</v>
      </c>
      <c r="BO576" t="s">
        <v>4213</v>
      </c>
      <c r="BP576" t="s">
        <v>74</v>
      </c>
      <c r="BQ576" t="s">
        <v>74</v>
      </c>
      <c r="BR576" t="s">
        <v>105</v>
      </c>
      <c r="BS576" t="s">
        <v>11051</v>
      </c>
      <c r="BT576" t="str">
        <f>HYPERLINK("https%3A%2F%2Fwww.webofscience.com%2Fwos%2Fwoscc%2Ffull-record%2FWOS:000339280200033","View Full Record in Web of Science")</f>
        <v>View Full Record in Web of Science</v>
      </c>
    </row>
    <row r="577" spans="1:72" x14ac:dyDescent="0.15">
      <c r="A577" t="s">
        <v>72</v>
      </c>
      <c r="B577" t="s">
        <v>11052</v>
      </c>
      <c r="C577" t="s">
        <v>74</v>
      </c>
      <c r="D577" t="s">
        <v>74</v>
      </c>
      <c r="E577" t="s">
        <v>74</v>
      </c>
      <c r="F577" t="s">
        <v>11053</v>
      </c>
      <c r="G577" t="s">
        <v>74</v>
      </c>
      <c r="H577" t="s">
        <v>74</v>
      </c>
      <c r="I577" t="s">
        <v>11054</v>
      </c>
      <c r="J577" t="s">
        <v>1018</v>
      </c>
      <c r="K577" t="s">
        <v>74</v>
      </c>
      <c r="L577" t="s">
        <v>74</v>
      </c>
      <c r="M577" t="s">
        <v>78</v>
      </c>
      <c r="N577" t="s">
        <v>79</v>
      </c>
      <c r="O577" t="s">
        <v>74</v>
      </c>
      <c r="P577" t="s">
        <v>74</v>
      </c>
      <c r="Q577" t="s">
        <v>74</v>
      </c>
      <c r="R577" t="s">
        <v>74</v>
      </c>
      <c r="S577" t="s">
        <v>74</v>
      </c>
      <c r="T577" t="s">
        <v>74</v>
      </c>
      <c r="U577" t="s">
        <v>11055</v>
      </c>
      <c r="V577" t="s">
        <v>11056</v>
      </c>
      <c r="W577" t="s">
        <v>11057</v>
      </c>
      <c r="X577" t="s">
        <v>11058</v>
      </c>
      <c r="Y577" t="s">
        <v>11059</v>
      </c>
      <c r="Z577" t="s">
        <v>11060</v>
      </c>
      <c r="AA577" t="s">
        <v>11061</v>
      </c>
      <c r="AB577" t="s">
        <v>11062</v>
      </c>
      <c r="AC577" t="s">
        <v>11063</v>
      </c>
      <c r="AD577" t="s">
        <v>11064</v>
      </c>
      <c r="AE577" t="s">
        <v>11065</v>
      </c>
      <c r="AF577" t="s">
        <v>74</v>
      </c>
      <c r="AG577">
        <v>57</v>
      </c>
      <c r="AH577">
        <v>21</v>
      </c>
      <c r="AI577">
        <v>21</v>
      </c>
      <c r="AJ577">
        <v>0</v>
      </c>
      <c r="AK577">
        <v>57</v>
      </c>
      <c r="AL577" t="s">
        <v>331</v>
      </c>
      <c r="AM577" t="s">
        <v>332</v>
      </c>
      <c r="AN577" t="s">
        <v>333</v>
      </c>
      <c r="AO577" t="s">
        <v>1030</v>
      </c>
      <c r="AP577" t="s">
        <v>1031</v>
      </c>
      <c r="AQ577" t="s">
        <v>74</v>
      </c>
      <c r="AR577" t="s">
        <v>1032</v>
      </c>
      <c r="AS577" t="s">
        <v>1033</v>
      </c>
      <c r="AT577" t="s">
        <v>10945</v>
      </c>
      <c r="AU577">
        <v>2014</v>
      </c>
      <c r="AV577">
        <v>41</v>
      </c>
      <c r="AW577">
        <v>11</v>
      </c>
      <c r="AX577" t="s">
        <v>74</v>
      </c>
      <c r="AY577" t="s">
        <v>74</v>
      </c>
      <c r="AZ577" t="s">
        <v>74</v>
      </c>
      <c r="BA577" t="s">
        <v>74</v>
      </c>
      <c r="BB577">
        <v>4004</v>
      </c>
      <c r="BC577">
        <v>4012</v>
      </c>
      <c r="BD577" t="s">
        <v>74</v>
      </c>
      <c r="BE577" t="s">
        <v>11066</v>
      </c>
      <c r="BF577" t="str">
        <f>HYPERLINK("http://dx.doi.org/10.1002/2014GL059561","http://dx.doi.org/10.1002/2014GL059561")</f>
        <v>http://dx.doi.org/10.1002/2014GL059561</v>
      </c>
      <c r="BG577" t="s">
        <v>74</v>
      </c>
      <c r="BH577" t="s">
        <v>74</v>
      </c>
      <c r="BI577">
        <v>9</v>
      </c>
      <c r="BJ577" t="s">
        <v>685</v>
      </c>
      <c r="BK577" t="s">
        <v>102</v>
      </c>
      <c r="BL577" t="s">
        <v>686</v>
      </c>
      <c r="BM577" t="s">
        <v>10947</v>
      </c>
      <c r="BN577" t="s">
        <v>74</v>
      </c>
      <c r="BO577" t="s">
        <v>663</v>
      </c>
      <c r="BP577" t="s">
        <v>74</v>
      </c>
      <c r="BQ577" t="s">
        <v>74</v>
      </c>
      <c r="BR577" t="s">
        <v>105</v>
      </c>
      <c r="BS577" t="s">
        <v>11067</v>
      </c>
      <c r="BT577" t="str">
        <f>HYPERLINK("https%3A%2F%2Fwww.webofscience.com%2Fwos%2Fwoscc%2Ffull-record%2FWOS:000339280200043","View Full Record in Web of Science")</f>
        <v>View Full Record in Web of Science</v>
      </c>
    </row>
    <row r="578" spans="1:72" x14ac:dyDescent="0.15">
      <c r="A578" t="s">
        <v>72</v>
      </c>
      <c r="B578" t="s">
        <v>11068</v>
      </c>
      <c r="C578" t="s">
        <v>74</v>
      </c>
      <c r="D578" t="s">
        <v>74</v>
      </c>
      <c r="E578" t="s">
        <v>74</v>
      </c>
      <c r="F578" t="s">
        <v>11068</v>
      </c>
      <c r="G578" t="s">
        <v>74</v>
      </c>
      <c r="H578" t="s">
        <v>74</v>
      </c>
      <c r="I578" t="s">
        <v>11069</v>
      </c>
      <c r="J578" t="s">
        <v>1307</v>
      </c>
      <c r="K578" t="s">
        <v>74</v>
      </c>
      <c r="L578" t="s">
        <v>74</v>
      </c>
      <c r="M578" t="s">
        <v>78</v>
      </c>
      <c r="N578" t="s">
        <v>11070</v>
      </c>
      <c r="O578" t="s">
        <v>74</v>
      </c>
      <c r="P578" t="s">
        <v>74</v>
      </c>
      <c r="Q578" t="s">
        <v>74</v>
      </c>
      <c r="R578" t="s">
        <v>74</v>
      </c>
      <c r="S578" t="s">
        <v>74</v>
      </c>
      <c r="T578" t="s">
        <v>74</v>
      </c>
      <c r="U578" t="s">
        <v>74</v>
      </c>
      <c r="V578" t="s">
        <v>74</v>
      </c>
      <c r="W578" t="s">
        <v>74</v>
      </c>
      <c r="X578" t="s">
        <v>74</v>
      </c>
      <c r="Y578" t="s">
        <v>74</v>
      </c>
      <c r="Z578" t="s">
        <v>74</v>
      </c>
      <c r="AA578" t="s">
        <v>74</v>
      </c>
      <c r="AB578" t="s">
        <v>74</v>
      </c>
      <c r="AC578" t="s">
        <v>74</v>
      </c>
      <c r="AD578" t="s">
        <v>74</v>
      </c>
      <c r="AE578" t="s">
        <v>74</v>
      </c>
      <c r="AF578" t="s">
        <v>74</v>
      </c>
      <c r="AG578">
        <v>0</v>
      </c>
      <c r="AH578">
        <v>0</v>
      </c>
      <c r="AI578">
        <v>0</v>
      </c>
      <c r="AJ578">
        <v>0</v>
      </c>
      <c r="AK578">
        <v>1</v>
      </c>
      <c r="AL578" t="s">
        <v>250</v>
      </c>
      <c r="AM578" t="s">
        <v>251</v>
      </c>
      <c r="AN578" t="s">
        <v>252</v>
      </c>
      <c r="AO578" t="s">
        <v>1317</v>
      </c>
      <c r="AP578" t="s">
        <v>1318</v>
      </c>
      <c r="AQ578" t="s">
        <v>74</v>
      </c>
      <c r="AR578" t="s">
        <v>1319</v>
      </c>
      <c r="AS578" t="s">
        <v>1320</v>
      </c>
      <c r="AT578" t="s">
        <v>11071</v>
      </c>
      <c r="AU578">
        <v>2014</v>
      </c>
      <c r="AV578">
        <v>83</v>
      </c>
      <c r="AW578">
        <v>1</v>
      </c>
      <c r="AX578" t="s">
        <v>74</v>
      </c>
      <c r="AY578" t="s">
        <v>74</v>
      </c>
      <c r="AZ578" t="s">
        <v>74</v>
      </c>
      <c r="BA578" t="s">
        <v>74</v>
      </c>
      <c r="BB578">
        <v>6</v>
      </c>
      <c r="BC578">
        <v>7</v>
      </c>
      <c r="BD578" t="s">
        <v>74</v>
      </c>
      <c r="BE578" t="s">
        <v>74</v>
      </c>
      <c r="BF578" t="s">
        <v>74</v>
      </c>
      <c r="BG578" t="s">
        <v>74</v>
      </c>
      <c r="BH578" t="s">
        <v>74</v>
      </c>
      <c r="BI578">
        <v>2</v>
      </c>
      <c r="BJ578" t="s">
        <v>1323</v>
      </c>
      <c r="BK578" t="s">
        <v>102</v>
      </c>
      <c r="BL578" t="s">
        <v>933</v>
      </c>
      <c r="BM578" t="s">
        <v>11072</v>
      </c>
      <c r="BN578" t="s">
        <v>74</v>
      </c>
      <c r="BO578" t="s">
        <v>74</v>
      </c>
      <c r="BP578" t="s">
        <v>74</v>
      </c>
      <c r="BQ578" t="s">
        <v>74</v>
      </c>
      <c r="BR578" t="s">
        <v>105</v>
      </c>
      <c r="BS578" t="s">
        <v>11073</v>
      </c>
      <c r="BT578" t="str">
        <f>HYPERLINK("https%3A%2F%2Fwww.webofscience.com%2Fwos%2Fwoscc%2Ffull-record%2FWOS:000339130000008","View Full Record in Web of Science")</f>
        <v>View Full Record in Web of Science</v>
      </c>
    </row>
    <row r="579" spans="1:72" x14ac:dyDescent="0.15">
      <c r="A579" t="s">
        <v>72</v>
      </c>
      <c r="B579" t="s">
        <v>11074</v>
      </c>
      <c r="C579" t="s">
        <v>74</v>
      </c>
      <c r="D579" t="s">
        <v>74</v>
      </c>
      <c r="E579" t="s">
        <v>74</v>
      </c>
      <c r="F579" t="s">
        <v>11075</v>
      </c>
      <c r="G579" t="s">
        <v>74</v>
      </c>
      <c r="H579" t="s">
        <v>74</v>
      </c>
      <c r="I579" t="s">
        <v>11076</v>
      </c>
      <c r="J579" t="s">
        <v>267</v>
      </c>
      <c r="K579" t="s">
        <v>74</v>
      </c>
      <c r="L579" t="s">
        <v>74</v>
      </c>
      <c r="M579" t="s">
        <v>78</v>
      </c>
      <c r="N579" t="s">
        <v>79</v>
      </c>
      <c r="O579" t="s">
        <v>74</v>
      </c>
      <c r="P579" t="s">
        <v>74</v>
      </c>
      <c r="Q579" t="s">
        <v>74</v>
      </c>
      <c r="R579" t="s">
        <v>74</v>
      </c>
      <c r="S579" t="s">
        <v>74</v>
      </c>
      <c r="T579" t="s">
        <v>74</v>
      </c>
      <c r="U579" t="s">
        <v>11077</v>
      </c>
      <c r="V579" t="s">
        <v>11078</v>
      </c>
      <c r="W579" t="s">
        <v>11079</v>
      </c>
      <c r="X579" t="s">
        <v>11080</v>
      </c>
      <c r="Y579" t="s">
        <v>11081</v>
      </c>
      <c r="Z579" t="s">
        <v>11082</v>
      </c>
      <c r="AA579" t="s">
        <v>11083</v>
      </c>
      <c r="AB579" t="s">
        <v>11084</v>
      </c>
      <c r="AC579" t="s">
        <v>11085</v>
      </c>
      <c r="AD579" t="s">
        <v>11086</v>
      </c>
      <c r="AE579" t="s">
        <v>11087</v>
      </c>
      <c r="AF579" t="s">
        <v>74</v>
      </c>
      <c r="AG579">
        <v>36</v>
      </c>
      <c r="AH579">
        <v>100</v>
      </c>
      <c r="AI579">
        <v>117</v>
      </c>
      <c r="AJ579">
        <v>1</v>
      </c>
      <c r="AK579">
        <v>46</v>
      </c>
      <c r="AL579" t="s">
        <v>280</v>
      </c>
      <c r="AM579" t="s">
        <v>281</v>
      </c>
      <c r="AN579" t="s">
        <v>4726</v>
      </c>
      <c r="AO579" t="s">
        <v>283</v>
      </c>
      <c r="AP579" t="s">
        <v>284</v>
      </c>
      <c r="AQ579" t="s">
        <v>74</v>
      </c>
      <c r="AR579" t="s">
        <v>285</v>
      </c>
      <c r="AS579" t="s">
        <v>286</v>
      </c>
      <c r="AT579" t="s">
        <v>11071</v>
      </c>
      <c r="AU579">
        <v>2014</v>
      </c>
      <c r="AV579">
        <v>27</v>
      </c>
      <c r="AW579">
        <v>12</v>
      </c>
      <c r="AX579" t="s">
        <v>74</v>
      </c>
      <c r="AY579" t="s">
        <v>74</v>
      </c>
      <c r="AZ579" t="s">
        <v>74</v>
      </c>
      <c r="BA579" t="s">
        <v>74</v>
      </c>
      <c r="BB579">
        <v>4433</v>
      </c>
      <c r="BC579">
        <v>4450</v>
      </c>
      <c r="BD579" t="s">
        <v>74</v>
      </c>
      <c r="BE579" t="s">
        <v>11088</v>
      </c>
      <c r="BF579" t="str">
        <f>HYPERLINK("http://dx.doi.org/10.1175/JCLI-D-13-00551.1","http://dx.doi.org/10.1175/JCLI-D-13-00551.1")</f>
        <v>http://dx.doi.org/10.1175/JCLI-D-13-00551.1</v>
      </c>
      <c r="BG579" t="s">
        <v>74</v>
      </c>
      <c r="BH579" t="s">
        <v>74</v>
      </c>
      <c r="BI579">
        <v>18</v>
      </c>
      <c r="BJ579" t="s">
        <v>177</v>
      </c>
      <c r="BK579" t="s">
        <v>102</v>
      </c>
      <c r="BL579" t="s">
        <v>177</v>
      </c>
      <c r="BM579" t="s">
        <v>11089</v>
      </c>
      <c r="BN579" t="s">
        <v>74</v>
      </c>
      <c r="BO579" t="s">
        <v>289</v>
      </c>
      <c r="BP579" t="s">
        <v>74</v>
      </c>
      <c r="BQ579" t="s">
        <v>74</v>
      </c>
      <c r="BR579" t="s">
        <v>105</v>
      </c>
      <c r="BS579" t="s">
        <v>11090</v>
      </c>
      <c r="BT579" t="str">
        <f>HYPERLINK("https%3A%2F%2Fwww.webofscience.com%2Fwos%2Fwoscc%2Ffull-record%2FWOS:000337659200007","View Full Record in Web of Science")</f>
        <v>View Full Record in Web of Science</v>
      </c>
    </row>
    <row r="580" spans="1:72" x14ac:dyDescent="0.15">
      <c r="A580" t="s">
        <v>72</v>
      </c>
      <c r="B580" t="s">
        <v>11091</v>
      </c>
      <c r="C580" t="s">
        <v>74</v>
      </c>
      <c r="D580" t="s">
        <v>74</v>
      </c>
      <c r="E580" t="s">
        <v>74</v>
      </c>
      <c r="F580" t="s">
        <v>11092</v>
      </c>
      <c r="G580" t="s">
        <v>74</v>
      </c>
      <c r="H580" t="s">
        <v>74</v>
      </c>
      <c r="I580" t="s">
        <v>11093</v>
      </c>
      <c r="J580" t="s">
        <v>267</v>
      </c>
      <c r="K580" t="s">
        <v>74</v>
      </c>
      <c r="L580" t="s">
        <v>74</v>
      </c>
      <c r="M580" t="s">
        <v>78</v>
      </c>
      <c r="N580" t="s">
        <v>79</v>
      </c>
      <c r="O580" t="s">
        <v>74</v>
      </c>
      <c r="P580" t="s">
        <v>74</v>
      </c>
      <c r="Q580" t="s">
        <v>74</v>
      </c>
      <c r="R580" t="s">
        <v>74</v>
      </c>
      <c r="S580" t="s">
        <v>74</v>
      </c>
      <c r="T580" t="s">
        <v>74</v>
      </c>
      <c r="U580" t="s">
        <v>11094</v>
      </c>
      <c r="V580" t="s">
        <v>11095</v>
      </c>
      <c r="W580" t="s">
        <v>11096</v>
      </c>
      <c r="X580" t="s">
        <v>11097</v>
      </c>
      <c r="Y580" t="s">
        <v>11098</v>
      </c>
      <c r="Z580" t="s">
        <v>11099</v>
      </c>
      <c r="AA580" t="s">
        <v>11100</v>
      </c>
      <c r="AB580" t="s">
        <v>11101</v>
      </c>
      <c r="AC580" t="s">
        <v>11102</v>
      </c>
      <c r="AD580" t="s">
        <v>11103</v>
      </c>
      <c r="AE580" t="s">
        <v>11104</v>
      </c>
      <c r="AF580" t="s">
        <v>74</v>
      </c>
      <c r="AG580">
        <v>69</v>
      </c>
      <c r="AH580">
        <v>28</v>
      </c>
      <c r="AI580">
        <v>30</v>
      </c>
      <c r="AJ580">
        <v>0</v>
      </c>
      <c r="AK580">
        <v>27</v>
      </c>
      <c r="AL580" t="s">
        <v>280</v>
      </c>
      <c r="AM580" t="s">
        <v>281</v>
      </c>
      <c r="AN580" t="s">
        <v>282</v>
      </c>
      <c r="AO580" t="s">
        <v>283</v>
      </c>
      <c r="AP580" t="s">
        <v>284</v>
      </c>
      <c r="AQ580" t="s">
        <v>74</v>
      </c>
      <c r="AR580" t="s">
        <v>285</v>
      </c>
      <c r="AS580" t="s">
        <v>286</v>
      </c>
      <c r="AT580" t="s">
        <v>11071</v>
      </c>
      <c r="AU580">
        <v>2014</v>
      </c>
      <c r="AV580">
        <v>27</v>
      </c>
      <c r="AW580">
        <v>12</v>
      </c>
      <c r="AX580" t="s">
        <v>74</v>
      </c>
      <c r="AY580" t="s">
        <v>74</v>
      </c>
      <c r="AZ580" t="s">
        <v>74</v>
      </c>
      <c r="BA580" t="s">
        <v>74</v>
      </c>
      <c r="BB580">
        <v>4486</v>
      </c>
      <c r="BC580">
        <v>4507</v>
      </c>
      <c r="BD580" t="s">
        <v>74</v>
      </c>
      <c r="BE580" t="s">
        <v>11105</v>
      </c>
      <c r="BF580" t="str">
        <f>HYPERLINK("http://dx.doi.org/10.1175/JCLI-D-13-00506.1","http://dx.doi.org/10.1175/JCLI-D-13-00506.1")</f>
        <v>http://dx.doi.org/10.1175/JCLI-D-13-00506.1</v>
      </c>
      <c r="BG580" t="s">
        <v>74</v>
      </c>
      <c r="BH580" t="s">
        <v>74</v>
      </c>
      <c r="BI580">
        <v>22</v>
      </c>
      <c r="BJ580" t="s">
        <v>177</v>
      </c>
      <c r="BK580" t="s">
        <v>102</v>
      </c>
      <c r="BL580" t="s">
        <v>177</v>
      </c>
      <c r="BM580" t="s">
        <v>11089</v>
      </c>
      <c r="BN580" t="s">
        <v>74</v>
      </c>
      <c r="BO580" t="s">
        <v>427</v>
      </c>
      <c r="BP580" t="s">
        <v>74</v>
      </c>
      <c r="BQ580" t="s">
        <v>74</v>
      </c>
      <c r="BR580" t="s">
        <v>105</v>
      </c>
      <c r="BS580" t="s">
        <v>11106</v>
      </c>
      <c r="BT580" t="str">
        <f>HYPERLINK("https%3A%2F%2Fwww.webofscience.com%2Fwos%2Fwoscc%2Ffull-record%2FWOS:000337659200010","View Full Record in Web of Science")</f>
        <v>View Full Record in Web of Science</v>
      </c>
    </row>
    <row r="581" spans="1:72" x14ac:dyDescent="0.15">
      <c r="A581" t="s">
        <v>72</v>
      </c>
      <c r="B581" t="s">
        <v>11107</v>
      </c>
      <c r="C581" t="s">
        <v>74</v>
      </c>
      <c r="D581" t="s">
        <v>74</v>
      </c>
      <c r="E581" t="s">
        <v>74</v>
      </c>
      <c r="F581" t="s">
        <v>11108</v>
      </c>
      <c r="G581" t="s">
        <v>74</v>
      </c>
      <c r="H581" t="s">
        <v>74</v>
      </c>
      <c r="I581" t="s">
        <v>11109</v>
      </c>
      <c r="J581" t="s">
        <v>7478</v>
      </c>
      <c r="K581" t="s">
        <v>74</v>
      </c>
      <c r="L581" t="s">
        <v>74</v>
      </c>
      <c r="M581" t="s">
        <v>78</v>
      </c>
      <c r="N581" t="s">
        <v>79</v>
      </c>
      <c r="O581" t="s">
        <v>74</v>
      </c>
      <c r="P581" t="s">
        <v>74</v>
      </c>
      <c r="Q581" t="s">
        <v>74</v>
      </c>
      <c r="R581" t="s">
        <v>74</v>
      </c>
      <c r="S581" t="s">
        <v>74</v>
      </c>
      <c r="T581" t="s">
        <v>11110</v>
      </c>
      <c r="U581" t="s">
        <v>11111</v>
      </c>
      <c r="V581" t="s">
        <v>11112</v>
      </c>
      <c r="W581" t="s">
        <v>11113</v>
      </c>
      <c r="X581" t="s">
        <v>11114</v>
      </c>
      <c r="Y581" t="s">
        <v>11115</v>
      </c>
      <c r="Z581" t="s">
        <v>11116</v>
      </c>
      <c r="AA581" t="s">
        <v>11117</v>
      </c>
      <c r="AB581" t="s">
        <v>74</v>
      </c>
      <c r="AC581" t="s">
        <v>11118</v>
      </c>
      <c r="AD581" t="s">
        <v>11119</v>
      </c>
      <c r="AE581" t="s">
        <v>11120</v>
      </c>
      <c r="AF581" t="s">
        <v>74</v>
      </c>
      <c r="AG581">
        <v>74</v>
      </c>
      <c r="AH581">
        <v>39</v>
      </c>
      <c r="AI581">
        <v>48</v>
      </c>
      <c r="AJ581">
        <v>2</v>
      </c>
      <c r="AK581">
        <v>49</v>
      </c>
      <c r="AL581" t="s">
        <v>2190</v>
      </c>
      <c r="AM581" t="s">
        <v>576</v>
      </c>
      <c r="AN581" t="s">
        <v>2191</v>
      </c>
      <c r="AO581" t="s">
        <v>7490</v>
      </c>
      <c r="AP581" t="s">
        <v>7491</v>
      </c>
      <c r="AQ581" t="s">
        <v>74</v>
      </c>
      <c r="AR581" t="s">
        <v>7492</v>
      </c>
      <c r="AS581" t="s">
        <v>7493</v>
      </c>
      <c r="AT581" t="s">
        <v>11071</v>
      </c>
      <c r="AU581">
        <v>2014</v>
      </c>
      <c r="AV581">
        <v>143</v>
      </c>
      <c r="AW581" t="s">
        <v>74</v>
      </c>
      <c r="AX581" t="s">
        <v>74</v>
      </c>
      <c r="AY581" t="s">
        <v>74</v>
      </c>
      <c r="AZ581" t="s">
        <v>74</v>
      </c>
      <c r="BA581" t="s">
        <v>74</v>
      </c>
      <c r="BB581">
        <v>17</v>
      </c>
      <c r="BC581">
        <v>30</v>
      </c>
      <c r="BD581" t="s">
        <v>74</v>
      </c>
      <c r="BE581" t="s">
        <v>11121</v>
      </c>
      <c r="BF581" t="str">
        <f>HYPERLINK("http://dx.doi.org/10.1016/j.atmosres.2014.01.024","http://dx.doi.org/10.1016/j.atmosres.2014.01.024")</f>
        <v>http://dx.doi.org/10.1016/j.atmosres.2014.01.024</v>
      </c>
      <c r="BG581" t="s">
        <v>74</v>
      </c>
      <c r="BH581" t="s">
        <v>74</v>
      </c>
      <c r="BI581">
        <v>14</v>
      </c>
      <c r="BJ581" t="s">
        <v>177</v>
      </c>
      <c r="BK581" t="s">
        <v>102</v>
      </c>
      <c r="BL581" t="s">
        <v>177</v>
      </c>
      <c r="BM581" t="s">
        <v>11122</v>
      </c>
      <c r="BN581" t="s">
        <v>74</v>
      </c>
      <c r="BO581" t="s">
        <v>74</v>
      </c>
      <c r="BP581" t="s">
        <v>74</v>
      </c>
      <c r="BQ581" t="s">
        <v>74</v>
      </c>
      <c r="BR581" t="s">
        <v>105</v>
      </c>
      <c r="BS581" t="s">
        <v>11123</v>
      </c>
      <c r="BT581" t="str">
        <f>HYPERLINK("https%3A%2F%2Fwww.webofscience.com%2Fwos%2Fwoscc%2Ffull-record%2FWOS:000336109100002","View Full Record in Web of Science")</f>
        <v>View Full Record in Web of Science</v>
      </c>
    </row>
    <row r="582" spans="1:72" x14ac:dyDescent="0.15">
      <c r="A582" t="s">
        <v>72</v>
      </c>
      <c r="B582" t="s">
        <v>11124</v>
      </c>
      <c r="C582" t="s">
        <v>74</v>
      </c>
      <c r="D582" t="s">
        <v>74</v>
      </c>
      <c r="E582" t="s">
        <v>74</v>
      </c>
      <c r="F582" t="s">
        <v>11125</v>
      </c>
      <c r="G582" t="s">
        <v>74</v>
      </c>
      <c r="H582" t="s">
        <v>74</v>
      </c>
      <c r="I582" t="s">
        <v>11126</v>
      </c>
      <c r="J582" t="s">
        <v>267</v>
      </c>
      <c r="K582" t="s">
        <v>74</v>
      </c>
      <c r="L582" t="s">
        <v>74</v>
      </c>
      <c r="M582" t="s">
        <v>78</v>
      </c>
      <c r="N582" t="s">
        <v>79</v>
      </c>
      <c r="O582" t="s">
        <v>74</v>
      </c>
      <c r="P582" t="s">
        <v>74</v>
      </c>
      <c r="Q582" t="s">
        <v>74</v>
      </c>
      <c r="R582" t="s">
        <v>74</v>
      </c>
      <c r="S582" t="s">
        <v>74</v>
      </c>
      <c r="T582" t="s">
        <v>74</v>
      </c>
      <c r="U582" t="s">
        <v>11127</v>
      </c>
      <c r="V582" t="s">
        <v>11128</v>
      </c>
      <c r="W582" t="s">
        <v>11129</v>
      </c>
      <c r="X582" t="s">
        <v>11130</v>
      </c>
      <c r="Y582" t="s">
        <v>11131</v>
      </c>
      <c r="Z582" t="s">
        <v>11132</v>
      </c>
      <c r="AA582" t="s">
        <v>11133</v>
      </c>
      <c r="AB582" t="s">
        <v>11134</v>
      </c>
      <c r="AC582" t="s">
        <v>74</v>
      </c>
      <c r="AD582" t="s">
        <v>74</v>
      </c>
      <c r="AE582" t="s">
        <v>74</v>
      </c>
      <c r="AF582" t="s">
        <v>74</v>
      </c>
      <c r="AG582">
        <v>54</v>
      </c>
      <c r="AH582">
        <v>79</v>
      </c>
      <c r="AI582">
        <v>84</v>
      </c>
      <c r="AJ582">
        <v>1</v>
      </c>
      <c r="AK582">
        <v>20</v>
      </c>
      <c r="AL582" t="s">
        <v>280</v>
      </c>
      <c r="AM582" t="s">
        <v>281</v>
      </c>
      <c r="AN582" t="s">
        <v>282</v>
      </c>
      <c r="AO582" t="s">
        <v>283</v>
      </c>
      <c r="AP582" t="s">
        <v>284</v>
      </c>
      <c r="AQ582" t="s">
        <v>74</v>
      </c>
      <c r="AR582" t="s">
        <v>285</v>
      </c>
      <c r="AS582" t="s">
        <v>286</v>
      </c>
      <c r="AT582" t="s">
        <v>11071</v>
      </c>
      <c r="AU582">
        <v>2014</v>
      </c>
      <c r="AV582">
        <v>27</v>
      </c>
      <c r="AW582">
        <v>12</v>
      </c>
      <c r="AX582" t="s">
        <v>74</v>
      </c>
      <c r="AY582" t="s">
        <v>74</v>
      </c>
      <c r="AZ582" t="s">
        <v>74</v>
      </c>
      <c r="BA582" t="s">
        <v>74</v>
      </c>
      <c r="BB582">
        <v>4752</v>
      </c>
      <c r="BC582">
        <v>4775</v>
      </c>
      <c r="BD582" t="s">
        <v>74</v>
      </c>
      <c r="BE582" t="s">
        <v>11135</v>
      </c>
      <c r="BF582" t="str">
        <f>HYPERLINK("http://dx.doi.org/10.1175/JCLI-D-13-00583.1","http://dx.doi.org/10.1175/JCLI-D-13-00583.1")</f>
        <v>http://dx.doi.org/10.1175/JCLI-D-13-00583.1</v>
      </c>
      <c r="BG582" t="s">
        <v>74</v>
      </c>
      <c r="BH582" t="s">
        <v>74</v>
      </c>
      <c r="BI582">
        <v>24</v>
      </c>
      <c r="BJ582" t="s">
        <v>177</v>
      </c>
      <c r="BK582" t="s">
        <v>102</v>
      </c>
      <c r="BL582" t="s">
        <v>177</v>
      </c>
      <c r="BM582" t="s">
        <v>11089</v>
      </c>
      <c r="BN582" t="s">
        <v>74</v>
      </c>
      <c r="BO582" t="s">
        <v>289</v>
      </c>
      <c r="BP582" t="s">
        <v>74</v>
      </c>
      <c r="BQ582" t="s">
        <v>74</v>
      </c>
      <c r="BR582" t="s">
        <v>105</v>
      </c>
      <c r="BS582" t="s">
        <v>11136</v>
      </c>
      <c r="BT582" t="str">
        <f>HYPERLINK("https%3A%2F%2Fwww.webofscience.com%2Fwos%2Fwoscc%2Ffull-record%2FWOS:000337659200026","View Full Record in Web of Science")</f>
        <v>View Full Record in Web of Science</v>
      </c>
    </row>
    <row r="583" spans="1:72" x14ac:dyDescent="0.15">
      <c r="A583" t="s">
        <v>72</v>
      </c>
      <c r="B583" t="s">
        <v>11137</v>
      </c>
      <c r="C583" t="s">
        <v>74</v>
      </c>
      <c r="D583" t="s">
        <v>74</v>
      </c>
      <c r="E583" t="s">
        <v>74</v>
      </c>
      <c r="F583" t="s">
        <v>11138</v>
      </c>
      <c r="G583" t="s">
        <v>74</v>
      </c>
      <c r="H583" t="s">
        <v>74</v>
      </c>
      <c r="I583" t="s">
        <v>11139</v>
      </c>
      <c r="J583" t="s">
        <v>1329</v>
      </c>
      <c r="K583" t="s">
        <v>74</v>
      </c>
      <c r="L583" t="s">
        <v>74</v>
      </c>
      <c r="M583" t="s">
        <v>78</v>
      </c>
      <c r="N583" t="s">
        <v>79</v>
      </c>
      <c r="O583" t="s">
        <v>74</v>
      </c>
      <c r="P583" t="s">
        <v>74</v>
      </c>
      <c r="Q583" t="s">
        <v>74</v>
      </c>
      <c r="R583" t="s">
        <v>74</v>
      </c>
      <c r="S583" t="s">
        <v>74</v>
      </c>
      <c r="T583" t="s">
        <v>74</v>
      </c>
      <c r="U583" t="s">
        <v>11140</v>
      </c>
      <c r="V583" t="s">
        <v>11141</v>
      </c>
      <c r="W583" t="s">
        <v>11142</v>
      </c>
      <c r="X583" t="s">
        <v>11143</v>
      </c>
      <c r="Y583" t="s">
        <v>11144</v>
      </c>
      <c r="Z583" t="s">
        <v>11145</v>
      </c>
      <c r="AA583" t="s">
        <v>11146</v>
      </c>
      <c r="AB583" t="s">
        <v>11147</v>
      </c>
      <c r="AC583" t="s">
        <v>11148</v>
      </c>
      <c r="AD583" t="s">
        <v>11149</v>
      </c>
      <c r="AE583" t="s">
        <v>11150</v>
      </c>
      <c r="AF583" t="s">
        <v>74</v>
      </c>
      <c r="AG583">
        <v>118</v>
      </c>
      <c r="AH583">
        <v>23</v>
      </c>
      <c r="AI583">
        <v>25</v>
      </c>
      <c r="AJ583">
        <v>0</v>
      </c>
      <c r="AK583">
        <v>42</v>
      </c>
      <c r="AL583" t="s">
        <v>250</v>
      </c>
      <c r="AM583" t="s">
        <v>251</v>
      </c>
      <c r="AN583" t="s">
        <v>252</v>
      </c>
      <c r="AO583" t="s">
        <v>1341</v>
      </c>
      <c r="AP583" t="s">
        <v>1342</v>
      </c>
      <c r="AQ583" t="s">
        <v>74</v>
      </c>
      <c r="AR583" t="s">
        <v>1343</v>
      </c>
      <c r="AS583" t="s">
        <v>1344</v>
      </c>
      <c r="AT583" t="s">
        <v>11071</v>
      </c>
      <c r="AU583">
        <v>2014</v>
      </c>
      <c r="AV583">
        <v>135</v>
      </c>
      <c r="AW583" t="s">
        <v>74</v>
      </c>
      <c r="AX583" t="s">
        <v>74</v>
      </c>
      <c r="AY583" t="s">
        <v>74</v>
      </c>
      <c r="AZ583" t="s">
        <v>74</v>
      </c>
      <c r="BA583" t="s">
        <v>74</v>
      </c>
      <c r="BB583">
        <v>126</v>
      </c>
      <c r="BC583">
        <v>169</v>
      </c>
      <c r="BD583" t="s">
        <v>74</v>
      </c>
      <c r="BE583" t="s">
        <v>11151</v>
      </c>
      <c r="BF583" t="str">
        <f>HYPERLINK("http://dx.doi.org/10.1016/j.gca.2014.02.028","http://dx.doi.org/10.1016/j.gca.2014.02.028")</f>
        <v>http://dx.doi.org/10.1016/j.gca.2014.02.028</v>
      </c>
      <c r="BG583" t="s">
        <v>74</v>
      </c>
      <c r="BH583" t="s">
        <v>74</v>
      </c>
      <c r="BI583">
        <v>44</v>
      </c>
      <c r="BJ583" t="s">
        <v>425</v>
      </c>
      <c r="BK583" t="s">
        <v>102</v>
      </c>
      <c r="BL583" t="s">
        <v>425</v>
      </c>
      <c r="BM583" t="s">
        <v>11152</v>
      </c>
      <c r="BN583" t="s">
        <v>74</v>
      </c>
      <c r="BO583" t="s">
        <v>74</v>
      </c>
      <c r="BP583" t="s">
        <v>74</v>
      </c>
      <c r="BQ583" t="s">
        <v>74</v>
      </c>
      <c r="BR583" t="s">
        <v>105</v>
      </c>
      <c r="BS583" t="s">
        <v>11153</v>
      </c>
      <c r="BT583" t="str">
        <f>HYPERLINK("https%3A%2F%2Fwww.webofscience.com%2Fwos%2Fwoscc%2Ffull-record%2FWOS:000335656900007","View Full Record in Web of Science")</f>
        <v>View Full Record in Web of Science</v>
      </c>
    </row>
    <row r="584" spans="1:72" x14ac:dyDescent="0.15">
      <c r="A584" t="s">
        <v>72</v>
      </c>
      <c r="B584" t="s">
        <v>11154</v>
      </c>
      <c r="C584" t="s">
        <v>74</v>
      </c>
      <c r="D584" t="s">
        <v>74</v>
      </c>
      <c r="E584" t="s">
        <v>74</v>
      </c>
      <c r="F584" t="s">
        <v>11155</v>
      </c>
      <c r="G584" t="s">
        <v>74</v>
      </c>
      <c r="H584" t="s">
        <v>74</v>
      </c>
      <c r="I584" t="s">
        <v>11156</v>
      </c>
      <c r="J584" t="s">
        <v>10596</v>
      </c>
      <c r="K584" t="s">
        <v>74</v>
      </c>
      <c r="L584" t="s">
        <v>74</v>
      </c>
      <c r="M584" t="s">
        <v>78</v>
      </c>
      <c r="N584" t="s">
        <v>79</v>
      </c>
      <c r="O584" t="s">
        <v>74</v>
      </c>
      <c r="P584" t="s">
        <v>74</v>
      </c>
      <c r="Q584" t="s">
        <v>74</v>
      </c>
      <c r="R584" t="s">
        <v>74</v>
      </c>
      <c r="S584" t="s">
        <v>74</v>
      </c>
      <c r="T584" t="s">
        <v>74</v>
      </c>
      <c r="U584" t="s">
        <v>11157</v>
      </c>
      <c r="V584" t="s">
        <v>11158</v>
      </c>
      <c r="W584" t="s">
        <v>11159</v>
      </c>
      <c r="X584" t="s">
        <v>11160</v>
      </c>
      <c r="Y584" t="s">
        <v>11161</v>
      </c>
      <c r="Z584" t="s">
        <v>11162</v>
      </c>
      <c r="AA584" t="s">
        <v>11163</v>
      </c>
      <c r="AB584" t="s">
        <v>11164</v>
      </c>
      <c r="AC584" t="s">
        <v>11165</v>
      </c>
      <c r="AD584" t="s">
        <v>11166</v>
      </c>
      <c r="AE584" t="s">
        <v>11167</v>
      </c>
      <c r="AF584" t="s">
        <v>74</v>
      </c>
      <c r="AG584">
        <v>29</v>
      </c>
      <c r="AH584">
        <v>9</v>
      </c>
      <c r="AI584">
        <v>9</v>
      </c>
      <c r="AJ584">
        <v>0</v>
      </c>
      <c r="AK584">
        <v>42</v>
      </c>
      <c r="AL584" t="s">
        <v>8645</v>
      </c>
      <c r="AM584" t="s">
        <v>526</v>
      </c>
      <c r="AN584" t="s">
        <v>8646</v>
      </c>
      <c r="AO584" t="s">
        <v>10608</v>
      </c>
      <c r="AP584" t="s">
        <v>10609</v>
      </c>
      <c r="AQ584" t="s">
        <v>74</v>
      </c>
      <c r="AR584" t="s">
        <v>10610</v>
      </c>
      <c r="AS584" t="s">
        <v>10611</v>
      </c>
      <c r="AT584" t="s">
        <v>11168</v>
      </c>
      <c r="AU584">
        <v>2014</v>
      </c>
      <c r="AV584">
        <v>140</v>
      </c>
      <c r="AW584">
        <v>22</v>
      </c>
      <c r="AX584" t="s">
        <v>74</v>
      </c>
      <c r="AY584" t="s">
        <v>74</v>
      </c>
      <c r="AZ584" t="s">
        <v>74</v>
      </c>
      <c r="BA584" t="s">
        <v>74</v>
      </c>
      <c r="BB584" t="s">
        <v>74</v>
      </c>
      <c r="BC584" t="s">
        <v>74</v>
      </c>
      <c r="BD584">
        <v>225101</v>
      </c>
      <c r="BE584" t="s">
        <v>11169</v>
      </c>
      <c r="BF584" t="str">
        <f>HYPERLINK("http://dx.doi.org/10.1063/1.4881895","http://dx.doi.org/10.1063/1.4881895")</f>
        <v>http://dx.doi.org/10.1063/1.4881895</v>
      </c>
      <c r="BG584" t="s">
        <v>74</v>
      </c>
      <c r="BH584" t="s">
        <v>74</v>
      </c>
      <c r="BI584">
        <v>8</v>
      </c>
      <c r="BJ584" t="s">
        <v>10614</v>
      </c>
      <c r="BK584" t="s">
        <v>102</v>
      </c>
      <c r="BL584" t="s">
        <v>10615</v>
      </c>
      <c r="BM584" t="s">
        <v>11170</v>
      </c>
      <c r="BN584">
        <v>24929413</v>
      </c>
      <c r="BO584" t="s">
        <v>74</v>
      </c>
      <c r="BP584" t="s">
        <v>74</v>
      </c>
      <c r="BQ584" t="s">
        <v>74</v>
      </c>
      <c r="BR584" t="s">
        <v>105</v>
      </c>
      <c r="BS584" t="s">
        <v>11171</v>
      </c>
      <c r="BT584" t="str">
        <f>HYPERLINK("https%3A%2F%2Fwww.webofscience.com%2Fwos%2Fwoscc%2Ffull-record%2FWOS:000337806100049","View Full Record in Web of Science")</f>
        <v>View Full Record in Web of Science</v>
      </c>
    </row>
    <row r="585" spans="1:72" x14ac:dyDescent="0.15">
      <c r="A585" t="s">
        <v>72</v>
      </c>
      <c r="B585" t="s">
        <v>11172</v>
      </c>
      <c r="C585" t="s">
        <v>74</v>
      </c>
      <c r="D585" t="s">
        <v>74</v>
      </c>
      <c r="E585" t="s">
        <v>74</v>
      </c>
      <c r="F585" t="s">
        <v>11173</v>
      </c>
      <c r="G585" t="s">
        <v>74</v>
      </c>
      <c r="H585" t="s">
        <v>74</v>
      </c>
      <c r="I585" t="s">
        <v>11174</v>
      </c>
      <c r="J585" t="s">
        <v>1172</v>
      </c>
      <c r="K585" t="s">
        <v>74</v>
      </c>
      <c r="L585" t="s">
        <v>74</v>
      </c>
      <c r="M585" t="s">
        <v>78</v>
      </c>
      <c r="N585" t="s">
        <v>79</v>
      </c>
      <c r="O585" t="s">
        <v>74</v>
      </c>
      <c r="P585" t="s">
        <v>74</v>
      </c>
      <c r="Q585" t="s">
        <v>74</v>
      </c>
      <c r="R585" t="s">
        <v>74</v>
      </c>
      <c r="S585" t="s">
        <v>74</v>
      </c>
      <c r="T585" t="s">
        <v>11175</v>
      </c>
      <c r="U585" t="s">
        <v>11176</v>
      </c>
      <c r="V585" t="s">
        <v>11177</v>
      </c>
      <c r="W585" t="s">
        <v>11178</v>
      </c>
      <c r="X585" t="s">
        <v>11179</v>
      </c>
      <c r="Y585" t="s">
        <v>11180</v>
      </c>
      <c r="Z585" t="s">
        <v>11181</v>
      </c>
      <c r="AA585" t="s">
        <v>11182</v>
      </c>
      <c r="AB585" t="s">
        <v>11183</v>
      </c>
      <c r="AC585" t="s">
        <v>11184</v>
      </c>
      <c r="AD585" t="s">
        <v>11185</v>
      </c>
      <c r="AE585" t="s">
        <v>11186</v>
      </c>
      <c r="AF585" t="s">
        <v>74</v>
      </c>
      <c r="AG585">
        <v>52</v>
      </c>
      <c r="AH585">
        <v>61</v>
      </c>
      <c r="AI585">
        <v>63</v>
      </c>
      <c r="AJ585">
        <v>0</v>
      </c>
      <c r="AK585">
        <v>45</v>
      </c>
      <c r="AL585" t="s">
        <v>1181</v>
      </c>
      <c r="AM585" t="s">
        <v>654</v>
      </c>
      <c r="AN585" t="s">
        <v>1182</v>
      </c>
      <c r="AO585" t="s">
        <v>1183</v>
      </c>
      <c r="AP585" t="s">
        <v>74</v>
      </c>
      <c r="AQ585" t="s">
        <v>74</v>
      </c>
      <c r="AR585" t="s">
        <v>1172</v>
      </c>
      <c r="AS585" t="s">
        <v>1184</v>
      </c>
      <c r="AT585" t="s">
        <v>11187</v>
      </c>
      <c r="AU585">
        <v>2014</v>
      </c>
      <c r="AV585">
        <v>2</v>
      </c>
      <c r="AW585" t="s">
        <v>74</v>
      </c>
      <c r="AX585" t="s">
        <v>74</v>
      </c>
      <c r="AY585" t="s">
        <v>74</v>
      </c>
      <c r="AZ585" t="s">
        <v>74</v>
      </c>
      <c r="BA585" t="s">
        <v>74</v>
      </c>
      <c r="BB585" t="s">
        <v>74</v>
      </c>
      <c r="BC585" t="s">
        <v>74</v>
      </c>
      <c r="BD585" t="s">
        <v>11188</v>
      </c>
      <c r="BE585" t="s">
        <v>11189</v>
      </c>
      <c r="BF585" t="str">
        <f>HYPERLINK("http://dx.doi.org/10.7717/peerj.424","http://dx.doi.org/10.7717/peerj.424")</f>
        <v>http://dx.doi.org/10.7717/peerj.424</v>
      </c>
      <c r="BG585" t="s">
        <v>74</v>
      </c>
      <c r="BH585" t="s">
        <v>74</v>
      </c>
      <c r="BI585">
        <v>13</v>
      </c>
      <c r="BJ585" t="s">
        <v>660</v>
      </c>
      <c r="BK585" t="s">
        <v>102</v>
      </c>
      <c r="BL585" t="s">
        <v>661</v>
      </c>
      <c r="BM585" t="s">
        <v>11190</v>
      </c>
      <c r="BN585" t="s">
        <v>74</v>
      </c>
      <c r="BO585" t="s">
        <v>4836</v>
      </c>
      <c r="BP585" t="s">
        <v>74</v>
      </c>
      <c r="BQ585" t="s">
        <v>74</v>
      </c>
      <c r="BR585" t="s">
        <v>105</v>
      </c>
      <c r="BS585" t="s">
        <v>11191</v>
      </c>
      <c r="BT585" t="str">
        <f>HYPERLINK("https%3A%2F%2Fwww.webofscience.com%2Fwos%2Fwoscc%2Ffull-record%2FWOS:000347610100002","View Full Record in Web of Science")</f>
        <v>View Full Record in Web of Science</v>
      </c>
    </row>
    <row r="586" spans="1:72" x14ac:dyDescent="0.15">
      <c r="A586" t="s">
        <v>72</v>
      </c>
      <c r="B586" t="s">
        <v>11192</v>
      </c>
      <c r="C586" t="s">
        <v>74</v>
      </c>
      <c r="D586" t="s">
        <v>74</v>
      </c>
      <c r="E586" t="s">
        <v>74</v>
      </c>
      <c r="F586" t="s">
        <v>11193</v>
      </c>
      <c r="G586" t="s">
        <v>74</v>
      </c>
      <c r="H586" t="s">
        <v>74</v>
      </c>
      <c r="I586" t="s">
        <v>11194</v>
      </c>
      <c r="J586" t="s">
        <v>1083</v>
      </c>
      <c r="K586" t="s">
        <v>74</v>
      </c>
      <c r="L586" t="s">
        <v>74</v>
      </c>
      <c r="M586" t="s">
        <v>78</v>
      </c>
      <c r="N586" t="s">
        <v>79</v>
      </c>
      <c r="O586" t="s">
        <v>74</v>
      </c>
      <c r="P586" t="s">
        <v>74</v>
      </c>
      <c r="Q586" t="s">
        <v>74</v>
      </c>
      <c r="R586" t="s">
        <v>74</v>
      </c>
      <c r="S586" t="s">
        <v>74</v>
      </c>
      <c r="T586" t="s">
        <v>74</v>
      </c>
      <c r="U586" t="s">
        <v>11195</v>
      </c>
      <c r="V586" t="s">
        <v>11196</v>
      </c>
      <c r="W586" t="s">
        <v>11197</v>
      </c>
      <c r="X586" t="s">
        <v>11198</v>
      </c>
      <c r="Y586" t="s">
        <v>11199</v>
      </c>
      <c r="Z586" t="s">
        <v>11200</v>
      </c>
      <c r="AA586" t="s">
        <v>11201</v>
      </c>
      <c r="AB586" t="s">
        <v>11202</v>
      </c>
      <c r="AC586" t="s">
        <v>11203</v>
      </c>
      <c r="AD586" t="s">
        <v>11204</v>
      </c>
      <c r="AE586" t="s">
        <v>11205</v>
      </c>
      <c r="AF586" t="s">
        <v>74</v>
      </c>
      <c r="AG586">
        <v>68</v>
      </c>
      <c r="AH586">
        <v>33</v>
      </c>
      <c r="AI586">
        <v>35</v>
      </c>
      <c r="AJ586">
        <v>0</v>
      </c>
      <c r="AK586">
        <v>50</v>
      </c>
      <c r="AL586" t="s">
        <v>1090</v>
      </c>
      <c r="AM586" t="s">
        <v>1091</v>
      </c>
      <c r="AN586" t="s">
        <v>1092</v>
      </c>
      <c r="AO586" t="s">
        <v>1093</v>
      </c>
      <c r="AP586" t="s">
        <v>74</v>
      </c>
      <c r="AQ586" t="s">
        <v>74</v>
      </c>
      <c r="AR586" t="s">
        <v>1083</v>
      </c>
      <c r="AS586" t="s">
        <v>1094</v>
      </c>
      <c r="AT586" t="s">
        <v>11187</v>
      </c>
      <c r="AU586">
        <v>2014</v>
      </c>
      <c r="AV586">
        <v>9</v>
      </c>
      <c r="AW586">
        <v>6</v>
      </c>
      <c r="AX586" t="s">
        <v>74</v>
      </c>
      <c r="AY586" t="s">
        <v>74</v>
      </c>
      <c r="AZ586" t="s">
        <v>74</v>
      </c>
      <c r="BA586" t="s">
        <v>74</v>
      </c>
      <c r="BB586" t="s">
        <v>74</v>
      </c>
      <c r="BC586" t="s">
        <v>74</v>
      </c>
      <c r="BD586" t="s">
        <v>11206</v>
      </c>
      <c r="BE586" t="s">
        <v>11207</v>
      </c>
      <c r="BF586" t="str">
        <f>HYPERLINK("http://dx.doi.org/10.1371/journal.pone.0099329","http://dx.doi.org/10.1371/journal.pone.0099329")</f>
        <v>http://dx.doi.org/10.1371/journal.pone.0099329</v>
      </c>
      <c r="BG586" t="s">
        <v>74</v>
      </c>
      <c r="BH586" t="s">
        <v>74</v>
      </c>
      <c r="BI586">
        <v>15</v>
      </c>
      <c r="BJ586" t="s">
        <v>660</v>
      </c>
      <c r="BK586" t="s">
        <v>102</v>
      </c>
      <c r="BL586" t="s">
        <v>661</v>
      </c>
      <c r="BM586" t="s">
        <v>11208</v>
      </c>
      <c r="BN586">
        <v>24922323</v>
      </c>
      <c r="BO586" t="s">
        <v>10591</v>
      </c>
      <c r="BP586" t="s">
        <v>74</v>
      </c>
      <c r="BQ586" t="s">
        <v>74</v>
      </c>
      <c r="BR586" t="s">
        <v>105</v>
      </c>
      <c r="BS586" t="s">
        <v>11209</v>
      </c>
      <c r="BT586" t="str">
        <f>HYPERLINK("https%3A%2F%2Fwww.webofscience.com%2Fwos%2Fwoscc%2Ffull-record%2FWOS:000338701300050","View Full Record in Web of Science")</f>
        <v>View Full Record in Web of Science</v>
      </c>
    </row>
    <row r="587" spans="1:72" x14ac:dyDescent="0.15">
      <c r="A587" t="s">
        <v>72</v>
      </c>
      <c r="B587" t="s">
        <v>11210</v>
      </c>
      <c r="C587" t="s">
        <v>74</v>
      </c>
      <c r="D587" t="s">
        <v>74</v>
      </c>
      <c r="E587" t="s">
        <v>74</v>
      </c>
      <c r="F587" t="s">
        <v>11211</v>
      </c>
      <c r="G587" t="s">
        <v>74</v>
      </c>
      <c r="H587" t="s">
        <v>74</v>
      </c>
      <c r="I587" t="s">
        <v>11212</v>
      </c>
      <c r="J587" t="s">
        <v>967</v>
      </c>
      <c r="K587" t="s">
        <v>74</v>
      </c>
      <c r="L587" t="s">
        <v>74</v>
      </c>
      <c r="M587" t="s">
        <v>78</v>
      </c>
      <c r="N587" t="s">
        <v>79</v>
      </c>
      <c r="O587" t="s">
        <v>74</v>
      </c>
      <c r="P587" t="s">
        <v>74</v>
      </c>
      <c r="Q587" t="s">
        <v>74</v>
      </c>
      <c r="R587" t="s">
        <v>74</v>
      </c>
      <c r="S587" t="s">
        <v>74</v>
      </c>
      <c r="T587" t="s">
        <v>74</v>
      </c>
      <c r="U587" t="s">
        <v>11213</v>
      </c>
      <c r="V587" t="s">
        <v>11214</v>
      </c>
      <c r="W587" t="s">
        <v>11215</v>
      </c>
      <c r="X587" t="s">
        <v>11216</v>
      </c>
      <c r="Y587" t="s">
        <v>11217</v>
      </c>
      <c r="Z587" t="s">
        <v>11218</v>
      </c>
      <c r="AA587" t="s">
        <v>11219</v>
      </c>
      <c r="AB587" t="s">
        <v>11220</v>
      </c>
      <c r="AC587" t="s">
        <v>11221</v>
      </c>
      <c r="AD587" t="s">
        <v>11222</v>
      </c>
      <c r="AE587" t="s">
        <v>11223</v>
      </c>
      <c r="AF587" t="s">
        <v>74</v>
      </c>
      <c r="AG587">
        <v>53</v>
      </c>
      <c r="AH587">
        <v>75</v>
      </c>
      <c r="AI587">
        <v>83</v>
      </c>
      <c r="AJ587">
        <v>9</v>
      </c>
      <c r="AK587">
        <v>174</v>
      </c>
      <c r="AL587" t="s">
        <v>979</v>
      </c>
      <c r="AM587" t="s">
        <v>980</v>
      </c>
      <c r="AN587" t="s">
        <v>981</v>
      </c>
      <c r="AO587" t="s">
        <v>982</v>
      </c>
      <c r="AP587" t="s">
        <v>74</v>
      </c>
      <c r="AQ587" t="s">
        <v>74</v>
      </c>
      <c r="AR587" t="s">
        <v>983</v>
      </c>
      <c r="AS587" t="s">
        <v>984</v>
      </c>
      <c r="AT587" t="s">
        <v>11187</v>
      </c>
      <c r="AU587">
        <v>2014</v>
      </c>
      <c r="AV587">
        <v>4</v>
      </c>
      <c r="AW587" t="s">
        <v>74</v>
      </c>
      <c r="AX587" t="s">
        <v>74</v>
      </c>
      <c r="AY587" t="s">
        <v>74</v>
      </c>
      <c r="AZ587" t="s">
        <v>74</v>
      </c>
      <c r="BA587" t="s">
        <v>74</v>
      </c>
      <c r="BB587" t="s">
        <v>74</v>
      </c>
      <c r="BC587" t="s">
        <v>74</v>
      </c>
      <c r="BD587">
        <v>5024</v>
      </c>
      <c r="BE587" t="s">
        <v>11224</v>
      </c>
      <c r="BF587" t="str">
        <f>HYPERLINK("http://dx.doi.org/10.1038/srep05024","http://dx.doi.org/10.1038/srep05024")</f>
        <v>http://dx.doi.org/10.1038/srep05024</v>
      </c>
      <c r="BG587" t="s">
        <v>74</v>
      </c>
      <c r="BH587" t="s">
        <v>74</v>
      </c>
      <c r="BI587">
        <v>7</v>
      </c>
      <c r="BJ587" t="s">
        <v>660</v>
      </c>
      <c r="BK587" t="s">
        <v>102</v>
      </c>
      <c r="BL587" t="s">
        <v>661</v>
      </c>
      <c r="BM587" t="s">
        <v>11225</v>
      </c>
      <c r="BN587">
        <v>24865774</v>
      </c>
      <c r="BO587" t="s">
        <v>10886</v>
      </c>
      <c r="BP587" t="s">
        <v>74</v>
      </c>
      <c r="BQ587" t="s">
        <v>74</v>
      </c>
      <c r="BR587" t="s">
        <v>105</v>
      </c>
      <c r="BS587" t="s">
        <v>11226</v>
      </c>
      <c r="BT587" t="str">
        <f>HYPERLINK("https%3A%2F%2Fwww.webofscience.com%2Fwos%2Fwoscc%2Ffull-record%2FWOS:000337225000001","View Full Record in Web of Science")</f>
        <v>View Full Record in Web of Science</v>
      </c>
    </row>
    <row r="588" spans="1:72" x14ac:dyDescent="0.15">
      <c r="A588" t="s">
        <v>72</v>
      </c>
      <c r="B588" t="s">
        <v>11227</v>
      </c>
      <c r="C588" t="s">
        <v>74</v>
      </c>
      <c r="D588" t="s">
        <v>74</v>
      </c>
      <c r="E588" t="s">
        <v>74</v>
      </c>
      <c r="F588" t="s">
        <v>11228</v>
      </c>
      <c r="G588" t="s">
        <v>74</v>
      </c>
      <c r="H588" t="s">
        <v>74</v>
      </c>
      <c r="I588" t="s">
        <v>11229</v>
      </c>
      <c r="J588" t="s">
        <v>11230</v>
      </c>
      <c r="K588" t="s">
        <v>74</v>
      </c>
      <c r="L588" t="s">
        <v>74</v>
      </c>
      <c r="M588" t="s">
        <v>78</v>
      </c>
      <c r="N588" t="s">
        <v>1084</v>
      </c>
      <c r="O588" t="s">
        <v>74</v>
      </c>
      <c r="P588" t="s">
        <v>74</v>
      </c>
      <c r="Q588" t="s">
        <v>74</v>
      </c>
      <c r="R588" t="s">
        <v>74</v>
      </c>
      <c r="S588" t="s">
        <v>74</v>
      </c>
      <c r="T588" t="s">
        <v>74</v>
      </c>
      <c r="U588" t="s">
        <v>74</v>
      </c>
      <c r="V588" t="s">
        <v>74</v>
      </c>
      <c r="W588" t="s">
        <v>11231</v>
      </c>
      <c r="X588" t="s">
        <v>11232</v>
      </c>
      <c r="Y588" t="s">
        <v>11233</v>
      </c>
      <c r="Z588" t="s">
        <v>74</v>
      </c>
      <c r="AA588" t="s">
        <v>11234</v>
      </c>
      <c r="AB588" t="s">
        <v>11235</v>
      </c>
      <c r="AC588" t="s">
        <v>74</v>
      </c>
      <c r="AD588" t="s">
        <v>74</v>
      </c>
      <c r="AE588" t="s">
        <v>74</v>
      </c>
      <c r="AF588" t="s">
        <v>74</v>
      </c>
      <c r="AG588">
        <v>1</v>
      </c>
      <c r="AH588">
        <v>3</v>
      </c>
      <c r="AI588">
        <v>3</v>
      </c>
      <c r="AJ588">
        <v>0</v>
      </c>
      <c r="AK588">
        <v>10</v>
      </c>
      <c r="AL588" t="s">
        <v>11236</v>
      </c>
      <c r="AM588" t="s">
        <v>11237</v>
      </c>
      <c r="AN588" t="s">
        <v>11238</v>
      </c>
      <c r="AO588" t="s">
        <v>11239</v>
      </c>
      <c r="AP588" t="s">
        <v>74</v>
      </c>
      <c r="AQ588" t="s">
        <v>74</v>
      </c>
      <c r="AR588" t="s">
        <v>11240</v>
      </c>
      <c r="AS588" t="s">
        <v>11241</v>
      </c>
      <c r="AT588" t="s">
        <v>11242</v>
      </c>
      <c r="AU588">
        <v>2014</v>
      </c>
      <c r="AV588">
        <v>8</v>
      </c>
      <c r="AW588" t="s">
        <v>74</v>
      </c>
      <c r="AX588" t="s">
        <v>74</v>
      </c>
      <c r="AY588" t="s">
        <v>74</v>
      </c>
      <c r="AZ588" t="s">
        <v>74</v>
      </c>
      <c r="BA588" t="s">
        <v>74</v>
      </c>
      <c r="BB588" t="s">
        <v>74</v>
      </c>
      <c r="BC588" t="s">
        <v>74</v>
      </c>
      <c r="BD588" t="s">
        <v>74</v>
      </c>
      <c r="BE588" t="s">
        <v>11243</v>
      </c>
      <c r="BF588" t="str">
        <f>HYPERLINK("http://dx.doi.org/10.1117/1.JRS.8.089999","http://dx.doi.org/10.1117/1.JRS.8.089999")</f>
        <v>http://dx.doi.org/10.1117/1.JRS.8.089999</v>
      </c>
      <c r="BG588" t="s">
        <v>74</v>
      </c>
      <c r="BH588" t="s">
        <v>74</v>
      </c>
      <c r="BI588">
        <v>1</v>
      </c>
      <c r="BJ588" t="s">
        <v>11244</v>
      </c>
      <c r="BK588" t="s">
        <v>102</v>
      </c>
      <c r="BL588" t="s">
        <v>11245</v>
      </c>
      <c r="BM588" t="s">
        <v>11246</v>
      </c>
      <c r="BN588" t="s">
        <v>74</v>
      </c>
      <c r="BO588" t="s">
        <v>289</v>
      </c>
      <c r="BP588" t="s">
        <v>74</v>
      </c>
      <c r="BQ588" t="s">
        <v>74</v>
      </c>
      <c r="BR588" t="s">
        <v>105</v>
      </c>
      <c r="BS588" t="s">
        <v>11247</v>
      </c>
      <c r="BT588" t="str">
        <f>HYPERLINK("https%3A%2F%2Fwww.webofscience.com%2Fwos%2Fwoscc%2Ffull-record%2FWOS:000338498400001","View Full Record in Web of Science")</f>
        <v>View Full Record in Web of Science</v>
      </c>
    </row>
    <row r="589" spans="1:72" x14ac:dyDescent="0.15">
      <c r="A589" t="s">
        <v>72</v>
      </c>
      <c r="B589" t="s">
        <v>11248</v>
      </c>
      <c r="C589" t="s">
        <v>74</v>
      </c>
      <c r="D589" t="s">
        <v>74</v>
      </c>
      <c r="E589" t="s">
        <v>74</v>
      </c>
      <c r="F589" t="s">
        <v>11249</v>
      </c>
      <c r="G589" t="s">
        <v>74</v>
      </c>
      <c r="H589" t="s">
        <v>74</v>
      </c>
      <c r="I589" t="s">
        <v>11250</v>
      </c>
      <c r="J589" t="s">
        <v>1083</v>
      </c>
      <c r="K589" t="s">
        <v>74</v>
      </c>
      <c r="L589" t="s">
        <v>74</v>
      </c>
      <c r="M589" t="s">
        <v>78</v>
      </c>
      <c r="N589" t="s">
        <v>79</v>
      </c>
      <c r="O589" t="s">
        <v>74</v>
      </c>
      <c r="P589" t="s">
        <v>74</v>
      </c>
      <c r="Q589" t="s">
        <v>74</v>
      </c>
      <c r="R589" t="s">
        <v>74</v>
      </c>
      <c r="S589" t="s">
        <v>74</v>
      </c>
      <c r="T589" t="s">
        <v>74</v>
      </c>
      <c r="U589" t="s">
        <v>11251</v>
      </c>
      <c r="V589" t="s">
        <v>11252</v>
      </c>
      <c r="W589" t="s">
        <v>11253</v>
      </c>
      <c r="X589" t="s">
        <v>11254</v>
      </c>
      <c r="Y589" t="s">
        <v>11255</v>
      </c>
      <c r="Z589" t="s">
        <v>11256</v>
      </c>
      <c r="AA589" t="s">
        <v>11257</v>
      </c>
      <c r="AB589" t="s">
        <v>11258</v>
      </c>
      <c r="AC589" t="s">
        <v>11259</v>
      </c>
      <c r="AD589" t="s">
        <v>11260</v>
      </c>
      <c r="AE589" t="s">
        <v>11261</v>
      </c>
      <c r="AF589" t="s">
        <v>74</v>
      </c>
      <c r="AG589">
        <v>127</v>
      </c>
      <c r="AH589">
        <v>41</v>
      </c>
      <c r="AI589">
        <v>46</v>
      </c>
      <c r="AJ589">
        <v>1</v>
      </c>
      <c r="AK589">
        <v>48</v>
      </c>
      <c r="AL589" t="s">
        <v>1090</v>
      </c>
      <c r="AM589" t="s">
        <v>1091</v>
      </c>
      <c r="AN589" t="s">
        <v>1092</v>
      </c>
      <c r="AO589" t="s">
        <v>1093</v>
      </c>
      <c r="AP589" t="s">
        <v>74</v>
      </c>
      <c r="AQ589" t="s">
        <v>74</v>
      </c>
      <c r="AR589" t="s">
        <v>1083</v>
      </c>
      <c r="AS589" t="s">
        <v>1094</v>
      </c>
      <c r="AT589" t="s">
        <v>11242</v>
      </c>
      <c r="AU589">
        <v>2014</v>
      </c>
      <c r="AV589">
        <v>9</v>
      </c>
      <c r="AW589">
        <v>6</v>
      </c>
      <c r="AX589" t="s">
        <v>74</v>
      </c>
      <c r="AY589" t="s">
        <v>74</v>
      </c>
      <c r="AZ589" t="s">
        <v>74</v>
      </c>
      <c r="BA589" t="s">
        <v>74</v>
      </c>
      <c r="BB589" t="s">
        <v>74</v>
      </c>
      <c r="BC589" t="s">
        <v>74</v>
      </c>
      <c r="BD589" t="s">
        <v>11262</v>
      </c>
      <c r="BE589" t="s">
        <v>11263</v>
      </c>
      <c r="BF589" t="str">
        <f>HYPERLINK("http://dx.doi.org/10.1371/journal.pone.0098802","http://dx.doi.org/10.1371/journal.pone.0098802")</f>
        <v>http://dx.doi.org/10.1371/journal.pone.0098802</v>
      </c>
      <c r="BG589" t="s">
        <v>74</v>
      </c>
      <c r="BH589" t="s">
        <v>74</v>
      </c>
      <c r="BI589">
        <v>24</v>
      </c>
      <c r="BJ589" t="s">
        <v>660</v>
      </c>
      <c r="BK589" t="s">
        <v>102</v>
      </c>
      <c r="BL589" t="s">
        <v>661</v>
      </c>
      <c r="BM589" t="s">
        <v>11264</v>
      </c>
      <c r="BN589">
        <v>24919053</v>
      </c>
      <c r="BO589" t="s">
        <v>1231</v>
      </c>
      <c r="BP589" t="s">
        <v>74</v>
      </c>
      <c r="BQ589" t="s">
        <v>74</v>
      </c>
      <c r="BR589" t="s">
        <v>105</v>
      </c>
      <c r="BS589" t="s">
        <v>11265</v>
      </c>
      <c r="BT589" t="str">
        <f>HYPERLINK("https%3A%2F%2Fwww.webofscience.com%2Fwos%2Fwoscc%2Ffull-record%2FWOS:000338631000027","View Full Record in Web of Science")</f>
        <v>View Full Record in Web of Science</v>
      </c>
    </row>
    <row r="590" spans="1:72" x14ac:dyDescent="0.15">
      <c r="A590" t="s">
        <v>72</v>
      </c>
      <c r="B590" t="s">
        <v>11266</v>
      </c>
      <c r="C590" t="s">
        <v>74</v>
      </c>
      <c r="D590" t="s">
        <v>74</v>
      </c>
      <c r="E590" t="s">
        <v>74</v>
      </c>
      <c r="F590" t="s">
        <v>11267</v>
      </c>
      <c r="G590" t="s">
        <v>74</v>
      </c>
      <c r="H590" t="s">
        <v>74</v>
      </c>
      <c r="I590" t="s">
        <v>11268</v>
      </c>
      <c r="J590" t="s">
        <v>2924</v>
      </c>
      <c r="K590" t="s">
        <v>74</v>
      </c>
      <c r="L590" t="s">
        <v>74</v>
      </c>
      <c r="M590" t="s">
        <v>78</v>
      </c>
      <c r="N590" t="s">
        <v>79</v>
      </c>
      <c r="O590" t="s">
        <v>74</v>
      </c>
      <c r="P590" t="s">
        <v>74</v>
      </c>
      <c r="Q590" t="s">
        <v>74</v>
      </c>
      <c r="R590" t="s">
        <v>74</v>
      </c>
      <c r="S590" t="s">
        <v>74</v>
      </c>
      <c r="T590" t="s">
        <v>11269</v>
      </c>
      <c r="U590" t="s">
        <v>11270</v>
      </c>
      <c r="V590" t="s">
        <v>11271</v>
      </c>
      <c r="W590" t="s">
        <v>11272</v>
      </c>
      <c r="X590" t="s">
        <v>11273</v>
      </c>
      <c r="Y590" t="s">
        <v>11274</v>
      </c>
      <c r="Z590" t="s">
        <v>11275</v>
      </c>
      <c r="AA590" t="s">
        <v>74</v>
      </c>
      <c r="AB590" t="s">
        <v>11276</v>
      </c>
      <c r="AC590" t="s">
        <v>11277</v>
      </c>
      <c r="AD590" t="s">
        <v>11278</v>
      </c>
      <c r="AE590" t="s">
        <v>11279</v>
      </c>
      <c r="AF590" t="s">
        <v>74</v>
      </c>
      <c r="AG590">
        <v>50</v>
      </c>
      <c r="AH590">
        <v>21</v>
      </c>
      <c r="AI590">
        <v>30</v>
      </c>
      <c r="AJ590">
        <v>1</v>
      </c>
      <c r="AK590">
        <v>21</v>
      </c>
      <c r="AL590" t="s">
        <v>1805</v>
      </c>
      <c r="AM590" t="s">
        <v>1806</v>
      </c>
      <c r="AN590" t="s">
        <v>1807</v>
      </c>
      <c r="AO590" t="s">
        <v>2937</v>
      </c>
      <c r="AP590" t="s">
        <v>2938</v>
      </c>
      <c r="AQ590" t="s">
        <v>74</v>
      </c>
      <c r="AR590" t="s">
        <v>2939</v>
      </c>
      <c r="AS590" t="s">
        <v>2940</v>
      </c>
      <c r="AT590" t="s">
        <v>11280</v>
      </c>
      <c r="AU590">
        <v>2014</v>
      </c>
      <c r="AV590">
        <v>788</v>
      </c>
      <c r="AW590">
        <v>1</v>
      </c>
      <c r="AX590" t="s">
        <v>74</v>
      </c>
      <c r="AY590" t="s">
        <v>74</v>
      </c>
      <c r="AZ590" t="s">
        <v>74</v>
      </c>
      <c r="BA590" t="s">
        <v>74</v>
      </c>
      <c r="BB590" t="s">
        <v>74</v>
      </c>
      <c r="BC590" t="s">
        <v>74</v>
      </c>
      <c r="BD590">
        <v>18</v>
      </c>
      <c r="BE590" t="s">
        <v>11281</v>
      </c>
      <c r="BF590" t="str">
        <f>HYPERLINK("http://dx.doi.org/10.1088/0004-637X/788/1/18","http://dx.doi.org/10.1088/0004-637X/788/1/18")</f>
        <v>http://dx.doi.org/10.1088/0004-637X/788/1/18</v>
      </c>
      <c r="BG590" t="s">
        <v>74</v>
      </c>
      <c r="BH590" t="s">
        <v>74</v>
      </c>
      <c r="BI590">
        <v>11</v>
      </c>
      <c r="BJ590" t="s">
        <v>339</v>
      </c>
      <c r="BK590" t="s">
        <v>102</v>
      </c>
      <c r="BL590" t="s">
        <v>339</v>
      </c>
      <c r="BM590" t="s">
        <v>11282</v>
      </c>
      <c r="BN590" t="s">
        <v>74</v>
      </c>
      <c r="BO590" t="s">
        <v>11283</v>
      </c>
      <c r="BP590" t="s">
        <v>74</v>
      </c>
      <c r="BQ590" t="s">
        <v>74</v>
      </c>
      <c r="BR590" t="s">
        <v>105</v>
      </c>
      <c r="BS590" t="s">
        <v>11284</v>
      </c>
      <c r="BT590" t="str">
        <f>HYPERLINK("https%3A%2F%2Fwww.webofscience.com%2Fwos%2Fwoscc%2Ffull-record%2FWOS:000337095200018","View Full Record in Web of Science")</f>
        <v>View Full Record in Web of Science</v>
      </c>
    </row>
    <row r="591" spans="1:72" x14ac:dyDescent="0.15">
      <c r="A591" t="s">
        <v>72</v>
      </c>
      <c r="B591" t="s">
        <v>11285</v>
      </c>
      <c r="C591" t="s">
        <v>74</v>
      </c>
      <c r="D591" t="s">
        <v>74</v>
      </c>
      <c r="E591" t="s">
        <v>74</v>
      </c>
      <c r="F591" t="s">
        <v>11286</v>
      </c>
      <c r="G591" t="s">
        <v>74</v>
      </c>
      <c r="H591" t="s">
        <v>74</v>
      </c>
      <c r="I591" t="s">
        <v>11287</v>
      </c>
      <c r="J591" t="s">
        <v>11288</v>
      </c>
      <c r="K591" t="s">
        <v>74</v>
      </c>
      <c r="L591" t="s">
        <v>74</v>
      </c>
      <c r="M591" t="s">
        <v>78</v>
      </c>
      <c r="N591" t="s">
        <v>79</v>
      </c>
      <c r="O591" t="s">
        <v>74</v>
      </c>
      <c r="P591" t="s">
        <v>74</v>
      </c>
      <c r="Q591" t="s">
        <v>74</v>
      </c>
      <c r="R591" t="s">
        <v>74</v>
      </c>
      <c r="S591" t="s">
        <v>74</v>
      </c>
      <c r="T591" t="s">
        <v>11289</v>
      </c>
      <c r="U591" t="s">
        <v>11290</v>
      </c>
      <c r="V591" t="s">
        <v>11291</v>
      </c>
      <c r="W591" t="s">
        <v>11292</v>
      </c>
      <c r="X591" t="s">
        <v>5468</v>
      </c>
      <c r="Y591" t="s">
        <v>11293</v>
      </c>
      <c r="Z591" t="s">
        <v>11294</v>
      </c>
      <c r="AA591" t="s">
        <v>11295</v>
      </c>
      <c r="AB591" t="s">
        <v>11296</v>
      </c>
      <c r="AC591" t="s">
        <v>11297</v>
      </c>
      <c r="AD591" t="s">
        <v>11298</v>
      </c>
      <c r="AE591" t="s">
        <v>11299</v>
      </c>
      <c r="AF591" t="s">
        <v>74</v>
      </c>
      <c r="AG591">
        <v>32</v>
      </c>
      <c r="AH591">
        <v>51</v>
      </c>
      <c r="AI591">
        <v>56</v>
      </c>
      <c r="AJ591">
        <v>0</v>
      </c>
      <c r="AK591">
        <v>108</v>
      </c>
      <c r="AL591" t="s">
        <v>753</v>
      </c>
      <c r="AM591" t="s">
        <v>124</v>
      </c>
      <c r="AN591" t="s">
        <v>754</v>
      </c>
      <c r="AO591" t="s">
        <v>11300</v>
      </c>
      <c r="AP591" t="s">
        <v>11301</v>
      </c>
      <c r="AQ591" t="s">
        <v>74</v>
      </c>
      <c r="AR591" t="s">
        <v>11288</v>
      </c>
      <c r="AS591" t="s">
        <v>11302</v>
      </c>
      <c r="AT591" t="s">
        <v>11280</v>
      </c>
      <c r="AU591">
        <v>2014</v>
      </c>
      <c r="AV591">
        <v>543</v>
      </c>
      <c r="AW591">
        <v>1</v>
      </c>
      <c r="AX591" t="s">
        <v>74</v>
      </c>
      <c r="AY591" t="s">
        <v>74</v>
      </c>
      <c r="AZ591" t="s">
        <v>74</v>
      </c>
      <c r="BA591" t="s">
        <v>74</v>
      </c>
      <c r="BB591">
        <v>145</v>
      </c>
      <c r="BC591">
        <v>152</v>
      </c>
      <c r="BD591" t="s">
        <v>74</v>
      </c>
      <c r="BE591" t="s">
        <v>11303</v>
      </c>
      <c r="BF591" t="str">
        <f>HYPERLINK("http://dx.doi.org/10.1016/j.gene.2014.03.026","http://dx.doi.org/10.1016/j.gene.2014.03.026")</f>
        <v>http://dx.doi.org/10.1016/j.gene.2014.03.026</v>
      </c>
      <c r="BG591" t="s">
        <v>74</v>
      </c>
      <c r="BH591" t="s">
        <v>74</v>
      </c>
      <c r="BI591">
        <v>8</v>
      </c>
      <c r="BJ591" t="s">
        <v>5954</v>
      </c>
      <c r="BK591" t="s">
        <v>102</v>
      </c>
      <c r="BL591" t="s">
        <v>5954</v>
      </c>
      <c r="BM591" t="s">
        <v>11304</v>
      </c>
      <c r="BN591">
        <v>24631264</v>
      </c>
      <c r="BO591" t="s">
        <v>74</v>
      </c>
      <c r="BP591" t="s">
        <v>74</v>
      </c>
      <c r="BQ591" t="s">
        <v>74</v>
      </c>
      <c r="BR591" t="s">
        <v>105</v>
      </c>
      <c r="BS591" t="s">
        <v>11305</v>
      </c>
      <c r="BT591" t="str">
        <f>HYPERLINK("https%3A%2F%2Fwww.webofscience.com%2Fwos%2Fwoscc%2Ffull-record%2FWOS:000336355500020","View Full Record in Web of Science")</f>
        <v>View Full Record in Web of Science</v>
      </c>
    </row>
    <row r="592" spans="1:72" x14ac:dyDescent="0.15">
      <c r="A592" t="s">
        <v>72</v>
      </c>
      <c r="B592" t="s">
        <v>11306</v>
      </c>
      <c r="C592" t="s">
        <v>74</v>
      </c>
      <c r="D592" t="s">
        <v>74</v>
      </c>
      <c r="E592" t="s">
        <v>74</v>
      </c>
      <c r="F592" t="s">
        <v>11307</v>
      </c>
      <c r="G592" t="s">
        <v>74</v>
      </c>
      <c r="H592" t="s">
        <v>74</v>
      </c>
      <c r="I592" t="s">
        <v>11308</v>
      </c>
      <c r="J592" t="s">
        <v>1194</v>
      </c>
      <c r="K592" t="s">
        <v>74</v>
      </c>
      <c r="L592" t="s">
        <v>74</v>
      </c>
      <c r="M592" t="s">
        <v>78</v>
      </c>
      <c r="N592" t="s">
        <v>79</v>
      </c>
      <c r="O592" t="s">
        <v>74</v>
      </c>
      <c r="P592" t="s">
        <v>74</v>
      </c>
      <c r="Q592" t="s">
        <v>74</v>
      </c>
      <c r="R592" t="s">
        <v>74</v>
      </c>
      <c r="S592" t="s">
        <v>74</v>
      </c>
      <c r="T592" t="s">
        <v>11309</v>
      </c>
      <c r="U592" t="s">
        <v>11310</v>
      </c>
      <c r="V592" t="s">
        <v>11311</v>
      </c>
      <c r="W592" t="s">
        <v>11312</v>
      </c>
      <c r="X592" t="s">
        <v>11313</v>
      </c>
      <c r="Y592" t="s">
        <v>11314</v>
      </c>
      <c r="Z592" t="s">
        <v>11315</v>
      </c>
      <c r="AA592" t="s">
        <v>11316</v>
      </c>
      <c r="AB592" t="s">
        <v>11317</v>
      </c>
      <c r="AC592" t="s">
        <v>11318</v>
      </c>
      <c r="AD592" t="s">
        <v>11319</v>
      </c>
      <c r="AE592" t="s">
        <v>11320</v>
      </c>
      <c r="AF592" t="s">
        <v>74</v>
      </c>
      <c r="AG592">
        <v>42</v>
      </c>
      <c r="AH592">
        <v>80</v>
      </c>
      <c r="AI592">
        <v>90</v>
      </c>
      <c r="AJ592">
        <v>2</v>
      </c>
      <c r="AK592">
        <v>110</v>
      </c>
      <c r="AL592" t="s">
        <v>1207</v>
      </c>
      <c r="AM592" t="s">
        <v>332</v>
      </c>
      <c r="AN592" t="s">
        <v>1208</v>
      </c>
      <c r="AO592" t="s">
        <v>1209</v>
      </c>
      <c r="AP592" t="s">
        <v>74</v>
      </c>
      <c r="AQ592" t="s">
        <v>74</v>
      </c>
      <c r="AR592" t="s">
        <v>1210</v>
      </c>
      <c r="AS592" t="s">
        <v>1211</v>
      </c>
      <c r="AT592" t="s">
        <v>11280</v>
      </c>
      <c r="AU592">
        <v>2014</v>
      </c>
      <c r="AV592">
        <v>111</v>
      </c>
      <c r="AW592">
        <v>23</v>
      </c>
      <c r="AX592" t="s">
        <v>74</v>
      </c>
      <c r="AY592" t="s">
        <v>74</v>
      </c>
      <c r="AZ592" t="s">
        <v>74</v>
      </c>
      <c r="BA592" t="s">
        <v>74</v>
      </c>
      <c r="BB592">
        <v>8524</v>
      </c>
      <c r="BC592">
        <v>8529</v>
      </c>
      <c r="BD592" t="s">
        <v>74</v>
      </c>
      <c r="BE592" t="s">
        <v>11321</v>
      </c>
      <c r="BF592" t="str">
        <f>HYPERLINK("http://dx.doi.org/10.1073/pnas.1406664111","http://dx.doi.org/10.1073/pnas.1406664111")</f>
        <v>http://dx.doi.org/10.1073/pnas.1406664111</v>
      </c>
      <c r="BG592" t="s">
        <v>74</v>
      </c>
      <c r="BH592" t="s">
        <v>74</v>
      </c>
      <c r="BI592">
        <v>6</v>
      </c>
      <c r="BJ592" t="s">
        <v>660</v>
      </c>
      <c r="BK592" t="s">
        <v>102</v>
      </c>
      <c r="BL592" t="s">
        <v>661</v>
      </c>
      <c r="BM592" t="s">
        <v>11322</v>
      </c>
      <c r="BN592">
        <v>24912168</v>
      </c>
      <c r="BO592" t="s">
        <v>7716</v>
      </c>
      <c r="BP592" t="s">
        <v>74</v>
      </c>
      <c r="BQ592" t="s">
        <v>74</v>
      </c>
      <c r="BR592" t="s">
        <v>105</v>
      </c>
      <c r="BS592" t="s">
        <v>11323</v>
      </c>
      <c r="BT592" t="str">
        <f>HYPERLINK("https%3A%2F%2Fwww.webofscience.com%2Fwos%2Fwoscc%2Ffull-record%2FWOS:000336976000060","View Full Record in Web of Science")</f>
        <v>View Full Record in Web of Science</v>
      </c>
    </row>
    <row r="593" spans="1:72" x14ac:dyDescent="0.15">
      <c r="A593" t="s">
        <v>72</v>
      </c>
      <c r="B593" t="s">
        <v>11324</v>
      </c>
      <c r="C593" t="s">
        <v>74</v>
      </c>
      <c r="D593" t="s">
        <v>74</v>
      </c>
      <c r="E593" t="s">
        <v>74</v>
      </c>
      <c r="F593" t="s">
        <v>11325</v>
      </c>
      <c r="G593" t="s">
        <v>74</v>
      </c>
      <c r="H593" t="s">
        <v>74</v>
      </c>
      <c r="I593" t="s">
        <v>11326</v>
      </c>
      <c r="J593" t="s">
        <v>11327</v>
      </c>
      <c r="K593" t="s">
        <v>74</v>
      </c>
      <c r="L593" t="s">
        <v>74</v>
      </c>
      <c r="M593" t="s">
        <v>78</v>
      </c>
      <c r="N593" t="s">
        <v>79</v>
      </c>
      <c r="O593" t="s">
        <v>74</v>
      </c>
      <c r="P593" t="s">
        <v>74</v>
      </c>
      <c r="Q593" t="s">
        <v>74</v>
      </c>
      <c r="R593" t="s">
        <v>74</v>
      </c>
      <c r="S593" t="s">
        <v>74</v>
      </c>
      <c r="T593" t="s">
        <v>11328</v>
      </c>
      <c r="U593" t="s">
        <v>11329</v>
      </c>
      <c r="V593" t="s">
        <v>11330</v>
      </c>
      <c r="W593" t="s">
        <v>11331</v>
      </c>
      <c r="X593" t="s">
        <v>1022</v>
      </c>
      <c r="Y593" t="s">
        <v>11332</v>
      </c>
      <c r="Z593" t="s">
        <v>11333</v>
      </c>
      <c r="AA593" t="s">
        <v>11334</v>
      </c>
      <c r="AB593" t="s">
        <v>74</v>
      </c>
      <c r="AC593" t="s">
        <v>11335</v>
      </c>
      <c r="AD593" t="s">
        <v>11336</v>
      </c>
      <c r="AE593" t="s">
        <v>11337</v>
      </c>
      <c r="AF593" t="s">
        <v>74</v>
      </c>
      <c r="AG593">
        <v>28</v>
      </c>
      <c r="AH593">
        <v>28</v>
      </c>
      <c r="AI593">
        <v>39</v>
      </c>
      <c r="AJ593">
        <v>1</v>
      </c>
      <c r="AK593">
        <v>25</v>
      </c>
      <c r="AL593" t="s">
        <v>11338</v>
      </c>
      <c r="AM593" t="s">
        <v>11339</v>
      </c>
      <c r="AN593" t="s">
        <v>11340</v>
      </c>
      <c r="AO593" t="s">
        <v>11341</v>
      </c>
      <c r="AP593" t="s">
        <v>74</v>
      </c>
      <c r="AQ593" t="s">
        <v>74</v>
      </c>
      <c r="AR593" t="s">
        <v>11327</v>
      </c>
      <c r="AS593" t="s">
        <v>11342</v>
      </c>
      <c r="AT593" t="s">
        <v>11343</v>
      </c>
      <c r="AU593">
        <v>2014</v>
      </c>
      <c r="AV593">
        <v>3</v>
      </c>
      <c r="AW593" t="s">
        <v>74</v>
      </c>
      <c r="AX593" t="s">
        <v>74</v>
      </c>
      <c r="AY593" t="s">
        <v>74</v>
      </c>
      <c r="AZ593" t="s">
        <v>74</v>
      </c>
      <c r="BA593" t="s">
        <v>74</v>
      </c>
      <c r="BB593" t="s">
        <v>74</v>
      </c>
      <c r="BC593" t="s">
        <v>74</v>
      </c>
      <c r="BD593">
        <v>289</v>
      </c>
      <c r="BE593" t="s">
        <v>11344</v>
      </c>
      <c r="BF593" t="str">
        <f>HYPERLINK("http://dx.doi.org/10.1186/2193-1801-3-289","http://dx.doi.org/10.1186/2193-1801-3-289")</f>
        <v>http://dx.doi.org/10.1186/2193-1801-3-289</v>
      </c>
      <c r="BG593" t="s">
        <v>74</v>
      </c>
      <c r="BH593" t="s">
        <v>74</v>
      </c>
      <c r="BI593">
        <v>8</v>
      </c>
      <c r="BJ593" t="s">
        <v>660</v>
      </c>
      <c r="BK593" t="s">
        <v>102</v>
      </c>
      <c r="BL593" t="s">
        <v>661</v>
      </c>
      <c r="BM593" t="s">
        <v>11345</v>
      </c>
      <c r="BN593">
        <v>25013747</v>
      </c>
      <c r="BO593" t="s">
        <v>4910</v>
      </c>
      <c r="BP593" t="s">
        <v>74</v>
      </c>
      <c r="BQ593" t="s">
        <v>74</v>
      </c>
      <c r="BR593" t="s">
        <v>105</v>
      </c>
      <c r="BS593" t="s">
        <v>11346</v>
      </c>
      <c r="BT593" t="str">
        <f>HYPERLINK("https%3A%2F%2Fwww.webofscience.com%2Fwos%2Fwoscc%2Ffull-record%2FWOS:000359047400001","View Full Record in Web of Science")</f>
        <v>View Full Record in Web of Science</v>
      </c>
    </row>
    <row r="594" spans="1:72" x14ac:dyDescent="0.15">
      <c r="A594" t="s">
        <v>72</v>
      </c>
      <c r="B594" t="s">
        <v>11347</v>
      </c>
      <c r="C594" t="s">
        <v>74</v>
      </c>
      <c r="D594" t="s">
        <v>74</v>
      </c>
      <c r="E594" t="s">
        <v>74</v>
      </c>
      <c r="F594" t="s">
        <v>11348</v>
      </c>
      <c r="G594" t="s">
        <v>74</v>
      </c>
      <c r="H594" t="s">
        <v>74</v>
      </c>
      <c r="I594" t="s">
        <v>11349</v>
      </c>
      <c r="J594" t="s">
        <v>1129</v>
      </c>
      <c r="K594" t="s">
        <v>74</v>
      </c>
      <c r="L594" t="s">
        <v>74</v>
      </c>
      <c r="M594" t="s">
        <v>78</v>
      </c>
      <c r="N594" t="s">
        <v>1516</v>
      </c>
      <c r="O594" t="s">
        <v>74</v>
      </c>
      <c r="P594" t="s">
        <v>74</v>
      </c>
      <c r="Q594" t="s">
        <v>74</v>
      </c>
      <c r="R594" t="s">
        <v>74</v>
      </c>
      <c r="S594" t="s">
        <v>74</v>
      </c>
      <c r="T594" t="s">
        <v>74</v>
      </c>
      <c r="U594" t="s">
        <v>11350</v>
      </c>
      <c r="V594" t="s">
        <v>74</v>
      </c>
      <c r="W594" t="s">
        <v>11351</v>
      </c>
      <c r="X594" t="s">
        <v>11352</v>
      </c>
      <c r="Y594" t="s">
        <v>11353</v>
      </c>
      <c r="Z594" t="s">
        <v>11354</v>
      </c>
      <c r="AA594" t="s">
        <v>11355</v>
      </c>
      <c r="AB594" t="s">
        <v>74</v>
      </c>
      <c r="AC594" t="s">
        <v>11356</v>
      </c>
      <c r="AD594" t="s">
        <v>11357</v>
      </c>
      <c r="AE594" t="s">
        <v>74</v>
      </c>
      <c r="AF594" t="s">
        <v>74</v>
      </c>
      <c r="AG594">
        <v>12</v>
      </c>
      <c r="AH594">
        <v>2</v>
      </c>
      <c r="AI594">
        <v>2</v>
      </c>
      <c r="AJ594">
        <v>0</v>
      </c>
      <c r="AK594">
        <v>20</v>
      </c>
      <c r="AL594" t="s">
        <v>653</v>
      </c>
      <c r="AM594" t="s">
        <v>654</v>
      </c>
      <c r="AN594" t="s">
        <v>655</v>
      </c>
      <c r="AO594" t="s">
        <v>1135</v>
      </c>
      <c r="AP594" t="s">
        <v>1136</v>
      </c>
      <c r="AQ594" t="s">
        <v>74</v>
      </c>
      <c r="AR594" t="s">
        <v>1129</v>
      </c>
      <c r="AS594" t="s">
        <v>1137</v>
      </c>
      <c r="AT594" t="s">
        <v>11358</v>
      </c>
      <c r="AU594">
        <v>2014</v>
      </c>
      <c r="AV594">
        <v>510</v>
      </c>
      <c r="AW594">
        <v>7503</v>
      </c>
      <c r="AX594" t="s">
        <v>74</v>
      </c>
      <c r="AY594" t="s">
        <v>74</v>
      </c>
      <c r="AZ594" t="s">
        <v>74</v>
      </c>
      <c r="BA594" t="s">
        <v>74</v>
      </c>
      <c r="BB594">
        <v>39</v>
      </c>
      <c r="BC594">
        <v>40</v>
      </c>
      <c r="BD594" t="s">
        <v>74</v>
      </c>
      <c r="BE594" t="s">
        <v>11359</v>
      </c>
      <c r="BF594" t="str">
        <f>HYPERLINK("http://dx.doi.org/10.1038/nature13345","http://dx.doi.org/10.1038/nature13345")</f>
        <v>http://dx.doi.org/10.1038/nature13345</v>
      </c>
      <c r="BG594" t="s">
        <v>74</v>
      </c>
      <c r="BH594" t="s">
        <v>74</v>
      </c>
      <c r="BI594">
        <v>2</v>
      </c>
      <c r="BJ594" t="s">
        <v>660</v>
      </c>
      <c r="BK594" t="s">
        <v>1690</v>
      </c>
      <c r="BL594" t="s">
        <v>661</v>
      </c>
      <c r="BM594" t="s">
        <v>11360</v>
      </c>
      <c r="BN594">
        <v>24870233</v>
      </c>
      <c r="BO594" t="s">
        <v>179</v>
      </c>
      <c r="BP594" t="s">
        <v>74</v>
      </c>
      <c r="BQ594" t="s">
        <v>74</v>
      </c>
      <c r="BR594" t="s">
        <v>105</v>
      </c>
      <c r="BS594" t="s">
        <v>11361</v>
      </c>
      <c r="BT594" t="str">
        <f>HYPERLINK("https%3A%2F%2Fwww.webofscience.com%2Fwos%2Fwoscc%2Ffull-record%2FWOS:000336768900025","View Full Record in Web of Science")</f>
        <v>View Full Record in Web of Science</v>
      </c>
    </row>
    <row r="595" spans="1:72" x14ac:dyDescent="0.15">
      <c r="A595" t="s">
        <v>72</v>
      </c>
      <c r="B595" t="s">
        <v>11362</v>
      </c>
      <c r="C595" t="s">
        <v>74</v>
      </c>
      <c r="D595" t="s">
        <v>74</v>
      </c>
      <c r="E595" t="s">
        <v>74</v>
      </c>
      <c r="F595" t="s">
        <v>11363</v>
      </c>
      <c r="G595" t="s">
        <v>74</v>
      </c>
      <c r="H595" t="s">
        <v>74</v>
      </c>
      <c r="I595" t="s">
        <v>11364</v>
      </c>
      <c r="J595" t="s">
        <v>1129</v>
      </c>
      <c r="K595" t="s">
        <v>74</v>
      </c>
      <c r="L595" t="s">
        <v>74</v>
      </c>
      <c r="M595" t="s">
        <v>78</v>
      </c>
      <c r="N595" t="s">
        <v>79</v>
      </c>
      <c r="O595" t="s">
        <v>74</v>
      </c>
      <c r="P595" t="s">
        <v>74</v>
      </c>
      <c r="Q595" t="s">
        <v>74</v>
      </c>
      <c r="R595" t="s">
        <v>74</v>
      </c>
      <c r="S595" t="s">
        <v>74</v>
      </c>
      <c r="T595" t="s">
        <v>74</v>
      </c>
      <c r="U595" t="s">
        <v>11365</v>
      </c>
      <c r="V595" t="s">
        <v>11366</v>
      </c>
      <c r="W595" t="s">
        <v>11367</v>
      </c>
      <c r="X595" t="s">
        <v>11368</v>
      </c>
      <c r="Y595" t="s">
        <v>11369</v>
      </c>
      <c r="Z595" t="s">
        <v>11370</v>
      </c>
      <c r="AA595" t="s">
        <v>11371</v>
      </c>
      <c r="AB595" t="s">
        <v>11372</v>
      </c>
      <c r="AC595" t="s">
        <v>11373</v>
      </c>
      <c r="AD595" t="s">
        <v>11374</v>
      </c>
      <c r="AE595" t="s">
        <v>11375</v>
      </c>
      <c r="AF595" t="s">
        <v>74</v>
      </c>
      <c r="AG595">
        <v>81</v>
      </c>
      <c r="AH595">
        <v>157</v>
      </c>
      <c r="AI595">
        <v>181</v>
      </c>
      <c r="AJ595">
        <v>1</v>
      </c>
      <c r="AK595">
        <v>147</v>
      </c>
      <c r="AL595" t="s">
        <v>653</v>
      </c>
      <c r="AM595" t="s">
        <v>654</v>
      </c>
      <c r="AN595" t="s">
        <v>655</v>
      </c>
      <c r="AO595" t="s">
        <v>1135</v>
      </c>
      <c r="AP595" t="s">
        <v>1136</v>
      </c>
      <c r="AQ595" t="s">
        <v>74</v>
      </c>
      <c r="AR595" t="s">
        <v>1129</v>
      </c>
      <c r="AS595" t="s">
        <v>1137</v>
      </c>
      <c r="AT595" t="s">
        <v>11358</v>
      </c>
      <c r="AU595">
        <v>2014</v>
      </c>
      <c r="AV595">
        <v>510</v>
      </c>
      <c r="AW595">
        <v>7503</v>
      </c>
      <c r="AX595" t="s">
        <v>74</v>
      </c>
      <c r="AY595" t="s">
        <v>74</v>
      </c>
      <c r="AZ595" t="s">
        <v>74</v>
      </c>
      <c r="BA595" t="s">
        <v>74</v>
      </c>
      <c r="BB595">
        <v>134</v>
      </c>
      <c r="BC595" t="s">
        <v>4545</v>
      </c>
      <c r="BD595" t="s">
        <v>74</v>
      </c>
      <c r="BE595" t="s">
        <v>11376</v>
      </c>
      <c r="BF595" t="str">
        <f>HYPERLINK("http://dx.doi.org/10.1038/nature13397","http://dx.doi.org/10.1038/nature13397")</f>
        <v>http://dx.doi.org/10.1038/nature13397</v>
      </c>
      <c r="BG595" t="s">
        <v>74</v>
      </c>
      <c r="BH595" t="s">
        <v>74</v>
      </c>
      <c r="BI595">
        <v>13</v>
      </c>
      <c r="BJ595" t="s">
        <v>660</v>
      </c>
      <c r="BK595" t="s">
        <v>102</v>
      </c>
      <c r="BL595" t="s">
        <v>661</v>
      </c>
      <c r="BM595" t="s">
        <v>11360</v>
      </c>
      <c r="BN595">
        <v>24870232</v>
      </c>
      <c r="BO595" t="s">
        <v>74</v>
      </c>
      <c r="BP595" t="s">
        <v>74</v>
      </c>
      <c r="BQ595" t="s">
        <v>74</v>
      </c>
      <c r="BR595" t="s">
        <v>105</v>
      </c>
      <c r="BS595" t="s">
        <v>11377</v>
      </c>
      <c r="BT595" t="str">
        <f>HYPERLINK("https%3A%2F%2Fwww.webofscience.com%2Fwos%2Fwoscc%2Ffull-record%2FWOS:000336768900043","View Full Record in Web of Science")</f>
        <v>View Full Record in Web of Science</v>
      </c>
    </row>
    <row r="596" spans="1:72" x14ac:dyDescent="0.15">
      <c r="A596" t="s">
        <v>72</v>
      </c>
      <c r="B596" t="s">
        <v>11378</v>
      </c>
      <c r="C596" t="s">
        <v>74</v>
      </c>
      <c r="D596" t="s">
        <v>74</v>
      </c>
      <c r="E596" t="s">
        <v>74</v>
      </c>
      <c r="F596" t="s">
        <v>11379</v>
      </c>
      <c r="G596" t="s">
        <v>74</v>
      </c>
      <c r="H596" t="s">
        <v>74</v>
      </c>
      <c r="I596" t="s">
        <v>11380</v>
      </c>
      <c r="J596" t="s">
        <v>11381</v>
      </c>
      <c r="K596" t="s">
        <v>74</v>
      </c>
      <c r="L596" t="s">
        <v>74</v>
      </c>
      <c r="M596" t="s">
        <v>78</v>
      </c>
      <c r="N596" t="s">
        <v>79</v>
      </c>
      <c r="O596" t="s">
        <v>74</v>
      </c>
      <c r="P596" t="s">
        <v>74</v>
      </c>
      <c r="Q596" t="s">
        <v>74</v>
      </c>
      <c r="R596" t="s">
        <v>74</v>
      </c>
      <c r="S596" t="s">
        <v>74</v>
      </c>
      <c r="T596" t="s">
        <v>11382</v>
      </c>
      <c r="U596" t="s">
        <v>11383</v>
      </c>
      <c r="V596" t="s">
        <v>11384</v>
      </c>
      <c r="W596" t="s">
        <v>11385</v>
      </c>
      <c r="X596" t="s">
        <v>11386</v>
      </c>
      <c r="Y596" t="s">
        <v>11387</v>
      </c>
      <c r="Z596" t="s">
        <v>11388</v>
      </c>
      <c r="AA596" t="s">
        <v>11389</v>
      </c>
      <c r="AB596" t="s">
        <v>74</v>
      </c>
      <c r="AC596" t="s">
        <v>11390</v>
      </c>
      <c r="AD596" t="s">
        <v>11391</v>
      </c>
      <c r="AE596" t="s">
        <v>11392</v>
      </c>
      <c r="AF596" t="s">
        <v>74</v>
      </c>
      <c r="AG596">
        <v>66</v>
      </c>
      <c r="AH596">
        <v>51</v>
      </c>
      <c r="AI596">
        <v>62</v>
      </c>
      <c r="AJ596">
        <v>1</v>
      </c>
      <c r="AK596">
        <v>65</v>
      </c>
      <c r="AL596" t="s">
        <v>123</v>
      </c>
      <c r="AM596" t="s">
        <v>124</v>
      </c>
      <c r="AN596" t="s">
        <v>125</v>
      </c>
      <c r="AO596" t="s">
        <v>11393</v>
      </c>
      <c r="AP596" t="s">
        <v>11394</v>
      </c>
      <c r="AQ596" t="s">
        <v>74</v>
      </c>
      <c r="AR596" t="s">
        <v>11395</v>
      </c>
      <c r="AS596" t="s">
        <v>11396</v>
      </c>
      <c r="AT596" t="s">
        <v>11397</v>
      </c>
      <c r="AU596">
        <v>2014</v>
      </c>
      <c r="AV596">
        <v>377</v>
      </c>
      <c r="AW596" t="s">
        <v>74</v>
      </c>
      <c r="AX596" t="s">
        <v>74</v>
      </c>
      <c r="AY596" t="s">
        <v>74</v>
      </c>
      <c r="AZ596" t="s">
        <v>74</v>
      </c>
      <c r="BA596" t="s">
        <v>74</v>
      </c>
      <c r="BB596">
        <v>20</v>
      </c>
      <c r="BC596">
        <v>30</v>
      </c>
      <c r="BD596" t="s">
        <v>74</v>
      </c>
      <c r="BE596" t="s">
        <v>11398</v>
      </c>
      <c r="BF596" t="str">
        <f>HYPERLINK("http://dx.doi.org/10.1016/j.chemgeo.2014.04.004","http://dx.doi.org/10.1016/j.chemgeo.2014.04.004")</f>
        <v>http://dx.doi.org/10.1016/j.chemgeo.2014.04.004</v>
      </c>
      <c r="BG596" t="s">
        <v>74</v>
      </c>
      <c r="BH596" t="s">
        <v>74</v>
      </c>
      <c r="BI596">
        <v>11</v>
      </c>
      <c r="BJ596" t="s">
        <v>425</v>
      </c>
      <c r="BK596" t="s">
        <v>102</v>
      </c>
      <c r="BL596" t="s">
        <v>425</v>
      </c>
      <c r="BM596" t="s">
        <v>11399</v>
      </c>
      <c r="BN596" t="s">
        <v>74</v>
      </c>
      <c r="BO596" t="s">
        <v>74</v>
      </c>
      <c r="BP596" t="s">
        <v>74</v>
      </c>
      <c r="BQ596" t="s">
        <v>74</v>
      </c>
      <c r="BR596" t="s">
        <v>105</v>
      </c>
      <c r="BS596" t="s">
        <v>11400</v>
      </c>
      <c r="BT596" t="str">
        <f>HYPERLINK("https%3A%2F%2Fwww.webofscience.com%2Fwos%2Fwoscc%2Ffull-record%2FWOS:000336429600003","View Full Record in Web of Science")</f>
        <v>View Full Record in Web of Science</v>
      </c>
    </row>
    <row r="597" spans="1:72" x14ac:dyDescent="0.15">
      <c r="A597" t="s">
        <v>72</v>
      </c>
      <c r="B597" t="s">
        <v>11401</v>
      </c>
      <c r="C597" t="s">
        <v>74</v>
      </c>
      <c r="D597" t="s">
        <v>74</v>
      </c>
      <c r="E597" t="s">
        <v>74</v>
      </c>
      <c r="F597" t="s">
        <v>11402</v>
      </c>
      <c r="G597" t="s">
        <v>74</v>
      </c>
      <c r="H597" t="s">
        <v>74</v>
      </c>
      <c r="I597" t="s">
        <v>11403</v>
      </c>
      <c r="J597" t="s">
        <v>7988</v>
      </c>
      <c r="K597" t="s">
        <v>74</v>
      </c>
      <c r="L597" t="s">
        <v>74</v>
      </c>
      <c r="M597" t="s">
        <v>78</v>
      </c>
      <c r="N597" t="s">
        <v>79</v>
      </c>
      <c r="O597" t="s">
        <v>74</v>
      </c>
      <c r="P597" t="s">
        <v>74</v>
      </c>
      <c r="Q597" t="s">
        <v>74</v>
      </c>
      <c r="R597" t="s">
        <v>74</v>
      </c>
      <c r="S597" t="s">
        <v>74</v>
      </c>
      <c r="T597" t="s">
        <v>74</v>
      </c>
      <c r="U597" t="s">
        <v>11404</v>
      </c>
      <c r="V597" t="s">
        <v>11405</v>
      </c>
      <c r="W597" t="s">
        <v>11406</v>
      </c>
      <c r="X597" t="s">
        <v>11407</v>
      </c>
      <c r="Y597" t="s">
        <v>11408</v>
      </c>
      <c r="Z597" t="s">
        <v>11409</v>
      </c>
      <c r="AA597" t="s">
        <v>11410</v>
      </c>
      <c r="AB597" t="s">
        <v>11411</v>
      </c>
      <c r="AC597" t="s">
        <v>11412</v>
      </c>
      <c r="AD597" t="s">
        <v>11413</v>
      </c>
      <c r="AE597" t="s">
        <v>11414</v>
      </c>
      <c r="AF597" t="s">
        <v>74</v>
      </c>
      <c r="AG597">
        <v>70</v>
      </c>
      <c r="AH597">
        <v>120</v>
      </c>
      <c r="AI597">
        <v>137</v>
      </c>
      <c r="AJ597">
        <v>22</v>
      </c>
      <c r="AK597">
        <v>239</v>
      </c>
      <c r="AL597" t="s">
        <v>7999</v>
      </c>
      <c r="AM597" t="s">
        <v>332</v>
      </c>
      <c r="AN597" t="s">
        <v>8000</v>
      </c>
      <c r="AO597" t="s">
        <v>8001</v>
      </c>
      <c r="AP597" t="s">
        <v>8002</v>
      </c>
      <c r="AQ597" t="s">
        <v>74</v>
      </c>
      <c r="AR597" t="s">
        <v>8003</v>
      </c>
      <c r="AS597" t="s">
        <v>8004</v>
      </c>
      <c r="AT597" t="s">
        <v>11415</v>
      </c>
      <c r="AU597">
        <v>2014</v>
      </c>
      <c r="AV597">
        <v>48</v>
      </c>
      <c r="AW597">
        <v>11</v>
      </c>
      <c r="AX597" t="s">
        <v>74</v>
      </c>
      <c r="AY597" t="s">
        <v>74</v>
      </c>
      <c r="AZ597" t="s">
        <v>74</v>
      </c>
      <c r="BA597" t="s">
        <v>74</v>
      </c>
      <c r="BB597">
        <v>6151</v>
      </c>
      <c r="BC597">
        <v>6159</v>
      </c>
      <c r="BD597" t="s">
        <v>74</v>
      </c>
      <c r="BE597" t="s">
        <v>11416</v>
      </c>
      <c r="BF597" t="str">
        <f>HYPERLINK("http://dx.doi.org/10.1021/es405246a","http://dx.doi.org/10.1021/es405246a")</f>
        <v>http://dx.doi.org/10.1021/es405246a</v>
      </c>
      <c r="BG597" t="s">
        <v>74</v>
      </c>
      <c r="BH597" t="s">
        <v>74</v>
      </c>
      <c r="BI597">
        <v>9</v>
      </c>
      <c r="BJ597" t="s">
        <v>8007</v>
      </c>
      <c r="BK597" t="s">
        <v>102</v>
      </c>
      <c r="BL597" t="s">
        <v>8008</v>
      </c>
      <c r="BM597" t="s">
        <v>11417</v>
      </c>
      <c r="BN597">
        <v>24804819</v>
      </c>
      <c r="BO597" t="s">
        <v>74</v>
      </c>
      <c r="BP597" t="s">
        <v>74</v>
      </c>
      <c r="BQ597" t="s">
        <v>74</v>
      </c>
      <c r="BR597" t="s">
        <v>105</v>
      </c>
      <c r="BS597" t="s">
        <v>11418</v>
      </c>
      <c r="BT597" t="str">
        <f>HYPERLINK("https%3A%2F%2Fwww.webofscience.com%2Fwos%2Fwoscc%2Ffull-record%2FWOS:000336952000013","View Full Record in Web of Science")</f>
        <v>View Full Record in Web of Science</v>
      </c>
    </row>
    <row r="598" spans="1:72" x14ac:dyDescent="0.15">
      <c r="A598" t="s">
        <v>72</v>
      </c>
      <c r="B598" t="s">
        <v>11419</v>
      </c>
      <c r="C598" t="s">
        <v>74</v>
      </c>
      <c r="D598" t="s">
        <v>74</v>
      </c>
      <c r="E598" t="s">
        <v>74</v>
      </c>
      <c r="F598" t="s">
        <v>11420</v>
      </c>
      <c r="G598" t="s">
        <v>74</v>
      </c>
      <c r="H598" t="s">
        <v>74</v>
      </c>
      <c r="I598" t="s">
        <v>11421</v>
      </c>
      <c r="J598" t="s">
        <v>992</v>
      </c>
      <c r="K598" t="s">
        <v>74</v>
      </c>
      <c r="L598" t="s">
        <v>74</v>
      </c>
      <c r="M598" t="s">
        <v>78</v>
      </c>
      <c r="N598" t="s">
        <v>79</v>
      </c>
      <c r="O598" t="s">
        <v>74</v>
      </c>
      <c r="P598" t="s">
        <v>74</v>
      </c>
      <c r="Q598" t="s">
        <v>74</v>
      </c>
      <c r="R598" t="s">
        <v>74</v>
      </c>
      <c r="S598" t="s">
        <v>74</v>
      </c>
      <c r="T598" t="s">
        <v>11422</v>
      </c>
      <c r="U598" t="s">
        <v>11423</v>
      </c>
      <c r="V598" t="s">
        <v>11424</v>
      </c>
      <c r="W598" t="s">
        <v>11425</v>
      </c>
      <c r="X598" t="s">
        <v>11426</v>
      </c>
      <c r="Y598" t="s">
        <v>11427</v>
      </c>
      <c r="Z598" t="s">
        <v>11428</v>
      </c>
      <c r="AA598" t="s">
        <v>11429</v>
      </c>
      <c r="AB598" t="s">
        <v>11430</v>
      </c>
      <c r="AC598" t="s">
        <v>11431</v>
      </c>
      <c r="AD598" t="s">
        <v>11432</v>
      </c>
      <c r="AE598" t="s">
        <v>11433</v>
      </c>
      <c r="AF598" t="s">
        <v>74</v>
      </c>
      <c r="AG598">
        <v>84</v>
      </c>
      <c r="AH598">
        <v>16</v>
      </c>
      <c r="AI598">
        <v>18</v>
      </c>
      <c r="AJ598">
        <v>0</v>
      </c>
      <c r="AK598">
        <v>28</v>
      </c>
      <c r="AL598" t="s">
        <v>1005</v>
      </c>
      <c r="AM598" t="s">
        <v>1006</v>
      </c>
      <c r="AN598" t="s">
        <v>1007</v>
      </c>
      <c r="AO598" t="s">
        <v>1008</v>
      </c>
      <c r="AP598" t="s">
        <v>74</v>
      </c>
      <c r="AQ598" t="s">
        <v>74</v>
      </c>
      <c r="AR598" t="s">
        <v>1009</v>
      </c>
      <c r="AS598" t="s">
        <v>1010</v>
      </c>
      <c r="AT598" t="s">
        <v>11434</v>
      </c>
      <c r="AU598">
        <v>2014</v>
      </c>
      <c r="AV598">
        <v>5</v>
      </c>
      <c r="AW598" t="s">
        <v>74</v>
      </c>
      <c r="AX598" t="s">
        <v>74</v>
      </c>
      <c r="AY598" t="s">
        <v>74</v>
      </c>
      <c r="AZ598" t="s">
        <v>74</v>
      </c>
      <c r="BA598" t="s">
        <v>74</v>
      </c>
      <c r="BB598" t="s">
        <v>74</v>
      </c>
      <c r="BC598" t="s">
        <v>74</v>
      </c>
      <c r="BD598">
        <v>264</v>
      </c>
      <c r="BE598" t="s">
        <v>11435</v>
      </c>
      <c r="BF598" t="str">
        <f>HYPERLINK("http://dx.doi.org/10.3389/fmicb.2014.00264","http://dx.doi.org/10.3389/fmicb.2014.00264")</f>
        <v>http://dx.doi.org/10.3389/fmicb.2014.00264</v>
      </c>
      <c r="BG598" t="s">
        <v>74</v>
      </c>
      <c r="BH598" t="s">
        <v>74</v>
      </c>
      <c r="BI598">
        <v>16</v>
      </c>
      <c r="BJ598" t="s">
        <v>1012</v>
      </c>
      <c r="BK598" t="s">
        <v>102</v>
      </c>
      <c r="BL598" t="s">
        <v>1012</v>
      </c>
      <c r="BM598" t="s">
        <v>11436</v>
      </c>
      <c r="BN598">
        <v>24917857</v>
      </c>
      <c r="BO598" t="s">
        <v>206</v>
      </c>
      <c r="BP598" t="s">
        <v>74</v>
      </c>
      <c r="BQ598" t="s">
        <v>74</v>
      </c>
      <c r="BR598" t="s">
        <v>105</v>
      </c>
      <c r="BS598" t="s">
        <v>11437</v>
      </c>
      <c r="BT598" t="str">
        <f>HYPERLINK("https%3A%2F%2Fwww.webofscience.com%2Fwos%2Fwoscc%2Ffull-record%2FWOS:000337526700002","View Full Record in Web of Science")</f>
        <v>View Full Record in Web of Science</v>
      </c>
    </row>
    <row r="599" spans="1:72" x14ac:dyDescent="0.15">
      <c r="A599" t="s">
        <v>72</v>
      </c>
      <c r="B599" t="s">
        <v>11438</v>
      </c>
      <c r="C599" t="s">
        <v>74</v>
      </c>
      <c r="D599" t="s">
        <v>74</v>
      </c>
      <c r="E599" t="s">
        <v>74</v>
      </c>
      <c r="F599" t="s">
        <v>11439</v>
      </c>
      <c r="G599" t="s">
        <v>74</v>
      </c>
      <c r="H599" t="s">
        <v>74</v>
      </c>
      <c r="I599" t="s">
        <v>11440</v>
      </c>
      <c r="J599" t="s">
        <v>1083</v>
      </c>
      <c r="K599" t="s">
        <v>74</v>
      </c>
      <c r="L599" t="s">
        <v>74</v>
      </c>
      <c r="M599" t="s">
        <v>78</v>
      </c>
      <c r="N599" t="s">
        <v>79</v>
      </c>
      <c r="O599" t="s">
        <v>74</v>
      </c>
      <c r="P599" t="s">
        <v>74</v>
      </c>
      <c r="Q599" t="s">
        <v>74</v>
      </c>
      <c r="R599" t="s">
        <v>74</v>
      </c>
      <c r="S599" t="s">
        <v>74</v>
      </c>
      <c r="T599" t="s">
        <v>74</v>
      </c>
      <c r="U599" t="s">
        <v>11441</v>
      </c>
      <c r="V599" t="s">
        <v>11442</v>
      </c>
      <c r="W599" t="s">
        <v>11443</v>
      </c>
      <c r="X599" t="s">
        <v>11444</v>
      </c>
      <c r="Y599" t="s">
        <v>11445</v>
      </c>
      <c r="Z599" t="s">
        <v>11446</v>
      </c>
      <c r="AA599" t="s">
        <v>74</v>
      </c>
      <c r="AB599" t="s">
        <v>11447</v>
      </c>
      <c r="AC599" t="s">
        <v>11448</v>
      </c>
      <c r="AD599" t="s">
        <v>11449</v>
      </c>
      <c r="AE599" t="s">
        <v>11450</v>
      </c>
      <c r="AF599" t="s">
        <v>74</v>
      </c>
      <c r="AG599">
        <v>47</v>
      </c>
      <c r="AH599">
        <v>22</v>
      </c>
      <c r="AI599">
        <v>22</v>
      </c>
      <c r="AJ599">
        <v>1</v>
      </c>
      <c r="AK599">
        <v>32</v>
      </c>
      <c r="AL599" t="s">
        <v>1090</v>
      </c>
      <c r="AM599" t="s">
        <v>1091</v>
      </c>
      <c r="AN599" t="s">
        <v>1092</v>
      </c>
      <c r="AO599" t="s">
        <v>1093</v>
      </c>
      <c r="AP599" t="s">
        <v>74</v>
      </c>
      <c r="AQ599" t="s">
        <v>74</v>
      </c>
      <c r="AR599" t="s">
        <v>1083</v>
      </c>
      <c r="AS599" t="s">
        <v>1094</v>
      </c>
      <c r="AT599" t="s">
        <v>11434</v>
      </c>
      <c r="AU599">
        <v>2014</v>
      </c>
      <c r="AV599">
        <v>9</v>
      </c>
      <c r="AW599">
        <v>6</v>
      </c>
      <c r="AX599" t="s">
        <v>74</v>
      </c>
      <c r="AY599" t="s">
        <v>74</v>
      </c>
      <c r="AZ599" t="s">
        <v>74</v>
      </c>
      <c r="BA599" t="s">
        <v>74</v>
      </c>
      <c r="BB599" t="s">
        <v>74</v>
      </c>
      <c r="BC599" t="s">
        <v>74</v>
      </c>
      <c r="BD599" t="s">
        <v>11451</v>
      </c>
      <c r="BE599" t="s">
        <v>11452</v>
      </c>
      <c r="BF599" t="str">
        <f>HYPERLINK("http://dx.doi.org/10.1371/journal.pone.0098873","http://dx.doi.org/10.1371/journal.pone.0098873")</f>
        <v>http://dx.doi.org/10.1371/journal.pone.0098873</v>
      </c>
      <c r="BG599" t="s">
        <v>74</v>
      </c>
      <c r="BH599" t="s">
        <v>74</v>
      </c>
      <c r="BI599">
        <v>8</v>
      </c>
      <c r="BJ599" t="s">
        <v>660</v>
      </c>
      <c r="BK599" t="s">
        <v>102</v>
      </c>
      <c r="BL599" t="s">
        <v>661</v>
      </c>
      <c r="BM599" t="s">
        <v>11453</v>
      </c>
      <c r="BN599">
        <v>24887088</v>
      </c>
      <c r="BO599" t="s">
        <v>1189</v>
      </c>
      <c r="BP599" t="s">
        <v>74</v>
      </c>
      <c r="BQ599" t="s">
        <v>74</v>
      </c>
      <c r="BR599" t="s">
        <v>105</v>
      </c>
      <c r="BS599" t="s">
        <v>11454</v>
      </c>
      <c r="BT599" t="str">
        <f>HYPERLINK("https%3A%2F%2Fwww.webofscience.com%2Fwos%2Fwoscc%2Ffull-record%2FWOS:000336956300115","View Full Record in Web of Science")</f>
        <v>View Full Record in Web of Science</v>
      </c>
    </row>
    <row r="600" spans="1:72" x14ac:dyDescent="0.15">
      <c r="A600" t="s">
        <v>72</v>
      </c>
      <c r="B600" t="s">
        <v>11455</v>
      </c>
      <c r="C600" t="s">
        <v>74</v>
      </c>
      <c r="D600" t="s">
        <v>74</v>
      </c>
      <c r="E600" t="s">
        <v>74</v>
      </c>
      <c r="F600" t="s">
        <v>11456</v>
      </c>
      <c r="G600" t="s">
        <v>74</v>
      </c>
      <c r="H600" t="s">
        <v>74</v>
      </c>
      <c r="I600" t="s">
        <v>11457</v>
      </c>
      <c r="J600" t="s">
        <v>1083</v>
      </c>
      <c r="K600" t="s">
        <v>74</v>
      </c>
      <c r="L600" t="s">
        <v>74</v>
      </c>
      <c r="M600" t="s">
        <v>78</v>
      </c>
      <c r="N600" t="s">
        <v>79</v>
      </c>
      <c r="O600" t="s">
        <v>74</v>
      </c>
      <c r="P600" t="s">
        <v>74</v>
      </c>
      <c r="Q600" t="s">
        <v>74</v>
      </c>
      <c r="R600" t="s">
        <v>74</v>
      </c>
      <c r="S600" t="s">
        <v>74</v>
      </c>
      <c r="T600" t="s">
        <v>74</v>
      </c>
      <c r="U600" t="s">
        <v>11458</v>
      </c>
      <c r="V600" t="s">
        <v>11459</v>
      </c>
      <c r="W600" t="s">
        <v>11460</v>
      </c>
      <c r="X600" t="s">
        <v>11461</v>
      </c>
      <c r="Y600" t="s">
        <v>11462</v>
      </c>
      <c r="Z600" t="s">
        <v>11463</v>
      </c>
      <c r="AA600" t="s">
        <v>11464</v>
      </c>
      <c r="AB600" t="s">
        <v>11465</v>
      </c>
      <c r="AC600" t="s">
        <v>11466</v>
      </c>
      <c r="AD600" t="s">
        <v>11467</v>
      </c>
      <c r="AE600" t="s">
        <v>11468</v>
      </c>
      <c r="AF600" t="s">
        <v>74</v>
      </c>
      <c r="AG600">
        <v>83</v>
      </c>
      <c r="AH600">
        <v>48</v>
      </c>
      <c r="AI600">
        <v>50</v>
      </c>
      <c r="AJ600">
        <v>0</v>
      </c>
      <c r="AK600">
        <v>35</v>
      </c>
      <c r="AL600" t="s">
        <v>1090</v>
      </c>
      <c r="AM600" t="s">
        <v>1091</v>
      </c>
      <c r="AN600" t="s">
        <v>1092</v>
      </c>
      <c r="AO600" t="s">
        <v>1093</v>
      </c>
      <c r="AP600" t="s">
        <v>74</v>
      </c>
      <c r="AQ600" t="s">
        <v>74</v>
      </c>
      <c r="AR600" t="s">
        <v>1083</v>
      </c>
      <c r="AS600" t="s">
        <v>1094</v>
      </c>
      <c r="AT600" t="s">
        <v>11434</v>
      </c>
      <c r="AU600">
        <v>2014</v>
      </c>
      <c r="AV600">
        <v>9</v>
      </c>
      <c r="AW600">
        <v>6</v>
      </c>
      <c r="AX600" t="s">
        <v>74</v>
      </c>
      <c r="AY600" t="s">
        <v>74</v>
      </c>
      <c r="AZ600" t="s">
        <v>74</v>
      </c>
      <c r="BA600" t="s">
        <v>74</v>
      </c>
      <c r="BB600" t="s">
        <v>74</v>
      </c>
      <c r="BC600" t="s">
        <v>74</v>
      </c>
      <c r="BD600" t="s">
        <v>11469</v>
      </c>
      <c r="BE600" t="s">
        <v>11470</v>
      </c>
      <c r="BF600" t="str">
        <f>HYPERLINK("http://dx.doi.org/10.1371/journal.pone.0097564","http://dx.doi.org/10.1371/journal.pone.0097564")</f>
        <v>http://dx.doi.org/10.1371/journal.pone.0097564</v>
      </c>
      <c r="BG600" t="s">
        <v>74</v>
      </c>
      <c r="BH600" t="s">
        <v>74</v>
      </c>
      <c r="BI600">
        <v>11</v>
      </c>
      <c r="BJ600" t="s">
        <v>660</v>
      </c>
      <c r="BK600" t="s">
        <v>102</v>
      </c>
      <c r="BL600" t="s">
        <v>661</v>
      </c>
      <c r="BM600" t="s">
        <v>11453</v>
      </c>
      <c r="BN600">
        <v>24887330</v>
      </c>
      <c r="BO600" t="s">
        <v>206</v>
      </c>
      <c r="BP600" t="s">
        <v>74</v>
      </c>
      <c r="BQ600" t="s">
        <v>74</v>
      </c>
      <c r="BR600" t="s">
        <v>105</v>
      </c>
      <c r="BS600" t="s">
        <v>11471</v>
      </c>
      <c r="BT600" t="str">
        <f>HYPERLINK("https%3A%2F%2Fwww.webofscience.com%2Fwos%2Fwoscc%2Ffull-record%2FWOS:000336956300021","View Full Record in Web of Science")</f>
        <v>View Full Record in Web of Science</v>
      </c>
    </row>
    <row r="601" spans="1:72" x14ac:dyDescent="0.15">
      <c r="A601" t="s">
        <v>72</v>
      </c>
      <c r="B601" t="s">
        <v>11472</v>
      </c>
      <c r="C601" t="s">
        <v>74</v>
      </c>
      <c r="D601" t="s">
        <v>74</v>
      </c>
      <c r="E601" t="s">
        <v>74</v>
      </c>
      <c r="F601" t="s">
        <v>11473</v>
      </c>
      <c r="G601" t="s">
        <v>74</v>
      </c>
      <c r="H601" t="s">
        <v>74</v>
      </c>
      <c r="I601" t="s">
        <v>11474</v>
      </c>
      <c r="J601" t="s">
        <v>11475</v>
      </c>
      <c r="K601" t="s">
        <v>74</v>
      </c>
      <c r="L601" t="s">
        <v>74</v>
      </c>
      <c r="M601" t="s">
        <v>78</v>
      </c>
      <c r="N601" t="s">
        <v>52</v>
      </c>
      <c r="O601" t="s">
        <v>74</v>
      </c>
      <c r="P601" t="s">
        <v>74</v>
      </c>
      <c r="Q601" t="s">
        <v>74</v>
      </c>
      <c r="R601" t="s">
        <v>74</v>
      </c>
      <c r="S601" t="s">
        <v>74</v>
      </c>
      <c r="T601" t="s">
        <v>74</v>
      </c>
      <c r="U601" t="s">
        <v>74</v>
      </c>
      <c r="V601" t="s">
        <v>74</v>
      </c>
      <c r="W601" t="s">
        <v>11476</v>
      </c>
      <c r="X601" t="s">
        <v>11477</v>
      </c>
      <c r="Y601" t="s">
        <v>74</v>
      </c>
      <c r="Z601" t="s">
        <v>74</v>
      </c>
      <c r="AA601" t="s">
        <v>74</v>
      </c>
      <c r="AB601" t="s">
        <v>74</v>
      </c>
      <c r="AC601" t="s">
        <v>74</v>
      </c>
      <c r="AD601" t="s">
        <v>74</v>
      </c>
      <c r="AE601" t="s">
        <v>74</v>
      </c>
      <c r="AF601" t="s">
        <v>74</v>
      </c>
      <c r="AG601">
        <v>0</v>
      </c>
      <c r="AH601">
        <v>0</v>
      </c>
      <c r="AI601">
        <v>0</v>
      </c>
      <c r="AJ601">
        <v>0</v>
      </c>
      <c r="AK601">
        <v>1</v>
      </c>
      <c r="AL601" t="s">
        <v>11478</v>
      </c>
      <c r="AM601" t="s">
        <v>11479</v>
      </c>
      <c r="AN601" t="s">
        <v>11480</v>
      </c>
      <c r="AO601" t="s">
        <v>11481</v>
      </c>
      <c r="AP601" t="s">
        <v>74</v>
      </c>
      <c r="AQ601" t="s">
        <v>74</v>
      </c>
      <c r="AR601" t="s">
        <v>11482</v>
      </c>
      <c r="AS601" t="s">
        <v>11483</v>
      </c>
      <c r="AT601" t="s">
        <v>11484</v>
      </c>
      <c r="AU601">
        <v>2014</v>
      </c>
      <c r="AV601">
        <v>46</v>
      </c>
      <c r="AW601">
        <v>2</v>
      </c>
      <c r="AX601" t="s">
        <v>74</v>
      </c>
      <c r="AY601" t="s">
        <v>74</v>
      </c>
      <c r="AZ601" t="s">
        <v>74</v>
      </c>
      <c r="BA601" t="s">
        <v>74</v>
      </c>
      <c r="BB601">
        <v>192</v>
      </c>
      <c r="BC601">
        <v>192</v>
      </c>
      <c r="BD601" t="s">
        <v>74</v>
      </c>
      <c r="BE601" t="s">
        <v>74</v>
      </c>
      <c r="BF601" t="s">
        <v>74</v>
      </c>
      <c r="BG601" t="s">
        <v>74</v>
      </c>
      <c r="BH601" t="s">
        <v>74</v>
      </c>
      <c r="BI601">
        <v>1</v>
      </c>
      <c r="BJ601" t="s">
        <v>1254</v>
      </c>
      <c r="BK601" t="s">
        <v>102</v>
      </c>
      <c r="BL601" t="s">
        <v>1254</v>
      </c>
      <c r="BM601" t="s">
        <v>11485</v>
      </c>
      <c r="BN601" t="s">
        <v>74</v>
      </c>
      <c r="BO601" t="s">
        <v>74</v>
      </c>
      <c r="BP601" t="s">
        <v>74</v>
      </c>
      <c r="BQ601" t="s">
        <v>74</v>
      </c>
      <c r="BR601" t="s">
        <v>105</v>
      </c>
      <c r="BS601" t="s">
        <v>11486</v>
      </c>
      <c r="BT601" t="str">
        <f>HYPERLINK("https%3A%2F%2Fwww.webofscience.com%2Fwos%2Fwoscc%2Ffull-record%2FWOS:000346299700203","View Full Record in Web of Science")</f>
        <v>View Full Record in Web of Science</v>
      </c>
    </row>
    <row r="602" spans="1:72" x14ac:dyDescent="0.15">
      <c r="A602" t="s">
        <v>72</v>
      </c>
      <c r="B602" t="s">
        <v>11487</v>
      </c>
      <c r="C602" t="s">
        <v>74</v>
      </c>
      <c r="D602" t="s">
        <v>74</v>
      </c>
      <c r="E602" t="s">
        <v>74</v>
      </c>
      <c r="F602" t="s">
        <v>11488</v>
      </c>
      <c r="G602" t="s">
        <v>74</v>
      </c>
      <c r="H602" t="s">
        <v>74</v>
      </c>
      <c r="I602" t="s">
        <v>11489</v>
      </c>
      <c r="J602" t="s">
        <v>11475</v>
      </c>
      <c r="K602" t="s">
        <v>74</v>
      </c>
      <c r="L602" t="s">
        <v>74</v>
      </c>
      <c r="M602" t="s">
        <v>78</v>
      </c>
      <c r="N602" t="s">
        <v>52</v>
      </c>
      <c r="O602" t="s">
        <v>74</v>
      </c>
      <c r="P602" t="s">
        <v>74</v>
      </c>
      <c r="Q602" t="s">
        <v>74</v>
      </c>
      <c r="R602" t="s">
        <v>74</v>
      </c>
      <c r="S602" t="s">
        <v>74</v>
      </c>
      <c r="T602" t="s">
        <v>74</v>
      </c>
      <c r="U602" t="s">
        <v>74</v>
      </c>
      <c r="V602" t="s">
        <v>74</v>
      </c>
      <c r="W602" t="s">
        <v>11490</v>
      </c>
      <c r="X602" t="s">
        <v>5591</v>
      </c>
      <c r="Y602" t="s">
        <v>74</v>
      </c>
      <c r="Z602" t="s">
        <v>74</v>
      </c>
      <c r="AA602" t="s">
        <v>11491</v>
      </c>
      <c r="AB602" t="s">
        <v>11492</v>
      </c>
      <c r="AC602" t="s">
        <v>74</v>
      </c>
      <c r="AD602" t="s">
        <v>74</v>
      </c>
      <c r="AE602" t="s">
        <v>74</v>
      </c>
      <c r="AF602" t="s">
        <v>74</v>
      </c>
      <c r="AG602">
        <v>0</v>
      </c>
      <c r="AH602">
        <v>0</v>
      </c>
      <c r="AI602">
        <v>0</v>
      </c>
      <c r="AJ602">
        <v>0</v>
      </c>
      <c r="AK602">
        <v>3</v>
      </c>
      <c r="AL602" t="s">
        <v>11478</v>
      </c>
      <c r="AM602" t="s">
        <v>11479</v>
      </c>
      <c r="AN602" t="s">
        <v>11480</v>
      </c>
      <c r="AO602" t="s">
        <v>11481</v>
      </c>
      <c r="AP602" t="s">
        <v>74</v>
      </c>
      <c r="AQ602" t="s">
        <v>74</v>
      </c>
      <c r="AR602" t="s">
        <v>11482</v>
      </c>
      <c r="AS602" t="s">
        <v>11483</v>
      </c>
      <c r="AT602" t="s">
        <v>11484</v>
      </c>
      <c r="AU602">
        <v>2014</v>
      </c>
      <c r="AV602">
        <v>46</v>
      </c>
      <c r="AW602">
        <v>2</v>
      </c>
      <c r="AX602" t="s">
        <v>74</v>
      </c>
      <c r="AY602" t="s">
        <v>74</v>
      </c>
      <c r="AZ602" t="s">
        <v>74</v>
      </c>
      <c r="BA602" t="s">
        <v>74</v>
      </c>
      <c r="BB602">
        <v>232</v>
      </c>
      <c r="BC602">
        <v>232</v>
      </c>
      <c r="BD602" t="s">
        <v>74</v>
      </c>
      <c r="BE602" t="s">
        <v>74</v>
      </c>
      <c r="BF602" t="s">
        <v>74</v>
      </c>
      <c r="BG602" t="s">
        <v>74</v>
      </c>
      <c r="BH602" t="s">
        <v>74</v>
      </c>
      <c r="BI602">
        <v>1</v>
      </c>
      <c r="BJ602" t="s">
        <v>1254</v>
      </c>
      <c r="BK602" t="s">
        <v>102</v>
      </c>
      <c r="BL602" t="s">
        <v>1254</v>
      </c>
      <c r="BM602" t="s">
        <v>11485</v>
      </c>
      <c r="BN602" t="s">
        <v>74</v>
      </c>
      <c r="BO602" t="s">
        <v>74</v>
      </c>
      <c r="BP602" t="s">
        <v>74</v>
      </c>
      <c r="BQ602" t="s">
        <v>74</v>
      </c>
      <c r="BR602" t="s">
        <v>105</v>
      </c>
      <c r="BS602" t="s">
        <v>11493</v>
      </c>
      <c r="BT602" t="str">
        <f>HYPERLINK("https%3A%2F%2Fwww.webofscience.com%2Fwos%2Fwoscc%2Ffull-record%2FWOS:000346299700333","View Full Record in Web of Science")</f>
        <v>View Full Record in Web of Science</v>
      </c>
    </row>
    <row r="603" spans="1:72" x14ac:dyDescent="0.15">
      <c r="A603" t="s">
        <v>72</v>
      </c>
      <c r="B603" t="s">
        <v>11494</v>
      </c>
      <c r="C603" t="s">
        <v>74</v>
      </c>
      <c r="D603" t="s">
        <v>74</v>
      </c>
      <c r="E603" t="s">
        <v>74</v>
      </c>
      <c r="F603" t="s">
        <v>11495</v>
      </c>
      <c r="G603" t="s">
        <v>74</v>
      </c>
      <c r="H603" t="s">
        <v>74</v>
      </c>
      <c r="I603" t="s">
        <v>11496</v>
      </c>
      <c r="J603" t="s">
        <v>11475</v>
      </c>
      <c r="K603" t="s">
        <v>74</v>
      </c>
      <c r="L603" t="s">
        <v>74</v>
      </c>
      <c r="M603" t="s">
        <v>78</v>
      </c>
      <c r="N603" t="s">
        <v>52</v>
      </c>
      <c r="O603" t="s">
        <v>74</v>
      </c>
      <c r="P603" t="s">
        <v>74</v>
      </c>
      <c r="Q603" t="s">
        <v>74</v>
      </c>
      <c r="R603" t="s">
        <v>74</v>
      </c>
      <c r="S603" t="s">
        <v>74</v>
      </c>
      <c r="T603" t="s">
        <v>74</v>
      </c>
      <c r="U603" t="s">
        <v>74</v>
      </c>
      <c r="V603" t="s">
        <v>74</v>
      </c>
      <c r="W603" t="s">
        <v>11497</v>
      </c>
      <c r="X603" t="s">
        <v>11498</v>
      </c>
      <c r="Y603" t="s">
        <v>74</v>
      </c>
      <c r="Z603" t="s">
        <v>74</v>
      </c>
      <c r="AA603" t="s">
        <v>74</v>
      </c>
      <c r="AB603" t="s">
        <v>74</v>
      </c>
      <c r="AC603" t="s">
        <v>74</v>
      </c>
      <c r="AD603" t="s">
        <v>74</v>
      </c>
      <c r="AE603" t="s">
        <v>74</v>
      </c>
      <c r="AF603" t="s">
        <v>74</v>
      </c>
      <c r="AG603">
        <v>0</v>
      </c>
      <c r="AH603">
        <v>0</v>
      </c>
      <c r="AI603">
        <v>0</v>
      </c>
      <c r="AJ603">
        <v>0</v>
      </c>
      <c r="AK603">
        <v>6</v>
      </c>
      <c r="AL603" t="s">
        <v>11478</v>
      </c>
      <c r="AM603" t="s">
        <v>11479</v>
      </c>
      <c r="AN603" t="s">
        <v>11480</v>
      </c>
      <c r="AO603" t="s">
        <v>11481</v>
      </c>
      <c r="AP603" t="s">
        <v>74</v>
      </c>
      <c r="AQ603" t="s">
        <v>74</v>
      </c>
      <c r="AR603" t="s">
        <v>11482</v>
      </c>
      <c r="AS603" t="s">
        <v>11483</v>
      </c>
      <c r="AT603" t="s">
        <v>11484</v>
      </c>
      <c r="AU603">
        <v>2014</v>
      </c>
      <c r="AV603">
        <v>46</v>
      </c>
      <c r="AW603">
        <v>2</v>
      </c>
      <c r="AX603" t="s">
        <v>74</v>
      </c>
      <c r="AY603" t="s">
        <v>74</v>
      </c>
      <c r="AZ603" t="s">
        <v>74</v>
      </c>
      <c r="BA603" t="s">
        <v>74</v>
      </c>
      <c r="BB603">
        <v>247</v>
      </c>
      <c r="BC603">
        <v>247</v>
      </c>
      <c r="BD603" t="s">
        <v>74</v>
      </c>
      <c r="BE603" t="s">
        <v>74</v>
      </c>
      <c r="BF603" t="s">
        <v>74</v>
      </c>
      <c r="BG603" t="s">
        <v>74</v>
      </c>
      <c r="BH603" t="s">
        <v>74</v>
      </c>
      <c r="BI603">
        <v>1</v>
      </c>
      <c r="BJ603" t="s">
        <v>1254</v>
      </c>
      <c r="BK603" t="s">
        <v>102</v>
      </c>
      <c r="BL603" t="s">
        <v>1254</v>
      </c>
      <c r="BM603" t="s">
        <v>11485</v>
      </c>
      <c r="BN603" t="s">
        <v>74</v>
      </c>
      <c r="BO603" t="s">
        <v>74</v>
      </c>
      <c r="BP603" t="s">
        <v>74</v>
      </c>
      <c r="BQ603" t="s">
        <v>74</v>
      </c>
      <c r="BR603" t="s">
        <v>105</v>
      </c>
      <c r="BS603" t="s">
        <v>11499</v>
      </c>
      <c r="BT603" t="str">
        <f>HYPERLINK("https%3A%2F%2Fwww.webofscience.com%2Fwos%2Fwoscc%2Ffull-record%2FWOS:000346299700379","View Full Record in Web of Science")</f>
        <v>View Full Record in Web of Science</v>
      </c>
    </row>
    <row r="604" spans="1:72" x14ac:dyDescent="0.15">
      <c r="A604" t="s">
        <v>72</v>
      </c>
      <c r="B604" t="s">
        <v>11500</v>
      </c>
      <c r="C604" t="s">
        <v>74</v>
      </c>
      <c r="D604" t="s">
        <v>74</v>
      </c>
      <c r="E604" t="s">
        <v>74</v>
      </c>
      <c r="F604" t="s">
        <v>11501</v>
      </c>
      <c r="G604" t="s">
        <v>74</v>
      </c>
      <c r="H604" t="s">
        <v>74</v>
      </c>
      <c r="I604" t="s">
        <v>11502</v>
      </c>
      <c r="J604" t="s">
        <v>11503</v>
      </c>
      <c r="K604" t="s">
        <v>74</v>
      </c>
      <c r="L604" t="s">
        <v>74</v>
      </c>
      <c r="M604" t="s">
        <v>78</v>
      </c>
      <c r="N604" t="s">
        <v>79</v>
      </c>
      <c r="O604" t="s">
        <v>74</v>
      </c>
      <c r="P604" t="s">
        <v>74</v>
      </c>
      <c r="Q604" t="s">
        <v>74</v>
      </c>
      <c r="R604" t="s">
        <v>74</v>
      </c>
      <c r="S604" t="s">
        <v>74</v>
      </c>
      <c r="T604" t="s">
        <v>11504</v>
      </c>
      <c r="U604" t="s">
        <v>11505</v>
      </c>
      <c r="V604" t="s">
        <v>11506</v>
      </c>
      <c r="W604" t="s">
        <v>11507</v>
      </c>
      <c r="X604" t="s">
        <v>11508</v>
      </c>
      <c r="Y604" t="s">
        <v>11509</v>
      </c>
      <c r="Z604" t="s">
        <v>11510</v>
      </c>
      <c r="AA604" t="s">
        <v>11511</v>
      </c>
      <c r="AB604" t="s">
        <v>11512</v>
      </c>
      <c r="AC604" t="s">
        <v>11513</v>
      </c>
      <c r="AD604" t="s">
        <v>11514</v>
      </c>
      <c r="AE604" t="s">
        <v>11515</v>
      </c>
      <c r="AF604" t="s">
        <v>74</v>
      </c>
      <c r="AG604">
        <v>29</v>
      </c>
      <c r="AH604">
        <v>3</v>
      </c>
      <c r="AI604">
        <v>3</v>
      </c>
      <c r="AJ604">
        <v>0</v>
      </c>
      <c r="AK604">
        <v>16</v>
      </c>
      <c r="AL604" t="s">
        <v>196</v>
      </c>
      <c r="AM604" t="s">
        <v>197</v>
      </c>
      <c r="AN604" t="s">
        <v>198</v>
      </c>
      <c r="AO604" t="s">
        <v>74</v>
      </c>
      <c r="AP604" t="s">
        <v>11516</v>
      </c>
      <c r="AQ604" t="s">
        <v>74</v>
      </c>
      <c r="AR604" t="s">
        <v>11517</v>
      </c>
      <c r="AS604" t="s">
        <v>11518</v>
      </c>
      <c r="AT604" t="s">
        <v>11484</v>
      </c>
      <c r="AU604">
        <v>2014</v>
      </c>
      <c r="AV604">
        <v>4</v>
      </c>
      <c r="AW604">
        <v>2</v>
      </c>
      <c r="AX604" t="s">
        <v>74</v>
      </c>
      <c r="AY604" t="s">
        <v>74</v>
      </c>
      <c r="AZ604" t="s">
        <v>74</v>
      </c>
      <c r="BA604" t="s">
        <v>74</v>
      </c>
      <c r="BB604">
        <v>293</v>
      </c>
      <c r="BC604">
        <v>312</v>
      </c>
      <c r="BD604" t="s">
        <v>74</v>
      </c>
      <c r="BE604" t="s">
        <v>11519</v>
      </c>
      <c r="BF604" t="str">
        <f>HYPERLINK("http://dx.doi.org/10.3390/min4020293","http://dx.doi.org/10.3390/min4020293")</f>
        <v>http://dx.doi.org/10.3390/min4020293</v>
      </c>
      <c r="BG604" t="s">
        <v>74</v>
      </c>
      <c r="BH604" t="s">
        <v>74</v>
      </c>
      <c r="BI604">
        <v>20</v>
      </c>
      <c r="BJ604" t="s">
        <v>11520</v>
      </c>
      <c r="BK604" t="s">
        <v>102</v>
      </c>
      <c r="BL604" t="s">
        <v>11520</v>
      </c>
      <c r="BM604" t="s">
        <v>11521</v>
      </c>
      <c r="BN604" t="s">
        <v>74</v>
      </c>
      <c r="BO604" t="s">
        <v>2221</v>
      </c>
      <c r="BP604" t="s">
        <v>74</v>
      </c>
      <c r="BQ604" t="s">
        <v>74</v>
      </c>
      <c r="BR604" t="s">
        <v>105</v>
      </c>
      <c r="BS604" t="s">
        <v>11522</v>
      </c>
      <c r="BT604" t="str">
        <f>HYPERLINK("https%3A%2F%2Fwww.webofscience.com%2Fwos%2Fwoscc%2Ffull-record%2FWOS:000342621600006","View Full Record in Web of Science")</f>
        <v>View Full Record in Web of Science</v>
      </c>
    </row>
    <row r="605" spans="1:72" x14ac:dyDescent="0.15">
      <c r="A605" t="s">
        <v>72</v>
      </c>
      <c r="B605" t="s">
        <v>11523</v>
      </c>
      <c r="C605" t="s">
        <v>74</v>
      </c>
      <c r="D605" t="s">
        <v>74</v>
      </c>
      <c r="E605" t="s">
        <v>74</v>
      </c>
      <c r="F605" t="s">
        <v>11524</v>
      </c>
      <c r="G605" t="s">
        <v>74</v>
      </c>
      <c r="H605" t="s">
        <v>74</v>
      </c>
      <c r="I605" t="s">
        <v>11525</v>
      </c>
      <c r="J605" t="s">
        <v>11526</v>
      </c>
      <c r="K605" t="s">
        <v>74</v>
      </c>
      <c r="L605" t="s">
        <v>74</v>
      </c>
      <c r="M605" t="s">
        <v>78</v>
      </c>
      <c r="N605" t="s">
        <v>79</v>
      </c>
      <c r="O605" t="s">
        <v>74</v>
      </c>
      <c r="P605" t="s">
        <v>74</v>
      </c>
      <c r="Q605" t="s">
        <v>74</v>
      </c>
      <c r="R605" t="s">
        <v>74</v>
      </c>
      <c r="S605" t="s">
        <v>74</v>
      </c>
      <c r="T605" t="s">
        <v>74</v>
      </c>
      <c r="U605" t="s">
        <v>11527</v>
      </c>
      <c r="V605" t="s">
        <v>11528</v>
      </c>
      <c r="W605" t="s">
        <v>11529</v>
      </c>
      <c r="X605" t="s">
        <v>620</v>
      </c>
      <c r="Y605" t="s">
        <v>11530</v>
      </c>
      <c r="Z605" t="s">
        <v>11531</v>
      </c>
      <c r="AA605" t="s">
        <v>11532</v>
      </c>
      <c r="AB605" t="s">
        <v>74</v>
      </c>
      <c r="AC605" t="s">
        <v>11533</v>
      </c>
      <c r="AD605" t="s">
        <v>11533</v>
      </c>
      <c r="AE605" t="s">
        <v>11534</v>
      </c>
      <c r="AF605" t="s">
        <v>74</v>
      </c>
      <c r="AG605">
        <v>88</v>
      </c>
      <c r="AH605">
        <v>30</v>
      </c>
      <c r="AI605">
        <v>30</v>
      </c>
      <c r="AJ605">
        <v>4</v>
      </c>
      <c r="AK605">
        <v>56</v>
      </c>
      <c r="AL605" t="s">
        <v>2284</v>
      </c>
      <c r="AM605" t="s">
        <v>2285</v>
      </c>
      <c r="AN605" t="s">
        <v>2286</v>
      </c>
      <c r="AO605" t="s">
        <v>11535</v>
      </c>
      <c r="AP605" t="s">
        <v>11536</v>
      </c>
      <c r="AQ605" t="s">
        <v>74</v>
      </c>
      <c r="AR605" t="s">
        <v>11537</v>
      </c>
      <c r="AS605" t="s">
        <v>11538</v>
      </c>
      <c r="AT605" t="s">
        <v>11484</v>
      </c>
      <c r="AU605">
        <v>2014</v>
      </c>
      <c r="AV605">
        <v>226</v>
      </c>
      <c r="AW605">
        <v>3</v>
      </c>
      <c r="AX605" t="s">
        <v>74</v>
      </c>
      <c r="AY605" t="s">
        <v>74</v>
      </c>
      <c r="AZ605" t="s">
        <v>74</v>
      </c>
      <c r="BA605" t="s">
        <v>74</v>
      </c>
      <c r="BB605">
        <v>203</v>
      </c>
      <c r="BC605">
        <v>210</v>
      </c>
      <c r="BD605" t="s">
        <v>74</v>
      </c>
      <c r="BE605" t="s">
        <v>11539</v>
      </c>
      <c r="BF605" t="str">
        <f>HYPERLINK("http://dx.doi.org/10.1086/BBLv226n3p203","http://dx.doi.org/10.1086/BBLv226n3p203")</f>
        <v>http://dx.doi.org/10.1086/BBLv226n3p203</v>
      </c>
      <c r="BG605" t="s">
        <v>74</v>
      </c>
      <c r="BH605" t="s">
        <v>74</v>
      </c>
      <c r="BI605">
        <v>8</v>
      </c>
      <c r="BJ605" t="s">
        <v>11540</v>
      </c>
      <c r="BK605" t="s">
        <v>102</v>
      </c>
      <c r="BL605" t="s">
        <v>11541</v>
      </c>
      <c r="BM605" t="s">
        <v>11542</v>
      </c>
      <c r="BN605">
        <v>25070865</v>
      </c>
      <c r="BO605" t="s">
        <v>74</v>
      </c>
      <c r="BP605" t="s">
        <v>74</v>
      </c>
      <c r="BQ605" t="s">
        <v>74</v>
      </c>
      <c r="BR605" t="s">
        <v>105</v>
      </c>
      <c r="BS605" t="s">
        <v>11543</v>
      </c>
      <c r="BT605" t="str">
        <f>HYPERLINK("https%3A%2F%2Fwww.webofscience.com%2Fwos%2Fwoscc%2Ffull-record%2FWOS:000341727200004","View Full Record in Web of Science")</f>
        <v>View Full Record in Web of Science</v>
      </c>
    </row>
    <row r="606" spans="1:72" x14ac:dyDescent="0.15">
      <c r="A606" t="s">
        <v>72</v>
      </c>
      <c r="B606" t="s">
        <v>11544</v>
      </c>
      <c r="C606" t="s">
        <v>74</v>
      </c>
      <c r="D606" t="s">
        <v>74</v>
      </c>
      <c r="E606" t="s">
        <v>74</v>
      </c>
      <c r="F606" t="s">
        <v>11545</v>
      </c>
      <c r="G606" t="s">
        <v>74</v>
      </c>
      <c r="H606" t="s">
        <v>74</v>
      </c>
      <c r="I606" t="s">
        <v>11546</v>
      </c>
      <c r="J606" t="s">
        <v>4008</v>
      </c>
      <c r="K606" t="s">
        <v>74</v>
      </c>
      <c r="L606" t="s">
        <v>74</v>
      </c>
      <c r="M606" t="s">
        <v>78</v>
      </c>
      <c r="N606" t="s">
        <v>79</v>
      </c>
      <c r="O606" t="s">
        <v>74</v>
      </c>
      <c r="P606" t="s">
        <v>74</v>
      </c>
      <c r="Q606" t="s">
        <v>74</v>
      </c>
      <c r="R606" t="s">
        <v>74</v>
      </c>
      <c r="S606" t="s">
        <v>74</v>
      </c>
      <c r="T606" t="s">
        <v>74</v>
      </c>
      <c r="U606" t="s">
        <v>11547</v>
      </c>
      <c r="V606" t="s">
        <v>11548</v>
      </c>
      <c r="W606" t="s">
        <v>11549</v>
      </c>
      <c r="X606" t="s">
        <v>11550</v>
      </c>
      <c r="Y606" t="s">
        <v>11551</v>
      </c>
      <c r="Z606" t="s">
        <v>11552</v>
      </c>
      <c r="AA606" t="s">
        <v>11553</v>
      </c>
      <c r="AB606" t="s">
        <v>11554</v>
      </c>
      <c r="AC606" t="s">
        <v>11555</v>
      </c>
      <c r="AD606" t="s">
        <v>11556</v>
      </c>
      <c r="AE606" t="s">
        <v>11557</v>
      </c>
      <c r="AF606" t="s">
        <v>74</v>
      </c>
      <c r="AG606">
        <v>82</v>
      </c>
      <c r="AH606">
        <v>14</v>
      </c>
      <c r="AI606">
        <v>15</v>
      </c>
      <c r="AJ606">
        <v>0</v>
      </c>
      <c r="AK606">
        <v>16</v>
      </c>
      <c r="AL606" t="s">
        <v>331</v>
      </c>
      <c r="AM606" t="s">
        <v>332</v>
      </c>
      <c r="AN606" t="s">
        <v>333</v>
      </c>
      <c r="AO606" t="s">
        <v>4021</v>
      </c>
      <c r="AP606" t="s">
        <v>4022</v>
      </c>
      <c r="AQ606" t="s">
        <v>74</v>
      </c>
      <c r="AR606" t="s">
        <v>4008</v>
      </c>
      <c r="AS606" t="s">
        <v>4023</v>
      </c>
      <c r="AT606" t="s">
        <v>11484</v>
      </c>
      <c r="AU606">
        <v>2014</v>
      </c>
      <c r="AV606">
        <v>29</v>
      </c>
      <c r="AW606">
        <v>6</v>
      </c>
      <c r="AX606" t="s">
        <v>74</v>
      </c>
      <c r="AY606" t="s">
        <v>74</v>
      </c>
      <c r="AZ606" t="s">
        <v>74</v>
      </c>
      <c r="BA606" t="s">
        <v>74</v>
      </c>
      <c r="BB606">
        <v>595</v>
      </c>
      <c r="BC606">
        <v>611</v>
      </c>
      <c r="BD606" t="s">
        <v>74</v>
      </c>
      <c r="BE606" t="s">
        <v>11558</v>
      </c>
      <c r="BF606" t="str">
        <f>HYPERLINK("http://dx.doi.org/10.1002/2013PA002584","http://dx.doi.org/10.1002/2013PA002584")</f>
        <v>http://dx.doi.org/10.1002/2013PA002584</v>
      </c>
      <c r="BG606" t="s">
        <v>74</v>
      </c>
      <c r="BH606" t="s">
        <v>74</v>
      </c>
      <c r="BI606">
        <v>17</v>
      </c>
      <c r="BJ606" t="s">
        <v>4025</v>
      </c>
      <c r="BK606" t="s">
        <v>102</v>
      </c>
      <c r="BL606" t="s">
        <v>4026</v>
      </c>
      <c r="BM606" t="s">
        <v>11559</v>
      </c>
      <c r="BN606" t="s">
        <v>74</v>
      </c>
      <c r="BO606" t="s">
        <v>4003</v>
      </c>
      <c r="BP606" t="s">
        <v>74</v>
      </c>
      <c r="BQ606" t="s">
        <v>74</v>
      </c>
      <c r="BR606" t="s">
        <v>105</v>
      </c>
      <c r="BS606" t="s">
        <v>11560</v>
      </c>
      <c r="BT606" t="str">
        <f>HYPERLINK("https%3A%2F%2Fwww.webofscience.com%2Fwos%2Fwoscc%2Ffull-record%2FWOS:000340661100009","View Full Record in Web of Science")</f>
        <v>View Full Record in Web of Science</v>
      </c>
    </row>
    <row r="607" spans="1:72" x14ac:dyDescent="0.15">
      <c r="A607" t="s">
        <v>72</v>
      </c>
      <c r="B607" t="s">
        <v>11561</v>
      </c>
      <c r="C607" t="s">
        <v>74</v>
      </c>
      <c r="D607" t="s">
        <v>74</v>
      </c>
      <c r="E607" t="s">
        <v>74</v>
      </c>
      <c r="F607" t="s">
        <v>11562</v>
      </c>
      <c r="G607" t="s">
        <v>74</v>
      </c>
      <c r="H607" t="s">
        <v>74</v>
      </c>
      <c r="I607" t="s">
        <v>11563</v>
      </c>
      <c r="J607" t="s">
        <v>2115</v>
      </c>
      <c r="K607" t="s">
        <v>74</v>
      </c>
      <c r="L607" t="s">
        <v>74</v>
      </c>
      <c r="M607" t="s">
        <v>78</v>
      </c>
      <c r="N607" t="s">
        <v>79</v>
      </c>
      <c r="O607" t="s">
        <v>74</v>
      </c>
      <c r="P607" t="s">
        <v>74</v>
      </c>
      <c r="Q607" t="s">
        <v>74</v>
      </c>
      <c r="R607" t="s">
        <v>74</v>
      </c>
      <c r="S607" t="s">
        <v>74</v>
      </c>
      <c r="T607" t="s">
        <v>74</v>
      </c>
      <c r="U607" t="s">
        <v>11564</v>
      </c>
      <c r="V607" t="s">
        <v>11565</v>
      </c>
      <c r="W607" t="s">
        <v>11566</v>
      </c>
      <c r="X607" t="s">
        <v>11567</v>
      </c>
      <c r="Y607" t="s">
        <v>11568</v>
      </c>
      <c r="Z607" t="s">
        <v>11569</v>
      </c>
      <c r="AA607" t="s">
        <v>11570</v>
      </c>
      <c r="AB607" t="s">
        <v>11571</v>
      </c>
      <c r="AC607" t="s">
        <v>11572</v>
      </c>
      <c r="AD607" t="s">
        <v>11573</v>
      </c>
      <c r="AE607" t="s">
        <v>11574</v>
      </c>
      <c r="AF607" t="s">
        <v>74</v>
      </c>
      <c r="AG607">
        <v>73</v>
      </c>
      <c r="AH607">
        <v>20</v>
      </c>
      <c r="AI607">
        <v>22</v>
      </c>
      <c r="AJ607">
        <v>1</v>
      </c>
      <c r="AK607">
        <v>39</v>
      </c>
      <c r="AL607" t="s">
        <v>331</v>
      </c>
      <c r="AM607" t="s">
        <v>332</v>
      </c>
      <c r="AN607" t="s">
        <v>333</v>
      </c>
      <c r="AO607" t="s">
        <v>2126</v>
      </c>
      <c r="AP607" t="s">
        <v>2127</v>
      </c>
      <c r="AQ607" t="s">
        <v>74</v>
      </c>
      <c r="AR607" t="s">
        <v>2128</v>
      </c>
      <c r="AS607" t="s">
        <v>2129</v>
      </c>
      <c r="AT607" t="s">
        <v>11484</v>
      </c>
      <c r="AU607">
        <v>2014</v>
      </c>
      <c r="AV607">
        <v>119</v>
      </c>
      <c r="AW607">
        <v>6</v>
      </c>
      <c r="AX607" t="s">
        <v>74</v>
      </c>
      <c r="AY607" t="s">
        <v>74</v>
      </c>
      <c r="AZ607" t="s">
        <v>74</v>
      </c>
      <c r="BA607" t="s">
        <v>74</v>
      </c>
      <c r="BB607">
        <v>1216</v>
      </c>
      <c r="BC607">
        <v>1230</v>
      </c>
      <c r="BD607" t="s">
        <v>74</v>
      </c>
      <c r="BE607" t="s">
        <v>11575</v>
      </c>
      <c r="BF607" t="str">
        <f>HYPERLINK("http://dx.doi.org/10.1002/2013JG002587","http://dx.doi.org/10.1002/2013JG002587")</f>
        <v>http://dx.doi.org/10.1002/2013JG002587</v>
      </c>
      <c r="BG607" t="s">
        <v>74</v>
      </c>
      <c r="BH607" t="s">
        <v>74</v>
      </c>
      <c r="BI607">
        <v>15</v>
      </c>
      <c r="BJ607" t="s">
        <v>2131</v>
      </c>
      <c r="BK607" t="s">
        <v>102</v>
      </c>
      <c r="BL607" t="s">
        <v>2132</v>
      </c>
      <c r="BM607" t="s">
        <v>11576</v>
      </c>
      <c r="BN607" t="s">
        <v>74</v>
      </c>
      <c r="BO607" t="s">
        <v>827</v>
      </c>
      <c r="BP607" t="s">
        <v>74</v>
      </c>
      <c r="BQ607" t="s">
        <v>74</v>
      </c>
      <c r="BR607" t="s">
        <v>105</v>
      </c>
      <c r="BS607" t="s">
        <v>11577</v>
      </c>
      <c r="BT607" t="str">
        <f>HYPERLINK("https%3A%2F%2Fwww.webofscience.com%2Fwos%2Fwoscc%2Ffull-record%2FWOS:000340542300011","View Full Record in Web of Science")</f>
        <v>View Full Record in Web of Science</v>
      </c>
    </row>
    <row r="608" spans="1:72" x14ac:dyDescent="0.15">
      <c r="A608" t="s">
        <v>72</v>
      </c>
      <c r="B608" t="s">
        <v>11578</v>
      </c>
      <c r="C608" t="s">
        <v>74</v>
      </c>
      <c r="D608" t="s">
        <v>74</v>
      </c>
      <c r="E608" t="s">
        <v>74</v>
      </c>
      <c r="F608" t="s">
        <v>11579</v>
      </c>
      <c r="G608" t="s">
        <v>74</v>
      </c>
      <c r="H608" t="s">
        <v>74</v>
      </c>
      <c r="I608" t="s">
        <v>11580</v>
      </c>
      <c r="J608" t="s">
        <v>1951</v>
      </c>
      <c r="K608" t="s">
        <v>74</v>
      </c>
      <c r="L608" t="s">
        <v>74</v>
      </c>
      <c r="M608" t="s">
        <v>78</v>
      </c>
      <c r="N608" t="s">
        <v>79</v>
      </c>
      <c r="O608" t="s">
        <v>74</v>
      </c>
      <c r="P608" t="s">
        <v>74</v>
      </c>
      <c r="Q608" t="s">
        <v>74</v>
      </c>
      <c r="R608" t="s">
        <v>74</v>
      </c>
      <c r="S608" t="s">
        <v>74</v>
      </c>
      <c r="T608" t="s">
        <v>74</v>
      </c>
      <c r="U608" t="s">
        <v>11581</v>
      </c>
      <c r="V608" t="s">
        <v>11582</v>
      </c>
      <c r="W608" t="s">
        <v>11583</v>
      </c>
      <c r="X608" t="s">
        <v>11584</v>
      </c>
      <c r="Y608" t="s">
        <v>11585</v>
      </c>
      <c r="Z608" t="s">
        <v>11586</v>
      </c>
      <c r="AA608" t="s">
        <v>11587</v>
      </c>
      <c r="AB608" t="s">
        <v>11588</v>
      </c>
      <c r="AC608" t="s">
        <v>11589</v>
      </c>
      <c r="AD608" t="s">
        <v>11590</v>
      </c>
      <c r="AE608" t="s">
        <v>11591</v>
      </c>
      <c r="AF608" t="s">
        <v>74</v>
      </c>
      <c r="AG608">
        <v>81</v>
      </c>
      <c r="AH608">
        <v>13</v>
      </c>
      <c r="AI608">
        <v>16</v>
      </c>
      <c r="AJ608">
        <v>0</v>
      </c>
      <c r="AK608">
        <v>19</v>
      </c>
      <c r="AL608" t="s">
        <v>331</v>
      </c>
      <c r="AM608" t="s">
        <v>332</v>
      </c>
      <c r="AN608" t="s">
        <v>333</v>
      </c>
      <c r="AO608" t="s">
        <v>1963</v>
      </c>
      <c r="AP608" t="s">
        <v>1964</v>
      </c>
      <c r="AQ608" t="s">
        <v>74</v>
      </c>
      <c r="AR608" t="s">
        <v>1965</v>
      </c>
      <c r="AS608" t="s">
        <v>1966</v>
      </c>
      <c r="AT608" t="s">
        <v>11484</v>
      </c>
      <c r="AU608">
        <v>2014</v>
      </c>
      <c r="AV608">
        <v>119</v>
      </c>
      <c r="AW608">
        <v>6</v>
      </c>
      <c r="AX608" t="s">
        <v>74</v>
      </c>
      <c r="AY608" t="s">
        <v>74</v>
      </c>
      <c r="AZ608" t="s">
        <v>74</v>
      </c>
      <c r="BA608" t="s">
        <v>74</v>
      </c>
      <c r="BB608">
        <v>3235</v>
      </c>
      <c r="BC608">
        <v>3248</v>
      </c>
      <c r="BD608" t="s">
        <v>74</v>
      </c>
      <c r="BE608" t="s">
        <v>11592</v>
      </c>
      <c r="BF608" t="str">
        <f>HYPERLINK("http://dx.doi.org/10.1002/2014JC009819","http://dx.doi.org/10.1002/2014JC009819")</f>
        <v>http://dx.doi.org/10.1002/2014JC009819</v>
      </c>
      <c r="BG608" t="s">
        <v>74</v>
      </c>
      <c r="BH608" t="s">
        <v>74</v>
      </c>
      <c r="BI608">
        <v>14</v>
      </c>
      <c r="BJ608" t="s">
        <v>152</v>
      </c>
      <c r="BK608" t="s">
        <v>102</v>
      </c>
      <c r="BL608" t="s">
        <v>152</v>
      </c>
      <c r="BM608" t="s">
        <v>11593</v>
      </c>
      <c r="BN608" t="s">
        <v>74</v>
      </c>
      <c r="BO608" t="s">
        <v>179</v>
      </c>
      <c r="BP608" t="s">
        <v>74</v>
      </c>
      <c r="BQ608" t="s">
        <v>74</v>
      </c>
      <c r="BR608" t="s">
        <v>105</v>
      </c>
      <c r="BS608" t="s">
        <v>11594</v>
      </c>
      <c r="BT608" t="str">
        <f>HYPERLINK("https%3A%2F%2Fwww.webofscience.com%2Fwos%2Fwoscc%2Ffull-record%2FWOS:000340414800001","View Full Record in Web of Science")</f>
        <v>View Full Record in Web of Science</v>
      </c>
    </row>
    <row r="609" spans="1:72" x14ac:dyDescent="0.15">
      <c r="A609" t="s">
        <v>72</v>
      </c>
      <c r="B609" t="s">
        <v>11595</v>
      </c>
      <c r="C609" t="s">
        <v>74</v>
      </c>
      <c r="D609" t="s">
        <v>74</v>
      </c>
      <c r="E609" t="s">
        <v>74</v>
      </c>
      <c r="F609" t="s">
        <v>11596</v>
      </c>
      <c r="G609" t="s">
        <v>74</v>
      </c>
      <c r="H609" t="s">
        <v>74</v>
      </c>
      <c r="I609" t="s">
        <v>11597</v>
      </c>
      <c r="J609" t="s">
        <v>1951</v>
      </c>
      <c r="K609" t="s">
        <v>74</v>
      </c>
      <c r="L609" t="s">
        <v>74</v>
      </c>
      <c r="M609" t="s">
        <v>78</v>
      </c>
      <c r="N609" t="s">
        <v>79</v>
      </c>
      <c r="O609" t="s">
        <v>74</v>
      </c>
      <c r="P609" t="s">
        <v>74</v>
      </c>
      <c r="Q609" t="s">
        <v>74</v>
      </c>
      <c r="R609" t="s">
        <v>74</v>
      </c>
      <c r="S609" t="s">
        <v>74</v>
      </c>
      <c r="T609" t="s">
        <v>74</v>
      </c>
      <c r="U609" t="s">
        <v>11598</v>
      </c>
      <c r="V609" t="s">
        <v>11599</v>
      </c>
      <c r="W609" t="s">
        <v>11600</v>
      </c>
      <c r="X609" t="s">
        <v>11601</v>
      </c>
      <c r="Y609" t="s">
        <v>11602</v>
      </c>
      <c r="Z609" t="s">
        <v>11603</v>
      </c>
      <c r="AA609" t="s">
        <v>11604</v>
      </c>
      <c r="AB609" t="s">
        <v>74</v>
      </c>
      <c r="AC609" t="s">
        <v>11605</v>
      </c>
      <c r="AD609" t="s">
        <v>11606</v>
      </c>
      <c r="AE609" t="s">
        <v>11607</v>
      </c>
      <c r="AF609" t="s">
        <v>74</v>
      </c>
      <c r="AG609">
        <v>61</v>
      </c>
      <c r="AH609">
        <v>50</v>
      </c>
      <c r="AI609">
        <v>54</v>
      </c>
      <c r="AJ609">
        <v>3</v>
      </c>
      <c r="AK609">
        <v>33</v>
      </c>
      <c r="AL609" t="s">
        <v>331</v>
      </c>
      <c r="AM609" t="s">
        <v>332</v>
      </c>
      <c r="AN609" t="s">
        <v>333</v>
      </c>
      <c r="AO609" t="s">
        <v>1963</v>
      </c>
      <c r="AP609" t="s">
        <v>1964</v>
      </c>
      <c r="AQ609" t="s">
        <v>74</v>
      </c>
      <c r="AR609" t="s">
        <v>1965</v>
      </c>
      <c r="AS609" t="s">
        <v>1966</v>
      </c>
      <c r="AT609" t="s">
        <v>11484</v>
      </c>
      <c r="AU609">
        <v>2014</v>
      </c>
      <c r="AV609">
        <v>119</v>
      </c>
      <c r="AW609">
        <v>6</v>
      </c>
      <c r="AX609" t="s">
        <v>74</v>
      </c>
      <c r="AY609" t="s">
        <v>74</v>
      </c>
      <c r="AZ609" t="s">
        <v>74</v>
      </c>
      <c r="BA609" t="s">
        <v>74</v>
      </c>
      <c r="BB609">
        <v>3574</v>
      </c>
      <c r="BC609">
        <v>3594</v>
      </c>
      <c r="BD609" t="s">
        <v>74</v>
      </c>
      <c r="BE609" t="s">
        <v>11608</v>
      </c>
      <c r="BF609" t="str">
        <f>HYPERLINK("http://dx.doi.org/10.1002/2013JC009749","http://dx.doi.org/10.1002/2013JC009749")</f>
        <v>http://dx.doi.org/10.1002/2013JC009749</v>
      </c>
      <c r="BG609" t="s">
        <v>74</v>
      </c>
      <c r="BH609" t="s">
        <v>74</v>
      </c>
      <c r="BI609">
        <v>21</v>
      </c>
      <c r="BJ609" t="s">
        <v>152</v>
      </c>
      <c r="BK609" t="s">
        <v>102</v>
      </c>
      <c r="BL609" t="s">
        <v>152</v>
      </c>
      <c r="BM609" t="s">
        <v>11593</v>
      </c>
      <c r="BN609" t="s">
        <v>74</v>
      </c>
      <c r="BO609" t="s">
        <v>179</v>
      </c>
      <c r="BP609" t="s">
        <v>74</v>
      </c>
      <c r="BQ609" t="s">
        <v>74</v>
      </c>
      <c r="BR609" t="s">
        <v>105</v>
      </c>
      <c r="BS609" t="s">
        <v>11609</v>
      </c>
      <c r="BT609" t="str">
        <f>HYPERLINK("https%3A%2F%2Fwww.webofscience.com%2Fwos%2Fwoscc%2Ffull-record%2FWOS:000340414800020","View Full Record in Web of Science")</f>
        <v>View Full Record in Web of Science</v>
      </c>
    </row>
    <row r="610" spans="1:72" x14ac:dyDescent="0.15">
      <c r="A610" t="s">
        <v>72</v>
      </c>
      <c r="B610" t="s">
        <v>11610</v>
      </c>
      <c r="C610" t="s">
        <v>74</v>
      </c>
      <c r="D610" t="s">
        <v>74</v>
      </c>
      <c r="E610" t="s">
        <v>74</v>
      </c>
      <c r="F610" t="s">
        <v>11611</v>
      </c>
      <c r="G610" t="s">
        <v>74</v>
      </c>
      <c r="H610" t="s">
        <v>74</v>
      </c>
      <c r="I610" t="s">
        <v>11612</v>
      </c>
      <c r="J610" t="s">
        <v>1951</v>
      </c>
      <c r="K610" t="s">
        <v>74</v>
      </c>
      <c r="L610" t="s">
        <v>74</v>
      </c>
      <c r="M610" t="s">
        <v>78</v>
      </c>
      <c r="N610" t="s">
        <v>79</v>
      </c>
      <c r="O610" t="s">
        <v>74</v>
      </c>
      <c r="P610" t="s">
        <v>74</v>
      </c>
      <c r="Q610" t="s">
        <v>74</v>
      </c>
      <c r="R610" t="s">
        <v>74</v>
      </c>
      <c r="S610" t="s">
        <v>74</v>
      </c>
      <c r="T610" t="s">
        <v>74</v>
      </c>
      <c r="U610" t="s">
        <v>11613</v>
      </c>
      <c r="V610" t="s">
        <v>11614</v>
      </c>
      <c r="W610" t="s">
        <v>11615</v>
      </c>
      <c r="X610" t="s">
        <v>11616</v>
      </c>
      <c r="Y610" t="s">
        <v>11617</v>
      </c>
      <c r="Z610" t="s">
        <v>11618</v>
      </c>
      <c r="AA610" t="s">
        <v>74</v>
      </c>
      <c r="AB610" t="s">
        <v>11619</v>
      </c>
      <c r="AC610" t="s">
        <v>11620</v>
      </c>
      <c r="AD610" t="s">
        <v>11621</v>
      </c>
      <c r="AE610" t="s">
        <v>11622</v>
      </c>
      <c r="AF610" t="s">
        <v>74</v>
      </c>
      <c r="AG610">
        <v>129</v>
      </c>
      <c r="AH610">
        <v>44</v>
      </c>
      <c r="AI610">
        <v>47</v>
      </c>
      <c r="AJ610">
        <v>1</v>
      </c>
      <c r="AK610">
        <v>49</v>
      </c>
      <c r="AL610" t="s">
        <v>331</v>
      </c>
      <c r="AM610" t="s">
        <v>332</v>
      </c>
      <c r="AN610" t="s">
        <v>333</v>
      </c>
      <c r="AO610" t="s">
        <v>1963</v>
      </c>
      <c r="AP610" t="s">
        <v>1964</v>
      </c>
      <c r="AQ610" t="s">
        <v>74</v>
      </c>
      <c r="AR610" t="s">
        <v>1965</v>
      </c>
      <c r="AS610" t="s">
        <v>1966</v>
      </c>
      <c r="AT610" t="s">
        <v>11484</v>
      </c>
      <c r="AU610">
        <v>2014</v>
      </c>
      <c r="AV610">
        <v>119</v>
      </c>
      <c r="AW610">
        <v>6</v>
      </c>
      <c r="AX610" t="s">
        <v>74</v>
      </c>
      <c r="AY610" t="s">
        <v>74</v>
      </c>
      <c r="AZ610" t="s">
        <v>74</v>
      </c>
      <c r="BA610" t="s">
        <v>74</v>
      </c>
      <c r="BB610">
        <v>3645</v>
      </c>
      <c r="BC610">
        <v>3678</v>
      </c>
      <c r="BD610" t="s">
        <v>74</v>
      </c>
      <c r="BE610" t="s">
        <v>11623</v>
      </c>
      <c r="BF610" t="str">
        <f>HYPERLINK("http://dx.doi.org/10.1002/2013JC009677","http://dx.doi.org/10.1002/2013JC009677")</f>
        <v>http://dx.doi.org/10.1002/2013JC009677</v>
      </c>
      <c r="BG610" t="s">
        <v>74</v>
      </c>
      <c r="BH610" t="s">
        <v>74</v>
      </c>
      <c r="BI610">
        <v>34</v>
      </c>
      <c r="BJ610" t="s">
        <v>152</v>
      </c>
      <c r="BK610" t="s">
        <v>102</v>
      </c>
      <c r="BL610" t="s">
        <v>152</v>
      </c>
      <c r="BM610" t="s">
        <v>11593</v>
      </c>
      <c r="BN610" t="s">
        <v>74</v>
      </c>
      <c r="BO610" t="s">
        <v>179</v>
      </c>
      <c r="BP610" t="s">
        <v>74</v>
      </c>
      <c r="BQ610" t="s">
        <v>74</v>
      </c>
      <c r="BR610" t="s">
        <v>105</v>
      </c>
      <c r="BS610" t="s">
        <v>11624</v>
      </c>
      <c r="BT610" t="str">
        <f>HYPERLINK("https%3A%2F%2Fwww.webofscience.com%2Fwos%2Fwoscc%2Ffull-record%2FWOS:000340414800024","View Full Record in Web of Science")</f>
        <v>View Full Record in Web of Science</v>
      </c>
    </row>
    <row r="611" spans="1:72" x14ac:dyDescent="0.15">
      <c r="A611" t="s">
        <v>72</v>
      </c>
      <c r="B611" t="s">
        <v>11625</v>
      </c>
      <c r="C611" t="s">
        <v>74</v>
      </c>
      <c r="D611" t="s">
        <v>74</v>
      </c>
      <c r="E611" t="s">
        <v>74</v>
      </c>
      <c r="F611" t="s">
        <v>11626</v>
      </c>
      <c r="G611" t="s">
        <v>74</v>
      </c>
      <c r="H611" t="s">
        <v>74</v>
      </c>
      <c r="I611" t="s">
        <v>11627</v>
      </c>
      <c r="J611" t="s">
        <v>1951</v>
      </c>
      <c r="K611" t="s">
        <v>74</v>
      </c>
      <c r="L611" t="s">
        <v>74</v>
      </c>
      <c r="M611" t="s">
        <v>78</v>
      </c>
      <c r="N611" t="s">
        <v>79</v>
      </c>
      <c r="O611" t="s">
        <v>74</v>
      </c>
      <c r="P611" t="s">
        <v>74</v>
      </c>
      <c r="Q611" t="s">
        <v>74</v>
      </c>
      <c r="R611" t="s">
        <v>74</v>
      </c>
      <c r="S611" t="s">
        <v>74</v>
      </c>
      <c r="T611" t="s">
        <v>74</v>
      </c>
      <c r="U611" t="s">
        <v>11628</v>
      </c>
      <c r="V611" t="s">
        <v>11629</v>
      </c>
      <c r="W611" t="s">
        <v>11630</v>
      </c>
      <c r="X611" t="s">
        <v>11631</v>
      </c>
      <c r="Y611" t="s">
        <v>11632</v>
      </c>
      <c r="Z611" t="s">
        <v>11633</v>
      </c>
      <c r="AA611" t="s">
        <v>5827</v>
      </c>
      <c r="AB611" t="s">
        <v>11634</v>
      </c>
      <c r="AC611" t="s">
        <v>11635</v>
      </c>
      <c r="AD611" t="s">
        <v>11636</v>
      </c>
      <c r="AE611" t="s">
        <v>11637</v>
      </c>
      <c r="AF611" t="s">
        <v>74</v>
      </c>
      <c r="AG611">
        <v>34</v>
      </c>
      <c r="AH611">
        <v>33</v>
      </c>
      <c r="AI611">
        <v>35</v>
      </c>
      <c r="AJ611">
        <v>0</v>
      </c>
      <c r="AK611">
        <v>11</v>
      </c>
      <c r="AL611" t="s">
        <v>331</v>
      </c>
      <c r="AM611" t="s">
        <v>332</v>
      </c>
      <c r="AN611" t="s">
        <v>333</v>
      </c>
      <c r="AO611" t="s">
        <v>1963</v>
      </c>
      <c r="AP611" t="s">
        <v>1964</v>
      </c>
      <c r="AQ611" t="s">
        <v>74</v>
      </c>
      <c r="AR611" t="s">
        <v>1965</v>
      </c>
      <c r="AS611" t="s">
        <v>1966</v>
      </c>
      <c r="AT611" t="s">
        <v>11484</v>
      </c>
      <c r="AU611">
        <v>2014</v>
      </c>
      <c r="AV611">
        <v>119</v>
      </c>
      <c r="AW611">
        <v>6</v>
      </c>
      <c r="AX611" t="s">
        <v>74</v>
      </c>
      <c r="AY611" t="s">
        <v>74</v>
      </c>
      <c r="AZ611" t="s">
        <v>74</v>
      </c>
      <c r="BA611" t="s">
        <v>74</v>
      </c>
      <c r="BB611">
        <v>3818</v>
      </c>
      <c r="BC611">
        <v>3833</v>
      </c>
      <c r="BD611" t="s">
        <v>74</v>
      </c>
      <c r="BE611" t="s">
        <v>11638</v>
      </c>
      <c r="BF611" t="str">
        <f>HYPERLINK("http://dx.doi.org/10.1002/2013JC009556","http://dx.doi.org/10.1002/2013JC009556")</f>
        <v>http://dx.doi.org/10.1002/2013JC009556</v>
      </c>
      <c r="BG611" t="s">
        <v>74</v>
      </c>
      <c r="BH611" t="s">
        <v>74</v>
      </c>
      <c r="BI611">
        <v>16</v>
      </c>
      <c r="BJ611" t="s">
        <v>152</v>
      </c>
      <c r="BK611" t="s">
        <v>102</v>
      </c>
      <c r="BL611" t="s">
        <v>152</v>
      </c>
      <c r="BM611" t="s">
        <v>11593</v>
      </c>
      <c r="BN611" t="s">
        <v>74</v>
      </c>
      <c r="BO611" t="s">
        <v>179</v>
      </c>
      <c r="BP611" t="s">
        <v>74</v>
      </c>
      <c r="BQ611" t="s">
        <v>74</v>
      </c>
      <c r="BR611" t="s">
        <v>105</v>
      </c>
      <c r="BS611" t="s">
        <v>11639</v>
      </c>
      <c r="BT611" t="str">
        <f>HYPERLINK("https%3A%2F%2Fwww.webofscience.com%2Fwos%2Fwoscc%2Ffull-record%2FWOS:000340414800033","View Full Record in Web of Science")</f>
        <v>View Full Record in Web of Science</v>
      </c>
    </row>
    <row r="612" spans="1:72" x14ac:dyDescent="0.15">
      <c r="A612" t="s">
        <v>72</v>
      </c>
      <c r="B612" t="s">
        <v>11640</v>
      </c>
      <c r="C612" t="s">
        <v>74</v>
      </c>
      <c r="D612" t="s">
        <v>74</v>
      </c>
      <c r="E612" t="s">
        <v>74</v>
      </c>
      <c r="F612" t="s">
        <v>11641</v>
      </c>
      <c r="G612" t="s">
        <v>74</v>
      </c>
      <c r="H612" t="s">
        <v>74</v>
      </c>
      <c r="I612" t="s">
        <v>11642</v>
      </c>
      <c r="J612" t="s">
        <v>1951</v>
      </c>
      <c r="K612" t="s">
        <v>74</v>
      </c>
      <c r="L612" t="s">
        <v>74</v>
      </c>
      <c r="M612" t="s">
        <v>78</v>
      </c>
      <c r="N612" t="s">
        <v>79</v>
      </c>
      <c r="O612" t="s">
        <v>74</v>
      </c>
      <c r="P612" t="s">
        <v>74</v>
      </c>
      <c r="Q612" t="s">
        <v>74</v>
      </c>
      <c r="R612" t="s">
        <v>74</v>
      </c>
      <c r="S612" t="s">
        <v>74</v>
      </c>
      <c r="T612" t="s">
        <v>74</v>
      </c>
      <c r="U612" t="s">
        <v>11643</v>
      </c>
      <c r="V612" t="s">
        <v>11644</v>
      </c>
      <c r="W612" t="s">
        <v>11645</v>
      </c>
      <c r="X612" t="s">
        <v>1993</v>
      </c>
      <c r="Y612" t="s">
        <v>11646</v>
      </c>
      <c r="Z612" t="s">
        <v>11647</v>
      </c>
      <c r="AA612" t="s">
        <v>11648</v>
      </c>
      <c r="AB612" t="s">
        <v>11649</v>
      </c>
      <c r="AC612" t="s">
        <v>11650</v>
      </c>
      <c r="AD612" t="s">
        <v>11651</v>
      </c>
      <c r="AE612" t="s">
        <v>11652</v>
      </c>
      <c r="AF612" t="s">
        <v>74</v>
      </c>
      <c r="AG612">
        <v>75</v>
      </c>
      <c r="AH612">
        <v>33</v>
      </c>
      <c r="AI612">
        <v>35</v>
      </c>
      <c r="AJ612">
        <v>1</v>
      </c>
      <c r="AK612">
        <v>26</v>
      </c>
      <c r="AL612" t="s">
        <v>331</v>
      </c>
      <c r="AM612" t="s">
        <v>332</v>
      </c>
      <c r="AN612" t="s">
        <v>333</v>
      </c>
      <c r="AO612" t="s">
        <v>74</v>
      </c>
      <c r="AP612" t="s">
        <v>1964</v>
      </c>
      <c r="AQ612" t="s">
        <v>74</v>
      </c>
      <c r="AR612" t="s">
        <v>1965</v>
      </c>
      <c r="AS612" t="s">
        <v>1966</v>
      </c>
      <c r="AT612" t="s">
        <v>11484</v>
      </c>
      <c r="AU612">
        <v>2014</v>
      </c>
      <c r="AV612">
        <v>119</v>
      </c>
      <c r="AW612">
        <v>6</v>
      </c>
      <c r="AX612" t="s">
        <v>74</v>
      </c>
      <c r="AY612" t="s">
        <v>74</v>
      </c>
      <c r="AZ612" t="s">
        <v>74</v>
      </c>
      <c r="BA612" t="s">
        <v>74</v>
      </c>
      <c r="BB612">
        <v>3883</v>
      </c>
      <c r="BC612">
        <v>3908</v>
      </c>
      <c r="BD612" t="s">
        <v>74</v>
      </c>
      <c r="BE612" t="s">
        <v>11653</v>
      </c>
      <c r="BF612" t="str">
        <f>HYPERLINK("http://dx.doi.org/10.1002/2014JC009935","http://dx.doi.org/10.1002/2014JC009935")</f>
        <v>http://dx.doi.org/10.1002/2014JC009935</v>
      </c>
      <c r="BG612" t="s">
        <v>74</v>
      </c>
      <c r="BH612" t="s">
        <v>74</v>
      </c>
      <c r="BI612">
        <v>26</v>
      </c>
      <c r="BJ612" t="s">
        <v>152</v>
      </c>
      <c r="BK612" t="s">
        <v>102</v>
      </c>
      <c r="BL612" t="s">
        <v>152</v>
      </c>
      <c r="BM612" t="s">
        <v>11593</v>
      </c>
      <c r="BN612" t="s">
        <v>74</v>
      </c>
      <c r="BO612" t="s">
        <v>179</v>
      </c>
      <c r="BP612" t="s">
        <v>74</v>
      </c>
      <c r="BQ612" t="s">
        <v>74</v>
      </c>
      <c r="BR612" t="s">
        <v>105</v>
      </c>
      <c r="BS612" t="s">
        <v>11654</v>
      </c>
      <c r="BT612" t="str">
        <f>HYPERLINK("https%3A%2F%2Fwww.webofscience.com%2Fwos%2Fwoscc%2Ffull-record%2FWOS:000340414800037","View Full Record in Web of Science")</f>
        <v>View Full Record in Web of Science</v>
      </c>
    </row>
    <row r="613" spans="1:72" x14ac:dyDescent="0.15">
      <c r="A613" t="s">
        <v>72</v>
      </c>
      <c r="B613" t="s">
        <v>11655</v>
      </c>
      <c r="C613" t="s">
        <v>74</v>
      </c>
      <c r="D613" t="s">
        <v>74</v>
      </c>
      <c r="E613" t="s">
        <v>74</v>
      </c>
      <c r="F613" t="s">
        <v>11656</v>
      </c>
      <c r="G613" t="s">
        <v>74</v>
      </c>
      <c r="H613" t="s">
        <v>74</v>
      </c>
      <c r="I613" t="s">
        <v>11657</v>
      </c>
      <c r="J613" t="s">
        <v>1951</v>
      </c>
      <c r="K613" t="s">
        <v>74</v>
      </c>
      <c r="L613" t="s">
        <v>74</v>
      </c>
      <c r="M613" t="s">
        <v>78</v>
      </c>
      <c r="N613" t="s">
        <v>79</v>
      </c>
      <c r="O613" t="s">
        <v>74</v>
      </c>
      <c r="P613" t="s">
        <v>74</v>
      </c>
      <c r="Q613" t="s">
        <v>74</v>
      </c>
      <c r="R613" t="s">
        <v>74</v>
      </c>
      <c r="S613" t="s">
        <v>74</v>
      </c>
      <c r="T613" t="s">
        <v>74</v>
      </c>
      <c r="U613" t="s">
        <v>11658</v>
      </c>
      <c r="V613" t="s">
        <v>11659</v>
      </c>
      <c r="W613" t="s">
        <v>11660</v>
      </c>
      <c r="X613" t="s">
        <v>11661</v>
      </c>
      <c r="Y613" t="s">
        <v>11662</v>
      </c>
      <c r="Z613" t="s">
        <v>11663</v>
      </c>
      <c r="AA613" t="s">
        <v>11664</v>
      </c>
      <c r="AB613" t="s">
        <v>11665</v>
      </c>
      <c r="AC613" t="s">
        <v>11666</v>
      </c>
      <c r="AD613" t="s">
        <v>11667</v>
      </c>
      <c r="AE613" t="s">
        <v>11668</v>
      </c>
      <c r="AF613" t="s">
        <v>74</v>
      </c>
      <c r="AG613">
        <v>51</v>
      </c>
      <c r="AH613">
        <v>21</v>
      </c>
      <c r="AI613">
        <v>22</v>
      </c>
      <c r="AJ613">
        <v>0</v>
      </c>
      <c r="AK613">
        <v>32</v>
      </c>
      <c r="AL613" t="s">
        <v>331</v>
      </c>
      <c r="AM613" t="s">
        <v>332</v>
      </c>
      <c r="AN613" t="s">
        <v>333</v>
      </c>
      <c r="AO613" t="s">
        <v>1963</v>
      </c>
      <c r="AP613" t="s">
        <v>1964</v>
      </c>
      <c r="AQ613" t="s">
        <v>74</v>
      </c>
      <c r="AR613" t="s">
        <v>1965</v>
      </c>
      <c r="AS613" t="s">
        <v>1966</v>
      </c>
      <c r="AT613" t="s">
        <v>11484</v>
      </c>
      <c r="AU613">
        <v>2014</v>
      </c>
      <c r="AV613">
        <v>119</v>
      </c>
      <c r="AW613">
        <v>6</v>
      </c>
      <c r="AX613" t="s">
        <v>74</v>
      </c>
      <c r="AY613" t="s">
        <v>74</v>
      </c>
      <c r="AZ613" t="s">
        <v>74</v>
      </c>
      <c r="BA613" t="s">
        <v>74</v>
      </c>
      <c r="BB613">
        <v>3948</v>
      </c>
      <c r="BC613">
        <v>3966</v>
      </c>
      <c r="BD613" t="s">
        <v>74</v>
      </c>
      <c r="BE613" t="s">
        <v>11669</v>
      </c>
      <c r="BF613" t="str">
        <f>HYPERLINK("http://dx.doi.org/10.1002/2013JC009670","http://dx.doi.org/10.1002/2013JC009670")</f>
        <v>http://dx.doi.org/10.1002/2013JC009670</v>
      </c>
      <c r="BG613" t="s">
        <v>74</v>
      </c>
      <c r="BH613" t="s">
        <v>74</v>
      </c>
      <c r="BI613">
        <v>19</v>
      </c>
      <c r="BJ613" t="s">
        <v>152</v>
      </c>
      <c r="BK613" t="s">
        <v>102</v>
      </c>
      <c r="BL613" t="s">
        <v>152</v>
      </c>
      <c r="BM613" t="s">
        <v>11593</v>
      </c>
      <c r="BN613" t="s">
        <v>74</v>
      </c>
      <c r="BO613" t="s">
        <v>827</v>
      </c>
      <c r="BP613" t="s">
        <v>74</v>
      </c>
      <c r="BQ613" t="s">
        <v>74</v>
      </c>
      <c r="BR613" t="s">
        <v>105</v>
      </c>
      <c r="BS613" t="s">
        <v>11670</v>
      </c>
      <c r="BT613" t="str">
        <f>HYPERLINK("https%3A%2F%2Fwww.webofscience.com%2Fwos%2Fwoscc%2Ffull-record%2FWOS:000340414800040","View Full Record in Web of Science")</f>
        <v>View Full Record in Web of Science</v>
      </c>
    </row>
    <row r="614" spans="1:72" x14ac:dyDescent="0.15">
      <c r="A614" t="s">
        <v>72</v>
      </c>
      <c r="B614" t="s">
        <v>11671</v>
      </c>
      <c r="C614" t="s">
        <v>74</v>
      </c>
      <c r="D614" t="s">
        <v>74</v>
      </c>
      <c r="E614" t="s">
        <v>74</v>
      </c>
      <c r="F614" t="s">
        <v>11672</v>
      </c>
      <c r="G614" t="s">
        <v>74</v>
      </c>
      <c r="H614" t="s">
        <v>74</v>
      </c>
      <c r="I614" t="s">
        <v>11673</v>
      </c>
      <c r="J614" t="s">
        <v>1951</v>
      </c>
      <c r="K614" t="s">
        <v>74</v>
      </c>
      <c r="L614" t="s">
        <v>74</v>
      </c>
      <c r="M614" t="s">
        <v>78</v>
      </c>
      <c r="N614" t="s">
        <v>79</v>
      </c>
      <c r="O614" t="s">
        <v>74</v>
      </c>
      <c r="P614" t="s">
        <v>74</v>
      </c>
      <c r="Q614" t="s">
        <v>74</v>
      </c>
      <c r="R614" t="s">
        <v>74</v>
      </c>
      <c r="S614" t="s">
        <v>74</v>
      </c>
      <c r="T614" t="s">
        <v>74</v>
      </c>
      <c r="U614" t="s">
        <v>11674</v>
      </c>
      <c r="V614" t="s">
        <v>11675</v>
      </c>
      <c r="W614" t="s">
        <v>11676</v>
      </c>
      <c r="X614" t="s">
        <v>8171</v>
      </c>
      <c r="Y614" t="s">
        <v>11677</v>
      </c>
      <c r="Z614" t="s">
        <v>11678</v>
      </c>
      <c r="AA614" t="s">
        <v>11679</v>
      </c>
      <c r="AB614" t="s">
        <v>11680</v>
      </c>
      <c r="AC614" t="s">
        <v>11681</v>
      </c>
      <c r="AD614" t="s">
        <v>11682</v>
      </c>
      <c r="AE614" t="s">
        <v>11683</v>
      </c>
      <c r="AF614" t="s">
        <v>74</v>
      </c>
      <c r="AG614">
        <v>93</v>
      </c>
      <c r="AH614">
        <v>14</v>
      </c>
      <c r="AI614">
        <v>14</v>
      </c>
      <c r="AJ614">
        <v>0</v>
      </c>
      <c r="AK614">
        <v>34</v>
      </c>
      <c r="AL614" t="s">
        <v>331</v>
      </c>
      <c r="AM614" t="s">
        <v>332</v>
      </c>
      <c r="AN614" t="s">
        <v>333</v>
      </c>
      <c r="AO614" t="s">
        <v>1963</v>
      </c>
      <c r="AP614" t="s">
        <v>1964</v>
      </c>
      <c r="AQ614" t="s">
        <v>74</v>
      </c>
      <c r="AR614" t="s">
        <v>1965</v>
      </c>
      <c r="AS614" t="s">
        <v>1966</v>
      </c>
      <c r="AT614" t="s">
        <v>11484</v>
      </c>
      <c r="AU614">
        <v>2014</v>
      </c>
      <c r="AV614">
        <v>119</v>
      </c>
      <c r="AW614">
        <v>6</v>
      </c>
      <c r="AX614" t="s">
        <v>74</v>
      </c>
      <c r="AY614" t="s">
        <v>74</v>
      </c>
      <c r="AZ614" t="s">
        <v>74</v>
      </c>
      <c r="BA614" t="s">
        <v>74</v>
      </c>
      <c r="BB614">
        <v>4001</v>
      </c>
      <c r="BC614">
        <v>4028</v>
      </c>
      <c r="BD614" t="s">
        <v>74</v>
      </c>
      <c r="BE614" t="s">
        <v>11684</v>
      </c>
      <c r="BF614" t="str">
        <f>HYPERLINK("http://dx.doi.org/10.1002/2013JC009355","http://dx.doi.org/10.1002/2013JC009355")</f>
        <v>http://dx.doi.org/10.1002/2013JC009355</v>
      </c>
      <c r="BG614" t="s">
        <v>74</v>
      </c>
      <c r="BH614" t="s">
        <v>74</v>
      </c>
      <c r="BI614">
        <v>28</v>
      </c>
      <c r="BJ614" t="s">
        <v>152</v>
      </c>
      <c r="BK614" t="s">
        <v>102</v>
      </c>
      <c r="BL614" t="s">
        <v>152</v>
      </c>
      <c r="BM614" t="s">
        <v>11593</v>
      </c>
      <c r="BN614" t="s">
        <v>74</v>
      </c>
      <c r="BO614" t="s">
        <v>289</v>
      </c>
      <c r="BP614" t="s">
        <v>74</v>
      </c>
      <c r="BQ614" t="s">
        <v>74</v>
      </c>
      <c r="BR614" t="s">
        <v>105</v>
      </c>
      <c r="BS614" t="s">
        <v>11685</v>
      </c>
      <c r="BT614" t="str">
        <f>HYPERLINK("https%3A%2F%2Fwww.webofscience.com%2Fwos%2Fwoscc%2Ffull-record%2FWOS:000340414800043","View Full Record in Web of Science")</f>
        <v>View Full Record in Web of Science</v>
      </c>
    </row>
    <row r="615" spans="1:72" x14ac:dyDescent="0.15">
      <c r="A615" t="s">
        <v>72</v>
      </c>
      <c r="B615" t="s">
        <v>11686</v>
      </c>
      <c r="C615" t="s">
        <v>74</v>
      </c>
      <c r="D615" t="s">
        <v>74</v>
      </c>
      <c r="E615" t="s">
        <v>74</v>
      </c>
      <c r="F615" t="s">
        <v>11687</v>
      </c>
      <c r="G615" t="s">
        <v>74</v>
      </c>
      <c r="H615" t="s">
        <v>74</v>
      </c>
      <c r="I615" t="s">
        <v>11688</v>
      </c>
      <c r="J615" t="s">
        <v>6918</v>
      </c>
      <c r="K615" t="s">
        <v>74</v>
      </c>
      <c r="L615" t="s">
        <v>74</v>
      </c>
      <c r="M615" t="s">
        <v>78</v>
      </c>
      <c r="N615" t="s">
        <v>79</v>
      </c>
      <c r="O615" t="s">
        <v>74</v>
      </c>
      <c r="P615" t="s">
        <v>74</v>
      </c>
      <c r="Q615" t="s">
        <v>74</v>
      </c>
      <c r="R615" t="s">
        <v>74</v>
      </c>
      <c r="S615" t="s">
        <v>74</v>
      </c>
      <c r="T615" t="s">
        <v>74</v>
      </c>
      <c r="U615" t="s">
        <v>11689</v>
      </c>
      <c r="V615" t="s">
        <v>11690</v>
      </c>
      <c r="W615" t="s">
        <v>11691</v>
      </c>
      <c r="X615" t="s">
        <v>11692</v>
      </c>
      <c r="Y615" t="s">
        <v>11693</v>
      </c>
      <c r="Z615" t="s">
        <v>74</v>
      </c>
      <c r="AA615" t="s">
        <v>11694</v>
      </c>
      <c r="AB615" t="s">
        <v>11695</v>
      </c>
      <c r="AC615" t="s">
        <v>11696</v>
      </c>
      <c r="AD615" t="s">
        <v>11697</v>
      </c>
      <c r="AE615" t="s">
        <v>11698</v>
      </c>
      <c r="AF615" t="s">
        <v>74</v>
      </c>
      <c r="AG615">
        <v>37</v>
      </c>
      <c r="AH615">
        <v>50</v>
      </c>
      <c r="AI615">
        <v>60</v>
      </c>
      <c r="AJ615">
        <v>0</v>
      </c>
      <c r="AK615">
        <v>25</v>
      </c>
      <c r="AL615" t="s">
        <v>1937</v>
      </c>
      <c r="AM615" t="s">
        <v>1938</v>
      </c>
      <c r="AN615" t="s">
        <v>1939</v>
      </c>
      <c r="AO615" t="s">
        <v>6929</v>
      </c>
      <c r="AP615" t="s">
        <v>6930</v>
      </c>
      <c r="AQ615" t="s">
        <v>74</v>
      </c>
      <c r="AR615" t="s">
        <v>6918</v>
      </c>
      <c r="AS615" t="s">
        <v>686</v>
      </c>
      <c r="AT615" t="s">
        <v>11484</v>
      </c>
      <c r="AU615">
        <v>2014</v>
      </c>
      <c r="AV615">
        <v>42</v>
      </c>
      <c r="AW615">
        <v>6</v>
      </c>
      <c r="AX615" t="s">
        <v>74</v>
      </c>
      <c r="AY615" t="s">
        <v>74</v>
      </c>
      <c r="AZ615" t="s">
        <v>74</v>
      </c>
      <c r="BA615" t="s">
        <v>74</v>
      </c>
      <c r="BB615">
        <v>487</v>
      </c>
      <c r="BC615">
        <v>490</v>
      </c>
      <c r="BD615" t="s">
        <v>74</v>
      </c>
      <c r="BE615" t="s">
        <v>11699</v>
      </c>
      <c r="BF615" t="str">
        <f>HYPERLINK("http://dx.doi.org/10.1130/G35492.1","http://dx.doi.org/10.1130/G35492.1")</f>
        <v>http://dx.doi.org/10.1130/G35492.1</v>
      </c>
      <c r="BG615" t="s">
        <v>74</v>
      </c>
      <c r="BH615" t="s">
        <v>74</v>
      </c>
      <c r="BI615">
        <v>4</v>
      </c>
      <c r="BJ615" t="s">
        <v>686</v>
      </c>
      <c r="BK615" t="s">
        <v>102</v>
      </c>
      <c r="BL615" t="s">
        <v>686</v>
      </c>
      <c r="BM615" t="s">
        <v>11700</v>
      </c>
      <c r="BN615" t="s">
        <v>74</v>
      </c>
      <c r="BO615" t="s">
        <v>74</v>
      </c>
      <c r="BP615" t="s">
        <v>74</v>
      </c>
      <c r="BQ615" t="s">
        <v>74</v>
      </c>
      <c r="BR615" t="s">
        <v>105</v>
      </c>
      <c r="BS615" t="s">
        <v>11701</v>
      </c>
      <c r="BT615" t="str">
        <f>HYPERLINK("https%3A%2F%2Fwww.webofscience.com%2Fwos%2Fwoscc%2Ffull-record%2FWOS:000339961100009","View Full Record in Web of Science")</f>
        <v>View Full Record in Web of Science</v>
      </c>
    </row>
    <row r="616" spans="1:72" x14ac:dyDescent="0.15">
      <c r="A616" t="s">
        <v>72</v>
      </c>
      <c r="B616" t="s">
        <v>11702</v>
      </c>
      <c r="C616" t="s">
        <v>74</v>
      </c>
      <c r="D616" t="s">
        <v>74</v>
      </c>
      <c r="E616" t="s">
        <v>74</v>
      </c>
      <c r="F616" t="s">
        <v>11703</v>
      </c>
      <c r="G616" t="s">
        <v>74</v>
      </c>
      <c r="H616" t="s">
        <v>74</v>
      </c>
      <c r="I616" t="s">
        <v>11704</v>
      </c>
      <c r="J616" t="s">
        <v>6978</v>
      </c>
      <c r="K616" t="s">
        <v>74</v>
      </c>
      <c r="L616" t="s">
        <v>74</v>
      </c>
      <c r="M616" t="s">
        <v>78</v>
      </c>
      <c r="N616" t="s">
        <v>79</v>
      </c>
      <c r="O616" t="s">
        <v>74</v>
      </c>
      <c r="P616" t="s">
        <v>74</v>
      </c>
      <c r="Q616" t="s">
        <v>74</v>
      </c>
      <c r="R616" t="s">
        <v>74</v>
      </c>
      <c r="S616" t="s">
        <v>74</v>
      </c>
      <c r="T616" t="s">
        <v>74</v>
      </c>
      <c r="U616" t="s">
        <v>11705</v>
      </c>
      <c r="V616" t="s">
        <v>11706</v>
      </c>
      <c r="W616" t="s">
        <v>11707</v>
      </c>
      <c r="X616" t="s">
        <v>11708</v>
      </c>
      <c r="Y616" t="s">
        <v>11709</v>
      </c>
      <c r="Z616" t="s">
        <v>11710</v>
      </c>
      <c r="AA616" t="s">
        <v>11711</v>
      </c>
      <c r="AB616" t="s">
        <v>11712</v>
      </c>
      <c r="AC616" t="s">
        <v>11713</v>
      </c>
      <c r="AD616" t="s">
        <v>6397</v>
      </c>
      <c r="AE616" t="s">
        <v>11714</v>
      </c>
      <c r="AF616" t="s">
        <v>74</v>
      </c>
      <c r="AG616">
        <v>33</v>
      </c>
      <c r="AH616">
        <v>22</v>
      </c>
      <c r="AI616">
        <v>22</v>
      </c>
      <c r="AJ616">
        <v>0</v>
      </c>
      <c r="AK616">
        <v>26</v>
      </c>
      <c r="AL616" t="s">
        <v>11715</v>
      </c>
      <c r="AM616" t="s">
        <v>654</v>
      </c>
      <c r="AN616" t="s">
        <v>11716</v>
      </c>
      <c r="AO616" t="s">
        <v>6993</v>
      </c>
      <c r="AP616" t="s">
        <v>6994</v>
      </c>
      <c r="AQ616" t="s">
        <v>74</v>
      </c>
      <c r="AR616" t="s">
        <v>6995</v>
      </c>
      <c r="AS616" t="s">
        <v>6996</v>
      </c>
      <c r="AT616" t="s">
        <v>11484</v>
      </c>
      <c r="AU616">
        <v>2014</v>
      </c>
      <c r="AV616">
        <v>64</v>
      </c>
      <c r="AW616" t="s">
        <v>74</v>
      </c>
      <c r="AX616">
        <v>6</v>
      </c>
      <c r="AY616" t="s">
        <v>74</v>
      </c>
      <c r="AZ616" t="s">
        <v>74</v>
      </c>
      <c r="BA616" t="s">
        <v>74</v>
      </c>
      <c r="BB616">
        <v>2034</v>
      </c>
      <c r="BC616">
        <v>2040</v>
      </c>
      <c r="BD616" t="s">
        <v>74</v>
      </c>
      <c r="BE616" t="s">
        <v>11717</v>
      </c>
      <c r="BF616" t="str">
        <f>HYPERLINK("http://dx.doi.org/10.1099/ijs.0.050005-0","http://dx.doi.org/10.1099/ijs.0.050005-0")</f>
        <v>http://dx.doi.org/10.1099/ijs.0.050005-0</v>
      </c>
      <c r="BG616" t="s">
        <v>74</v>
      </c>
      <c r="BH616" t="s">
        <v>74</v>
      </c>
      <c r="BI616">
        <v>7</v>
      </c>
      <c r="BJ616" t="s">
        <v>1012</v>
      </c>
      <c r="BK616" t="s">
        <v>102</v>
      </c>
      <c r="BL616" t="s">
        <v>1012</v>
      </c>
      <c r="BM616" t="s">
        <v>11718</v>
      </c>
      <c r="BN616">
        <v>24651306</v>
      </c>
      <c r="BO616" t="s">
        <v>179</v>
      </c>
      <c r="BP616" t="s">
        <v>74</v>
      </c>
      <c r="BQ616" t="s">
        <v>74</v>
      </c>
      <c r="BR616" t="s">
        <v>105</v>
      </c>
      <c r="BS616" t="s">
        <v>11719</v>
      </c>
      <c r="BT616" t="str">
        <f>HYPERLINK("https%3A%2F%2Fwww.webofscience.com%2Fwos%2Fwoscc%2Ffull-record%2FWOS:000340019200031","View Full Record in Web of Science")</f>
        <v>View Full Record in Web of Science</v>
      </c>
    </row>
    <row r="617" spans="1:72" x14ac:dyDescent="0.15">
      <c r="A617" t="s">
        <v>72</v>
      </c>
      <c r="B617" t="s">
        <v>11720</v>
      </c>
      <c r="C617" t="s">
        <v>74</v>
      </c>
      <c r="D617" t="s">
        <v>74</v>
      </c>
      <c r="E617" t="s">
        <v>74</v>
      </c>
      <c r="F617" t="s">
        <v>11721</v>
      </c>
      <c r="G617" t="s">
        <v>74</v>
      </c>
      <c r="H617" t="s">
        <v>74</v>
      </c>
      <c r="I617" t="s">
        <v>11722</v>
      </c>
      <c r="J617" t="s">
        <v>11723</v>
      </c>
      <c r="K617" t="s">
        <v>74</v>
      </c>
      <c r="L617" t="s">
        <v>74</v>
      </c>
      <c r="M617" t="s">
        <v>78</v>
      </c>
      <c r="N617" t="s">
        <v>11724</v>
      </c>
      <c r="O617" t="s">
        <v>74</v>
      </c>
      <c r="P617" t="s">
        <v>74</v>
      </c>
      <c r="Q617" t="s">
        <v>74</v>
      </c>
      <c r="R617" t="s">
        <v>74</v>
      </c>
      <c r="S617" t="s">
        <v>74</v>
      </c>
      <c r="T617" t="s">
        <v>74</v>
      </c>
      <c r="U617" t="s">
        <v>74</v>
      </c>
      <c r="V617" t="s">
        <v>11725</v>
      </c>
      <c r="W617" t="s">
        <v>11726</v>
      </c>
      <c r="X617" t="s">
        <v>11727</v>
      </c>
      <c r="Y617" t="s">
        <v>11728</v>
      </c>
      <c r="Z617" t="s">
        <v>11729</v>
      </c>
      <c r="AA617" t="s">
        <v>74</v>
      </c>
      <c r="AB617" t="s">
        <v>74</v>
      </c>
      <c r="AC617" t="s">
        <v>74</v>
      </c>
      <c r="AD617" t="s">
        <v>74</v>
      </c>
      <c r="AE617" t="s">
        <v>74</v>
      </c>
      <c r="AF617" t="s">
        <v>74</v>
      </c>
      <c r="AG617">
        <v>1</v>
      </c>
      <c r="AH617">
        <v>1</v>
      </c>
      <c r="AI617">
        <v>1</v>
      </c>
      <c r="AJ617">
        <v>0</v>
      </c>
      <c r="AK617">
        <v>1</v>
      </c>
      <c r="AL617" t="s">
        <v>11730</v>
      </c>
      <c r="AM617" t="s">
        <v>11731</v>
      </c>
      <c r="AN617" t="s">
        <v>11732</v>
      </c>
      <c r="AO617" t="s">
        <v>11733</v>
      </c>
      <c r="AP617" t="s">
        <v>11734</v>
      </c>
      <c r="AQ617" t="s">
        <v>74</v>
      </c>
      <c r="AR617" t="s">
        <v>11735</v>
      </c>
      <c r="AS617" t="s">
        <v>11736</v>
      </c>
      <c r="AT617" t="s">
        <v>11484</v>
      </c>
      <c r="AU617">
        <v>2014</v>
      </c>
      <c r="AV617">
        <v>25</v>
      </c>
      <c r="AW617">
        <v>1</v>
      </c>
      <c r="AX617" t="s">
        <v>74</v>
      </c>
      <c r="AY617" t="s">
        <v>74</v>
      </c>
      <c r="AZ617" t="s">
        <v>74</v>
      </c>
      <c r="BA617" t="s">
        <v>74</v>
      </c>
      <c r="BB617">
        <v>71</v>
      </c>
      <c r="BC617">
        <v>83</v>
      </c>
      <c r="BD617" t="s">
        <v>74</v>
      </c>
      <c r="BE617" t="s">
        <v>11737</v>
      </c>
      <c r="BF617" t="str">
        <f>HYPERLINK("http://dx.doi.org/10.1071/HR14008","http://dx.doi.org/10.1071/HR14008")</f>
        <v>http://dx.doi.org/10.1071/HR14008</v>
      </c>
      <c r="BG617" t="s">
        <v>74</v>
      </c>
      <c r="BH617" t="s">
        <v>74</v>
      </c>
      <c r="BI617">
        <v>13</v>
      </c>
      <c r="BJ617" t="s">
        <v>11738</v>
      </c>
      <c r="BK617" t="s">
        <v>8301</v>
      </c>
      <c r="BL617" t="s">
        <v>11739</v>
      </c>
      <c r="BM617" t="s">
        <v>11740</v>
      </c>
      <c r="BN617" t="s">
        <v>74</v>
      </c>
      <c r="BO617" t="s">
        <v>179</v>
      </c>
      <c r="BP617" t="s">
        <v>74</v>
      </c>
      <c r="BQ617" t="s">
        <v>74</v>
      </c>
      <c r="BR617" t="s">
        <v>105</v>
      </c>
      <c r="BS617" t="s">
        <v>11741</v>
      </c>
      <c r="BT617" t="str">
        <f>HYPERLINK("https%3A%2F%2Fwww.webofscience.com%2Fwos%2Fwoscc%2Ffull-record%2FWOS:000339759700006","View Full Record in Web of Science")</f>
        <v>View Full Record in Web of Science</v>
      </c>
    </row>
    <row r="618" spans="1:72" x14ac:dyDescent="0.15">
      <c r="A618" t="s">
        <v>72</v>
      </c>
      <c r="B618" t="s">
        <v>11742</v>
      </c>
      <c r="C618" t="s">
        <v>74</v>
      </c>
      <c r="D618" t="s">
        <v>74</v>
      </c>
      <c r="E618" t="s">
        <v>74</v>
      </c>
      <c r="F618" t="s">
        <v>11743</v>
      </c>
      <c r="G618" t="s">
        <v>74</v>
      </c>
      <c r="H618" t="s">
        <v>74</v>
      </c>
      <c r="I618" t="s">
        <v>11744</v>
      </c>
      <c r="J618" t="s">
        <v>11723</v>
      </c>
      <c r="K618" t="s">
        <v>74</v>
      </c>
      <c r="L618" t="s">
        <v>74</v>
      </c>
      <c r="M618" t="s">
        <v>78</v>
      </c>
      <c r="N618" t="s">
        <v>10405</v>
      </c>
      <c r="O618" t="s">
        <v>74</v>
      </c>
      <c r="P618" t="s">
        <v>74</v>
      </c>
      <c r="Q618" t="s">
        <v>74</v>
      </c>
      <c r="R618" t="s">
        <v>74</v>
      </c>
      <c r="S618" t="s">
        <v>74</v>
      </c>
      <c r="T618" t="s">
        <v>74</v>
      </c>
      <c r="U618" t="s">
        <v>74</v>
      </c>
      <c r="V618" t="s">
        <v>74</v>
      </c>
      <c r="W618" t="s">
        <v>11745</v>
      </c>
      <c r="X618" t="s">
        <v>11746</v>
      </c>
      <c r="Y618" t="s">
        <v>11747</v>
      </c>
      <c r="Z618" t="s">
        <v>74</v>
      </c>
      <c r="AA618" t="s">
        <v>74</v>
      </c>
      <c r="AB618" t="s">
        <v>74</v>
      </c>
      <c r="AC618" t="s">
        <v>74</v>
      </c>
      <c r="AD618" t="s">
        <v>74</v>
      </c>
      <c r="AE618" t="s">
        <v>74</v>
      </c>
      <c r="AF618" t="s">
        <v>74</v>
      </c>
      <c r="AG618">
        <v>1</v>
      </c>
      <c r="AH618">
        <v>0</v>
      </c>
      <c r="AI618">
        <v>0</v>
      </c>
      <c r="AJ618">
        <v>0</v>
      </c>
      <c r="AK618">
        <v>4</v>
      </c>
      <c r="AL618" t="s">
        <v>11730</v>
      </c>
      <c r="AM618" t="s">
        <v>11731</v>
      </c>
      <c r="AN618" t="s">
        <v>11732</v>
      </c>
      <c r="AO618" t="s">
        <v>11733</v>
      </c>
      <c r="AP618" t="s">
        <v>11734</v>
      </c>
      <c r="AQ618" t="s">
        <v>74</v>
      </c>
      <c r="AR618" t="s">
        <v>11735</v>
      </c>
      <c r="AS618" t="s">
        <v>11736</v>
      </c>
      <c r="AT618" t="s">
        <v>11484</v>
      </c>
      <c r="AU618">
        <v>2014</v>
      </c>
      <c r="AV618">
        <v>25</v>
      </c>
      <c r="AW618">
        <v>1</v>
      </c>
      <c r="AX618" t="s">
        <v>74</v>
      </c>
      <c r="AY618" t="s">
        <v>74</v>
      </c>
      <c r="AZ618" t="s">
        <v>74</v>
      </c>
      <c r="BA618" t="s">
        <v>74</v>
      </c>
      <c r="BB618">
        <v>114</v>
      </c>
      <c r="BC618">
        <v>115</v>
      </c>
      <c r="BD618" t="s">
        <v>74</v>
      </c>
      <c r="BE618" t="s">
        <v>74</v>
      </c>
      <c r="BF618" t="s">
        <v>74</v>
      </c>
      <c r="BG618" t="s">
        <v>74</v>
      </c>
      <c r="BH618" t="s">
        <v>74</v>
      </c>
      <c r="BI618">
        <v>2</v>
      </c>
      <c r="BJ618" t="s">
        <v>11738</v>
      </c>
      <c r="BK618" t="s">
        <v>8301</v>
      </c>
      <c r="BL618" t="s">
        <v>11739</v>
      </c>
      <c r="BM618" t="s">
        <v>11740</v>
      </c>
      <c r="BN618" t="s">
        <v>74</v>
      </c>
      <c r="BO618" t="s">
        <v>74</v>
      </c>
      <c r="BP618" t="s">
        <v>74</v>
      </c>
      <c r="BQ618" t="s">
        <v>74</v>
      </c>
      <c r="BR618" t="s">
        <v>105</v>
      </c>
      <c r="BS618" t="s">
        <v>11748</v>
      </c>
      <c r="BT618" t="str">
        <f>HYPERLINK("https%3A%2F%2Fwww.webofscience.com%2Fwos%2Fwoscc%2Ffull-record%2FWOS:000339759700011","View Full Record in Web of Science")</f>
        <v>View Full Record in Web of Science</v>
      </c>
    </row>
    <row r="619" spans="1:72" x14ac:dyDescent="0.15">
      <c r="A619" t="s">
        <v>72</v>
      </c>
      <c r="B619" t="s">
        <v>11749</v>
      </c>
      <c r="C619" t="s">
        <v>74</v>
      </c>
      <c r="D619" t="s">
        <v>74</v>
      </c>
      <c r="E619" t="s">
        <v>74</v>
      </c>
      <c r="F619" t="s">
        <v>11750</v>
      </c>
      <c r="G619" t="s">
        <v>74</v>
      </c>
      <c r="H619" t="s">
        <v>74</v>
      </c>
      <c r="I619" t="s">
        <v>11751</v>
      </c>
      <c r="J619" t="s">
        <v>318</v>
      </c>
      <c r="K619" t="s">
        <v>74</v>
      </c>
      <c r="L619" t="s">
        <v>74</v>
      </c>
      <c r="M619" t="s">
        <v>78</v>
      </c>
      <c r="N619" t="s">
        <v>79</v>
      </c>
      <c r="O619" t="s">
        <v>74</v>
      </c>
      <c r="P619" t="s">
        <v>74</v>
      </c>
      <c r="Q619" t="s">
        <v>74</v>
      </c>
      <c r="R619" t="s">
        <v>74</v>
      </c>
      <c r="S619" t="s">
        <v>74</v>
      </c>
      <c r="T619" t="s">
        <v>74</v>
      </c>
      <c r="U619" t="s">
        <v>11752</v>
      </c>
      <c r="V619" t="s">
        <v>11753</v>
      </c>
      <c r="W619" t="s">
        <v>11754</v>
      </c>
      <c r="X619" t="s">
        <v>11755</v>
      </c>
      <c r="Y619" t="s">
        <v>11756</v>
      </c>
      <c r="Z619" t="s">
        <v>11757</v>
      </c>
      <c r="AA619" t="s">
        <v>11758</v>
      </c>
      <c r="AB619" t="s">
        <v>11759</v>
      </c>
      <c r="AC619" t="s">
        <v>11760</v>
      </c>
      <c r="AD619" t="s">
        <v>11761</v>
      </c>
      <c r="AE619" t="s">
        <v>11762</v>
      </c>
      <c r="AF619" t="s">
        <v>74</v>
      </c>
      <c r="AG619">
        <v>27</v>
      </c>
      <c r="AH619">
        <v>12</v>
      </c>
      <c r="AI619">
        <v>12</v>
      </c>
      <c r="AJ619">
        <v>1</v>
      </c>
      <c r="AK619">
        <v>10</v>
      </c>
      <c r="AL619" t="s">
        <v>331</v>
      </c>
      <c r="AM619" t="s">
        <v>332</v>
      </c>
      <c r="AN619" t="s">
        <v>333</v>
      </c>
      <c r="AO619" t="s">
        <v>334</v>
      </c>
      <c r="AP619" t="s">
        <v>335</v>
      </c>
      <c r="AQ619" t="s">
        <v>74</v>
      </c>
      <c r="AR619" t="s">
        <v>336</v>
      </c>
      <c r="AS619" t="s">
        <v>337</v>
      </c>
      <c r="AT619" t="s">
        <v>11484</v>
      </c>
      <c r="AU619">
        <v>2014</v>
      </c>
      <c r="AV619">
        <v>119</v>
      </c>
      <c r="AW619">
        <v>6</v>
      </c>
      <c r="AX619" t="s">
        <v>74</v>
      </c>
      <c r="AY619" t="s">
        <v>74</v>
      </c>
      <c r="AZ619" t="s">
        <v>74</v>
      </c>
      <c r="BA619" t="s">
        <v>74</v>
      </c>
      <c r="BB619">
        <v>4758</v>
      </c>
      <c r="BC619">
        <v>4766</v>
      </c>
      <c r="BD619" t="s">
        <v>74</v>
      </c>
      <c r="BE619" t="s">
        <v>11763</v>
      </c>
      <c r="BF619" t="str">
        <f>HYPERLINK("http://dx.doi.org/10.1002/2013JA019670","http://dx.doi.org/10.1002/2013JA019670")</f>
        <v>http://dx.doi.org/10.1002/2013JA019670</v>
      </c>
      <c r="BG619" t="s">
        <v>74</v>
      </c>
      <c r="BH619" t="s">
        <v>74</v>
      </c>
      <c r="BI619">
        <v>9</v>
      </c>
      <c r="BJ619" t="s">
        <v>339</v>
      </c>
      <c r="BK619" t="s">
        <v>102</v>
      </c>
      <c r="BL619" t="s">
        <v>339</v>
      </c>
      <c r="BM619" t="s">
        <v>11764</v>
      </c>
      <c r="BN619" t="s">
        <v>74</v>
      </c>
      <c r="BO619" t="s">
        <v>179</v>
      </c>
      <c r="BP619" t="s">
        <v>74</v>
      </c>
      <c r="BQ619" t="s">
        <v>74</v>
      </c>
      <c r="BR619" t="s">
        <v>105</v>
      </c>
      <c r="BS619" t="s">
        <v>11765</v>
      </c>
      <c r="BT619" t="str">
        <f>HYPERLINK("https%3A%2F%2Fwww.webofscience.com%2Fwos%2Fwoscc%2Ffull-record%2FWOS:000339710300044","View Full Record in Web of Science")</f>
        <v>View Full Record in Web of Science</v>
      </c>
    </row>
    <row r="620" spans="1:72" x14ac:dyDescent="0.15">
      <c r="A620" t="s">
        <v>72</v>
      </c>
      <c r="B620" t="s">
        <v>11766</v>
      </c>
      <c r="C620" t="s">
        <v>74</v>
      </c>
      <c r="D620" t="s">
        <v>74</v>
      </c>
      <c r="E620" t="s">
        <v>74</v>
      </c>
      <c r="F620" t="s">
        <v>11767</v>
      </c>
      <c r="G620" t="s">
        <v>74</v>
      </c>
      <c r="H620" t="s">
        <v>74</v>
      </c>
      <c r="I620" t="s">
        <v>11768</v>
      </c>
      <c r="J620" t="s">
        <v>11769</v>
      </c>
      <c r="K620" t="s">
        <v>74</v>
      </c>
      <c r="L620" t="s">
        <v>74</v>
      </c>
      <c r="M620" t="s">
        <v>78</v>
      </c>
      <c r="N620" t="s">
        <v>79</v>
      </c>
      <c r="O620" t="s">
        <v>74</v>
      </c>
      <c r="P620" t="s">
        <v>74</v>
      </c>
      <c r="Q620" t="s">
        <v>74</v>
      </c>
      <c r="R620" t="s">
        <v>74</v>
      </c>
      <c r="S620" t="s">
        <v>74</v>
      </c>
      <c r="T620" t="s">
        <v>74</v>
      </c>
      <c r="U620" t="s">
        <v>74</v>
      </c>
      <c r="V620" t="s">
        <v>11770</v>
      </c>
      <c r="W620" t="s">
        <v>11771</v>
      </c>
      <c r="X620" t="s">
        <v>7080</v>
      </c>
      <c r="Y620" t="s">
        <v>11772</v>
      </c>
      <c r="Z620" t="s">
        <v>11773</v>
      </c>
      <c r="AA620" t="s">
        <v>11774</v>
      </c>
      <c r="AB620" t="s">
        <v>11775</v>
      </c>
      <c r="AC620" t="s">
        <v>74</v>
      </c>
      <c r="AD620" t="s">
        <v>74</v>
      </c>
      <c r="AE620" t="s">
        <v>74</v>
      </c>
      <c r="AF620" t="s">
        <v>74</v>
      </c>
      <c r="AG620">
        <v>12</v>
      </c>
      <c r="AH620">
        <v>2</v>
      </c>
      <c r="AI620">
        <v>2</v>
      </c>
      <c r="AJ620">
        <v>0</v>
      </c>
      <c r="AK620">
        <v>1</v>
      </c>
      <c r="AL620" t="s">
        <v>11776</v>
      </c>
      <c r="AM620" t="s">
        <v>576</v>
      </c>
      <c r="AN620" t="s">
        <v>11777</v>
      </c>
      <c r="AO620" t="s">
        <v>11778</v>
      </c>
      <c r="AP620" t="s">
        <v>11779</v>
      </c>
      <c r="AQ620" t="s">
        <v>74</v>
      </c>
      <c r="AR620" t="s">
        <v>11780</v>
      </c>
      <c r="AS620" t="s">
        <v>11781</v>
      </c>
      <c r="AT620" t="s">
        <v>11484</v>
      </c>
      <c r="AU620">
        <v>2014</v>
      </c>
      <c r="AV620">
        <v>39</v>
      </c>
      <c r="AW620">
        <v>6</v>
      </c>
      <c r="AX620" t="s">
        <v>74</v>
      </c>
      <c r="AY620" t="s">
        <v>74</v>
      </c>
      <c r="AZ620" t="s">
        <v>74</v>
      </c>
      <c r="BA620" t="s">
        <v>74</v>
      </c>
      <c r="BB620">
        <v>371</v>
      </c>
      <c r="BC620">
        <v>377</v>
      </c>
      <c r="BD620" t="s">
        <v>74</v>
      </c>
      <c r="BE620" t="s">
        <v>11782</v>
      </c>
      <c r="BF620" t="str">
        <f>HYPERLINK("http://dx.doi.org/10.3103/S1068373914060028","http://dx.doi.org/10.3103/S1068373914060028")</f>
        <v>http://dx.doi.org/10.3103/S1068373914060028</v>
      </c>
      <c r="BG620" t="s">
        <v>74</v>
      </c>
      <c r="BH620" t="s">
        <v>74</v>
      </c>
      <c r="BI620">
        <v>7</v>
      </c>
      <c r="BJ620" t="s">
        <v>177</v>
      </c>
      <c r="BK620" t="s">
        <v>102</v>
      </c>
      <c r="BL620" t="s">
        <v>177</v>
      </c>
      <c r="BM620" t="s">
        <v>11783</v>
      </c>
      <c r="BN620" t="s">
        <v>74</v>
      </c>
      <c r="BO620" t="s">
        <v>74</v>
      </c>
      <c r="BP620" t="s">
        <v>74</v>
      </c>
      <c r="BQ620" t="s">
        <v>74</v>
      </c>
      <c r="BR620" t="s">
        <v>105</v>
      </c>
      <c r="BS620" t="s">
        <v>11784</v>
      </c>
      <c r="BT620" t="str">
        <f>HYPERLINK("https%3A%2F%2Fwww.webofscience.com%2Fwos%2Fwoscc%2Ffull-record%2FWOS:000339899800002","View Full Record in Web of Science")</f>
        <v>View Full Record in Web of Science</v>
      </c>
    </row>
    <row r="621" spans="1:72" x14ac:dyDescent="0.15">
      <c r="A621" t="s">
        <v>72</v>
      </c>
      <c r="B621" t="s">
        <v>11785</v>
      </c>
      <c r="C621" t="s">
        <v>74</v>
      </c>
      <c r="D621" t="s">
        <v>74</v>
      </c>
      <c r="E621" t="s">
        <v>74</v>
      </c>
      <c r="F621" t="s">
        <v>11786</v>
      </c>
      <c r="G621" t="s">
        <v>74</v>
      </c>
      <c r="H621" t="s">
        <v>74</v>
      </c>
      <c r="I621" t="s">
        <v>11787</v>
      </c>
      <c r="J621" t="s">
        <v>11788</v>
      </c>
      <c r="K621" t="s">
        <v>74</v>
      </c>
      <c r="L621" t="s">
        <v>74</v>
      </c>
      <c r="M621" t="s">
        <v>78</v>
      </c>
      <c r="N621" t="s">
        <v>79</v>
      </c>
      <c r="O621" t="s">
        <v>74</v>
      </c>
      <c r="P621" t="s">
        <v>74</v>
      </c>
      <c r="Q621" t="s">
        <v>74</v>
      </c>
      <c r="R621" t="s">
        <v>74</v>
      </c>
      <c r="S621" t="s">
        <v>74</v>
      </c>
      <c r="T621" t="s">
        <v>74</v>
      </c>
      <c r="U621" t="s">
        <v>11789</v>
      </c>
      <c r="V621" t="s">
        <v>11790</v>
      </c>
      <c r="W621" t="s">
        <v>11791</v>
      </c>
      <c r="X621" t="s">
        <v>11792</v>
      </c>
      <c r="Y621" t="s">
        <v>11793</v>
      </c>
      <c r="Z621" t="s">
        <v>11794</v>
      </c>
      <c r="AA621" t="s">
        <v>11795</v>
      </c>
      <c r="AB621" t="s">
        <v>11796</v>
      </c>
      <c r="AC621" t="s">
        <v>74</v>
      </c>
      <c r="AD621" t="s">
        <v>74</v>
      </c>
      <c r="AE621" t="s">
        <v>74</v>
      </c>
      <c r="AF621" t="s">
        <v>74</v>
      </c>
      <c r="AG621">
        <v>31</v>
      </c>
      <c r="AH621">
        <v>11</v>
      </c>
      <c r="AI621">
        <v>12</v>
      </c>
      <c r="AJ621">
        <v>0</v>
      </c>
      <c r="AK621">
        <v>9</v>
      </c>
      <c r="AL621" t="s">
        <v>11797</v>
      </c>
      <c r="AM621" t="s">
        <v>11798</v>
      </c>
      <c r="AN621" t="s">
        <v>11799</v>
      </c>
      <c r="AO621" t="s">
        <v>11800</v>
      </c>
      <c r="AP621" t="s">
        <v>11801</v>
      </c>
      <c r="AQ621" t="s">
        <v>74</v>
      </c>
      <c r="AR621" t="s">
        <v>11802</v>
      </c>
      <c r="AS621" t="s">
        <v>11803</v>
      </c>
      <c r="AT621" t="s">
        <v>11484</v>
      </c>
      <c r="AU621">
        <v>2014</v>
      </c>
      <c r="AV621">
        <v>61</v>
      </c>
      <c r="AW621">
        <v>1</v>
      </c>
      <c r="AX621" t="s">
        <v>74</v>
      </c>
      <c r="AY621" t="s">
        <v>74</v>
      </c>
      <c r="AZ621" t="s">
        <v>74</v>
      </c>
      <c r="BA621" t="s">
        <v>74</v>
      </c>
      <c r="BB621">
        <v>145</v>
      </c>
      <c r="BC621">
        <v>152</v>
      </c>
      <c r="BD621" t="s">
        <v>74</v>
      </c>
      <c r="BE621" t="s">
        <v>11804</v>
      </c>
      <c r="BF621" t="str">
        <f>HYPERLINK("http://dx.doi.org/10.13157/arla.61.1.2014.145","http://dx.doi.org/10.13157/arla.61.1.2014.145")</f>
        <v>http://dx.doi.org/10.13157/arla.61.1.2014.145</v>
      </c>
      <c r="BG621" t="s">
        <v>74</v>
      </c>
      <c r="BH621" t="s">
        <v>74</v>
      </c>
      <c r="BI621">
        <v>8</v>
      </c>
      <c r="BJ621" t="s">
        <v>3319</v>
      </c>
      <c r="BK621" t="s">
        <v>102</v>
      </c>
      <c r="BL621" t="s">
        <v>1254</v>
      </c>
      <c r="BM621" t="s">
        <v>11805</v>
      </c>
      <c r="BN621" t="s">
        <v>74</v>
      </c>
      <c r="BO621" t="s">
        <v>1274</v>
      </c>
      <c r="BP621" t="s">
        <v>74</v>
      </c>
      <c r="BQ621" t="s">
        <v>74</v>
      </c>
      <c r="BR621" t="s">
        <v>105</v>
      </c>
      <c r="BS621" t="s">
        <v>11806</v>
      </c>
      <c r="BT621" t="str">
        <f>HYPERLINK("https%3A%2F%2Fwww.webofscience.com%2Fwos%2Fwoscc%2Ffull-record%2FWOS:000338749400012","View Full Record in Web of Science")</f>
        <v>View Full Record in Web of Science</v>
      </c>
    </row>
    <row r="622" spans="1:72" x14ac:dyDescent="0.15">
      <c r="A622" t="s">
        <v>72</v>
      </c>
      <c r="B622" t="s">
        <v>11807</v>
      </c>
      <c r="C622" t="s">
        <v>74</v>
      </c>
      <c r="D622" t="s">
        <v>74</v>
      </c>
      <c r="E622" t="s">
        <v>74</v>
      </c>
      <c r="F622" t="s">
        <v>11808</v>
      </c>
      <c r="G622" t="s">
        <v>74</v>
      </c>
      <c r="H622" t="s">
        <v>74</v>
      </c>
      <c r="I622" t="s">
        <v>11809</v>
      </c>
      <c r="J622" t="s">
        <v>11810</v>
      </c>
      <c r="K622" t="s">
        <v>74</v>
      </c>
      <c r="L622" t="s">
        <v>74</v>
      </c>
      <c r="M622" t="s">
        <v>78</v>
      </c>
      <c r="N622" t="s">
        <v>79</v>
      </c>
      <c r="O622" t="s">
        <v>74</v>
      </c>
      <c r="P622" t="s">
        <v>74</v>
      </c>
      <c r="Q622" t="s">
        <v>74</v>
      </c>
      <c r="R622" t="s">
        <v>74</v>
      </c>
      <c r="S622" t="s">
        <v>74</v>
      </c>
      <c r="T622" t="s">
        <v>11811</v>
      </c>
      <c r="U622" t="s">
        <v>11812</v>
      </c>
      <c r="V622" t="s">
        <v>11813</v>
      </c>
      <c r="W622" t="s">
        <v>11814</v>
      </c>
      <c r="X622" t="s">
        <v>8560</v>
      </c>
      <c r="Y622" t="s">
        <v>11815</v>
      </c>
      <c r="Z622" t="s">
        <v>8562</v>
      </c>
      <c r="AA622" t="s">
        <v>74</v>
      </c>
      <c r="AB622" t="s">
        <v>74</v>
      </c>
      <c r="AC622" t="s">
        <v>74</v>
      </c>
      <c r="AD622" t="s">
        <v>74</v>
      </c>
      <c r="AE622" t="s">
        <v>74</v>
      </c>
      <c r="AF622" t="s">
        <v>74</v>
      </c>
      <c r="AG622">
        <v>35</v>
      </c>
      <c r="AH622">
        <v>1</v>
      </c>
      <c r="AI622">
        <v>1</v>
      </c>
      <c r="AJ622">
        <v>0</v>
      </c>
      <c r="AK622">
        <v>15</v>
      </c>
      <c r="AL622" t="s">
        <v>11816</v>
      </c>
      <c r="AM622" t="s">
        <v>11817</v>
      </c>
      <c r="AN622" t="s">
        <v>11818</v>
      </c>
      <c r="AO622" t="s">
        <v>11819</v>
      </c>
      <c r="AP622" t="s">
        <v>74</v>
      </c>
      <c r="AQ622" t="s">
        <v>74</v>
      </c>
      <c r="AR622" t="s">
        <v>11820</v>
      </c>
      <c r="AS622" t="s">
        <v>11821</v>
      </c>
      <c r="AT622" t="s">
        <v>11484</v>
      </c>
      <c r="AU622">
        <v>2014</v>
      </c>
      <c r="AV622">
        <v>97</v>
      </c>
      <c r="AW622">
        <v>2</v>
      </c>
      <c r="AX622" t="s">
        <v>74</v>
      </c>
      <c r="AY622" t="s">
        <v>74</v>
      </c>
      <c r="AZ622" t="s">
        <v>74</v>
      </c>
      <c r="BA622" t="s">
        <v>74</v>
      </c>
      <c r="BB622">
        <v>131</v>
      </c>
      <c r="BC622">
        <v>137</v>
      </c>
      <c r="BD622" t="s">
        <v>74</v>
      </c>
      <c r="BE622" t="s">
        <v>74</v>
      </c>
      <c r="BF622" t="s">
        <v>74</v>
      </c>
      <c r="BG622" t="s">
        <v>74</v>
      </c>
      <c r="BH622" t="s">
        <v>74</v>
      </c>
      <c r="BI622">
        <v>7</v>
      </c>
      <c r="BJ622" t="s">
        <v>11822</v>
      </c>
      <c r="BK622" t="s">
        <v>102</v>
      </c>
      <c r="BL622" t="s">
        <v>2775</v>
      </c>
      <c r="BM622" t="s">
        <v>11823</v>
      </c>
      <c r="BN622" t="s">
        <v>74</v>
      </c>
      <c r="BO622" t="s">
        <v>74</v>
      </c>
      <c r="BP622" t="s">
        <v>74</v>
      </c>
      <c r="BQ622" t="s">
        <v>74</v>
      </c>
      <c r="BR622" t="s">
        <v>105</v>
      </c>
      <c r="BS622" t="s">
        <v>11824</v>
      </c>
      <c r="BT622" t="str">
        <f>HYPERLINK("https%3A%2F%2Fwww.webofscience.com%2Fwos%2Fwoscc%2Ffull-record%2FWOS:000338754500003","View Full Record in Web of Science")</f>
        <v>View Full Record in Web of Science</v>
      </c>
    </row>
    <row r="623" spans="1:72" x14ac:dyDescent="0.15">
      <c r="A623" t="s">
        <v>72</v>
      </c>
      <c r="B623" t="s">
        <v>11825</v>
      </c>
      <c r="C623" t="s">
        <v>74</v>
      </c>
      <c r="D623" t="s">
        <v>74</v>
      </c>
      <c r="E623" t="s">
        <v>74</v>
      </c>
      <c r="F623" t="s">
        <v>11826</v>
      </c>
      <c r="G623" t="s">
        <v>74</v>
      </c>
      <c r="H623" t="s">
        <v>74</v>
      </c>
      <c r="I623" t="s">
        <v>11827</v>
      </c>
      <c r="J623" t="s">
        <v>11828</v>
      </c>
      <c r="K623" t="s">
        <v>74</v>
      </c>
      <c r="L623" t="s">
        <v>74</v>
      </c>
      <c r="M623" t="s">
        <v>78</v>
      </c>
      <c r="N623" t="s">
        <v>79</v>
      </c>
      <c r="O623" t="s">
        <v>74</v>
      </c>
      <c r="P623" t="s">
        <v>74</v>
      </c>
      <c r="Q623" t="s">
        <v>74</v>
      </c>
      <c r="R623" t="s">
        <v>74</v>
      </c>
      <c r="S623" t="s">
        <v>74</v>
      </c>
      <c r="T623" t="s">
        <v>11829</v>
      </c>
      <c r="U623" t="s">
        <v>11830</v>
      </c>
      <c r="V623" t="s">
        <v>11831</v>
      </c>
      <c r="W623" t="s">
        <v>11832</v>
      </c>
      <c r="X623" t="s">
        <v>11833</v>
      </c>
      <c r="Y623" t="s">
        <v>11834</v>
      </c>
      <c r="Z623" t="s">
        <v>11835</v>
      </c>
      <c r="AA623" t="s">
        <v>74</v>
      </c>
      <c r="AB623" t="s">
        <v>74</v>
      </c>
      <c r="AC623" t="s">
        <v>11836</v>
      </c>
      <c r="AD623" t="s">
        <v>11837</v>
      </c>
      <c r="AE623" t="s">
        <v>11838</v>
      </c>
      <c r="AF623" t="s">
        <v>74</v>
      </c>
      <c r="AG623">
        <v>80</v>
      </c>
      <c r="AH623">
        <v>7</v>
      </c>
      <c r="AI623">
        <v>7</v>
      </c>
      <c r="AJ623">
        <v>1</v>
      </c>
      <c r="AK623">
        <v>23</v>
      </c>
      <c r="AL623" t="s">
        <v>11839</v>
      </c>
      <c r="AM623" t="s">
        <v>11840</v>
      </c>
      <c r="AN623" t="s">
        <v>11841</v>
      </c>
      <c r="AO623" t="s">
        <v>11842</v>
      </c>
      <c r="AP623" t="s">
        <v>11843</v>
      </c>
      <c r="AQ623" t="s">
        <v>74</v>
      </c>
      <c r="AR623" t="s">
        <v>11844</v>
      </c>
      <c r="AS623" t="s">
        <v>11845</v>
      </c>
      <c r="AT623" t="s">
        <v>11484</v>
      </c>
      <c r="AU623">
        <v>2014</v>
      </c>
      <c r="AV623">
        <v>78</v>
      </c>
      <c r="AW623">
        <v>2</v>
      </c>
      <c r="AX623" t="s">
        <v>74</v>
      </c>
      <c r="AY623" t="s">
        <v>74</v>
      </c>
      <c r="AZ623" t="s">
        <v>74</v>
      </c>
      <c r="BA623" t="s">
        <v>74</v>
      </c>
      <c r="BB623">
        <v>269</v>
      </c>
      <c r="BC623">
        <v>280</v>
      </c>
      <c r="BD623" t="s">
        <v>74</v>
      </c>
      <c r="BE623" t="s">
        <v>11846</v>
      </c>
      <c r="BF623" t="str">
        <f>HYPERLINK("http://dx.doi.org/10.3989/scimar.03882.26B","http://dx.doi.org/10.3989/scimar.03882.26B")</f>
        <v>http://dx.doi.org/10.3989/scimar.03882.26B</v>
      </c>
      <c r="BG623" t="s">
        <v>74</v>
      </c>
      <c r="BH623" t="s">
        <v>74</v>
      </c>
      <c r="BI623">
        <v>12</v>
      </c>
      <c r="BJ623" t="s">
        <v>130</v>
      </c>
      <c r="BK623" t="s">
        <v>102</v>
      </c>
      <c r="BL623" t="s">
        <v>130</v>
      </c>
      <c r="BM623" t="s">
        <v>11847</v>
      </c>
      <c r="BN623" t="s">
        <v>74</v>
      </c>
      <c r="BO623" t="s">
        <v>4836</v>
      </c>
      <c r="BP623" t="s">
        <v>74</v>
      </c>
      <c r="BQ623" t="s">
        <v>74</v>
      </c>
      <c r="BR623" t="s">
        <v>105</v>
      </c>
      <c r="BS623" t="s">
        <v>11848</v>
      </c>
      <c r="BT623" t="str">
        <f>HYPERLINK("https%3A%2F%2Fwww.webofscience.com%2Fwos%2Fwoscc%2Ffull-record%2FWOS:000338703400013","View Full Record in Web of Science")</f>
        <v>View Full Record in Web of Science</v>
      </c>
    </row>
    <row r="624" spans="1:72" x14ac:dyDescent="0.15">
      <c r="A624" t="s">
        <v>72</v>
      </c>
      <c r="B624" t="s">
        <v>11849</v>
      </c>
      <c r="C624" t="s">
        <v>74</v>
      </c>
      <c r="D624" t="s">
        <v>74</v>
      </c>
      <c r="E624" t="s">
        <v>74</v>
      </c>
      <c r="F624" t="s">
        <v>11850</v>
      </c>
      <c r="G624" t="s">
        <v>74</v>
      </c>
      <c r="H624" t="s">
        <v>74</v>
      </c>
      <c r="I624" t="s">
        <v>11851</v>
      </c>
      <c r="J624" t="s">
        <v>11852</v>
      </c>
      <c r="K624" t="s">
        <v>74</v>
      </c>
      <c r="L624" t="s">
        <v>74</v>
      </c>
      <c r="M624" t="s">
        <v>78</v>
      </c>
      <c r="N624" t="s">
        <v>79</v>
      </c>
      <c r="O624" t="s">
        <v>74</v>
      </c>
      <c r="P624" t="s">
        <v>74</v>
      </c>
      <c r="Q624" t="s">
        <v>74</v>
      </c>
      <c r="R624" t="s">
        <v>74</v>
      </c>
      <c r="S624" t="s">
        <v>74</v>
      </c>
      <c r="T624" t="s">
        <v>11853</v>
      </c>
      <c r="U624" t="s">
        <v>11854</v>
      </c>
      <c r="V624" t="s">
        <v>11855</v>
      </c>
      <c r="W624" t="s">
        <v>11856</v>
      </c>
      <c r="X624" t="s">
        <v>11857</v>
      </c>
      <c r="Y624" t="s">
        <v>11858</v>
      </c>
      <c r="Z624" t="s">
        <v>11859</v>
      </c>
      <c r="AA624" t="s">
        <v>11860</v>
      </c>
      <c r="AB624" t="s">
        <v>11861</v>
      </c>
      <c r="AC624" t="s">
        <v>11862</v>
      </c>
      <c r="AD624" t="s">
        <v>11863</v>
      </c>
      <c r="AE624" t="s">
        <v>11864</v>
      </c>
      <c r="AF624" t="s">
        <v>74</v>
      </c>
      <c r="AG624">
        <v>79</v>
      </c>
      <c r="AH624">
        <v>23</v>
      </c>
      <c r="AI624">
        <v>25</v>
      </c>
      <c r="AJ624">
        <v>4</v>
      </c>
      <c r="AK624">
        <v>60</v>
      </c>
      <c r="AL624" t="s">
        <v>196</v>
      </c>
      <c r="AM624" t="s">
        <v>197</v>
      </c>
      <c r="AN624" t="s">
        <v>198</v>
      </c>
      <c r="AO624" t="s">
        <v>74</v>
      </c>
      <c r="AP624" t="s">
        <v>11865</v>
      </c>
      <c r="AQ624" t="s">
        <v>74</v>
      </c>
      <c r="AR624" t="s">
        <v>11866</v>
      </c>
      <c r="AS624" t="s">
        <v>11867</v>
      </c>
      <c r="AT624" t="s">
        <v>11484</v>
      </c>
      <c r="AU624">
        <v>2014</v>
      </c>
      <c r="AV624">
        <v>6</v>
      </c>
      <c r="AW624">
        <v>6</v>
      </c>
      <c r="AX624" t="s">
        <v>74</v>
      </c>
      <c r="AY624" t="s">
        <v>74</v>
      </c>
      <c r="AZ624" t="s">
        <v>74</v>
      </c>
      <c r="BA624" t="s">
        <v>74</v>
      </c>
      <c r="BB624">
        <v>1840</v>
      </c>
      <c r="BC624">
        <v>1859</v>
      </c>
      <c r="BD624" t="s">
        <v>74</v>
      </c>
      <c r="BE624" t="s">
        <v>11868</v>
      </c>
      <c r="BF624" t="str">
        <f>HYPERLINK("http://dx.doi.org/10.3390/w6061840","http://dx.doi.org/10.3390/w6061840")</f>
        <v>http://dx.doi.org/10.3390/w6061840</v>
      </c>
      <c r="BG624" t="s">
        <v>74</v>
      </c>
      <c r="BH624" t="s">
        <v>74</v>
      </c>
      <c r="BI624">
        <v>20</v>
      </c>
      <c r="BJ624" t="s">
        <v>11869</v>
      </c>
      <c r="BK624" t="s">
        <v>102</v>
      </c>
      <c r="BL624" t="s">
        <v>11870</v>
      </c>
      <c r="BM624" t="s">
        <v>11871</v>
      </c>
      <c r="BN624" t="s">
        <v>74</v>
      </c>
      <c r="BO624" t="s">
        <v>11872</v>
      </c>
      <c r="BP624" t="s">
        <v>74</v>
      </c>
      <c r="BQ624" t="s">
        <v>74</v>
      </c>
      <c r="BR624" t="s">
        <v>105</v>
      </c>
      <c r="BS624" t="s">
        <v>11873</v>
      </c>
      <c r="BT624" t="str">
        <f>HYPERLINK("https%3A%2F%2Fwww.webofscience.com%2Fwos%2Fwoscc%2Ffull-record%2FWOS:000338741700019","View Full Record in Web of Science")</f>
        <v>View Full Record in Web of Science</v>
      </c>
    </row>
    <row r="625" spans="1:72" x14ac:dyDescent="0.15">
      <c r="A625" t="s">
        <v>72</v>
      </c>
      <c r="B625" t="s">
        <v>11874</v>
      </c>
      <c r="C625" t="s">
        <v>74</v>
      </c>
      <c r="D625" t="s">
        <v>74</v>
      </c>
      <c r="E625" t="s">
        <v>74</v>
      </c>
      <c r="F625" t="s">
        <v>11875</v>
      </c>
      <c r="G625" t="s">
        <v>74</v>
      </c>
      <c r="H625" t="s">
        <v>74</v>
      </c>
      <c r="I625" t="s">
        <v>11876</v>
      </c>
      <c r="J625" t="s">
        <v>11852</v>
      </c>
      <c r="K625" t="s">
        <v>74</v>
      </c>
      <c r="L625" t="s">
        <v>74</v>
      </c>
      <c r="M625" t="s">
        <v>78</v>
      </c>
      <c r="N625" t="s">
        <v>79</v>
      </c>
      <c r="O625" t="s">
        <v>74</v>
      </c>
      <c r="P625" t="s">
        <v>74</v>
      </c>
      <c r="Q625" t="s">
        <v>74</v>
      </c>
      <c r="R625" t="s">
        <v>74</v>
      </c>
      <c r="S625" t="s">
        <v>74</v>
      </c>
      <c r="T625" t="s">
        <v>11877</v>
      </c>
      <c r="U625" t="s">
        <v>11878</v>
      </c>
      <c r="V625" t="s">
        <v>11879</v>
      </c>
      <c r="W625" t="s">
        <v>11880</v>
      </c>
      <c r="X625" t="s">
        <v>11857</v>
      </c>
      <c r="Y625" t="s">
        <v>11858</v>
      </c>
      <c r="Z625" t="s">
        <v>11881</v>
      </c>
      <c r="AA625" t="s">
        <v>11882</v>
      </c>
      <c r="AB625" t="s">
        <v>11883</v>
      </c>
      <c r="AC625" t="s">
        <v>11862</v>
      </c>
      <c r="AD625" t="s">
        <v>11863</v>
      </c>
      <c r="AE625" t="s">
        <v>11884</v>
      </c>
      <c r="AF625" t="s">
        <v>74</v>
      </c>
      <c r="AG625">
        <v>42</v>
      </c>
      <c r="AH625">
        <v>2</v>
      </c>
      <c r="AI625">
        <v>2</v>
      </c>
      <c r="AJ625">
        <v>0</v>
      </c>
      <c r="AK625">
        <v>44</v>
      </c>
      <c r="AL625" t="s">
        <v>196</v>
      </c>
      <c r="AM625" t="s">
        <v>197</v>
      </c>
      <c r="AN625" t="s">
        <v>198</v>
      </c>
      <c r="AO625" t="s">
        <v>11865</v>
      </c>
      <c r="AP625" t="s">
        <v>74</v>
      </c>
      <c r="AQ625" t="s">
        <v>74</v>
      </c>
      <c r="AR625" t="s">
        <v>11866</v>
      </c>
      <c r="AS625" t="s">
        <v>11867</v>
      </c>
      <c r="AT625" t="s">
        <v>11484</v>
      </c>
      <c r="AU625">
        <v>2014</v>
      </c>
      <c r="AV625">
        <v>6</v>
      </c>
      <c r="AW625">
        <v>6</v>
      </c>
      <c r="AX625" t="s">
        <v>74</v>
      </c>
      <c r="AY625" t="s">
        <v>74</v>
      </c>
      <c r="AZ625" t="s">
        <v>74</v>
      </c>
      <c r="BA625" t="s">
        <v>74</v>
      </c>
      <c r="BB625">
        <v>1860</v>
      </c>
      <c r="BC625">
        <v>1872</v>
      </c>
      <c r="BD625" t="s">
        <v>74</v>
      </c>
      <c r="BE625" t="s">
        <v>11885</v>
      </c>
      <c r="BF625" t="str">
        <f>HYPERLINK("http://dx.doi.org/10.3390/w6061860","http://dx.doi.org/10.3390/w6061860")</f>
        <v>http://dx.doi.org/10.3390/w6061860</v>
      </c>
      <c r="BG625" t="s">
        <v>74</v>
      </c>
      <c r="BH625" t="s">
        <v>74</v>
      </c>
      <c r="BI625">
        <v>13</v>
      </c>
      <c r="BJ625" t="s">
        <v>11869</v>
      </c>
      <c r="BK625" t="s">
        <v>102</v>
      </c>
      <c r="BL625" t="s">
        <v>11870</v>
      </c>
      <c r="BM625" t="s">
        <v>11871</v>
      </c>
      <c r="BN625" t="s">
        <v>74</v>
      </c>
      <c r="BO625" t="s">
        <v>11886</v>
      </c>
      <c r="BP625" t="s">
        <v>74</v>
      </c>
      <c r="BQ625" t="s">
        <v>74</v>
      </c>
      <c r="BR625" t="s">
        <v>105</v>
      </c>
      <c r="BS625" t="s">
        <v>11887</v>
      </c>
      <c r="BT625" t="str">
        <f>HYPERLINK("https%3A%2F%2Fwww.webofscience.com%2Fwos%2Fwoscc%2Ffull-record%2FWOS:000338741700020","View Full Record in Web of Science")</f>
        <v>View Full Record in Web of Science</v>
      </c>
    </row>
    <row r="626" spans="1:72" x14ac:dyDescent="0.15">
      <c r="A626" t="s">
        <v>72</v>
      </c>
      <c r="B626" t="s">
        <v>11888</v>
      </c>
      <c r="C626" t="s">
        <v>74</v>
      </c>
      <c r="D626" t="s">
        <v>74</v>
      </c>
      <c r="E626" t="s">
        <v>74</v>
      </c>
      <c r="F626" t="s">
        <v>11889</v>
      </c>
      <c r="G626" t="s">
        <v>74</v>
      </c>
      <c r="H626" t="s">
        <v>74</v>
      </c>
      <c r="I626" t="s">
        <v>11890</v>
      </c>
      <c r="J626" t="s">
        <v>3350</v>
      </c>
      <c r="K626" t="s">
        <v>74</v>
      </c>
      <c r="L626" t="s">
        <v>74</v>
      </c>
      <c r="M626" t="s">
        <v>78</v>
      </c>
      <c r="N626" t="s">
        <v>79</v>
      </c>
      <c r="O626" t="s">
        <v>74</v>
      </c>
      <c r="P626" t="s">
        <v>74</v>
      </c>
      <c r="Q626" t="s">
        <v>74</v>
      </c>
      <c r="R626" t="s">
        <v>74</v>
      </c>
      <c r="S626" t="s">
        <v>74</v>
      </c>
      <c r="T626" t="s">
        <v>11891</v>
      </c>
      <c r="U626" t="s">
        <v>11892</v>
      </c>
      <c r="V626" t="s">
        <v>11893</v>
      </c>
      <c r="W626" t="s">
        <v>11894</v>
      </c>
      <c r="X626" t="s">
        <v>11895</v>
      </c>
      <c r="Y626" t="s">
        <v>11896</v>
      </c>
      <c r="Z626" t="s">
        <v>11897</v>
      </c>
      <c r="AA626" t="s">
        <v>11898</v>
      </c>
      <c r="AB626" t="s">
        <v>11899</v>
      </c>
      <c r="AC626" t="s">
        <v>11900</v>
      </c>
      <c r="AD626" t="s">
        <v>11901</v>
      </c>
      <c r="AE626" t="s">
        <v>11902</v>
      </c>
      <c r="AF626" t="s">
        <v>74</v>
      </c>
      <c r="AG626">
        <v>16</v>
      </c>
      <c r="AH626">
        <v>17</v>
      </c>
      <c r="AI626">
        <v>18</v>
      </c>
      <c r="AJ626">
        <v>0</v>
      </c>
      <c r="AK626">
        <v>30</v>
      </c>
      <c r="AL626" t="s">
        <v>1070</v>
      </c>
      <c r="AM626" t="s">
        <v>654</v>
      </c>
      <c r="AN626" t="s">
        <v>1071</v>
      </c>
      <c r="AO626" t="s">
        <v>3363</v>
      </c>
      <c r="AP626" t="s">
        <v>3364</v>
      </c>
      <c r="AQ626" t="s">
        <v>74</v>
      </c>
      <c r="AR626" t="s">
        <v>3365</v>
      </c>
      <c r="AS626" t="s">
        <v>3366</v>
      </c>
      <c r="AT626" t="s">
        <v>11484</v>
      </c>
      <c r="AU626">
        <v>2014</v>
      </c>
      <c r="AV626">
        <v>10</v>
      </c>
      <c r="AW626">
        <v>6</v>
      </c>
      <c r="AX626" t="s">
        <v>74</v>
      </c>
      <c r="AY626" t="s">
        <v>74</v>
      </c>
      <c r="AZ626" t="s">
        <v>74</v>
      </c>
      <c r="BA626" t="s">
        <v>74</v>
      </c>
      <c r="BB626" t="s">
        <v>74</v>
      </c>
      <c r="BC626" t="s">
        <v>74</v>
      </c>
      <c r="BD626">
        <v>20140225</v>
      </c>
      <c r="BE626" t="s">
        <v>11903</v>
      </c>
      <c r="BF626" t="str">
        <f>HYPERLINK("http://dx.doi.org/10.1098/rsbl.2014.0225","http://dx.doi.org/10.1098/rsbl.2014.0225")</f>
        <v>http://dx.doi.org/10.1098/rsbl.2014.0225</v>
      </c>
      <c r="BG626" t="s">
        <v>74</v>
      </c>
      <c r="BH626" t="s">
        <v>74</v>
      </c>
      <c r="BI626">
        <v>5</v>
      </c>
      <c r="BJ626" t="s">
        <v>3368</v>
      </c>
      <c r="BK626" t="s">
        <v>102</v>
      </c>
      <c r="BL626" t="s">
        <v>3369</v>
      </c>
      <c r="BM626" t="s">
        <v>11904</v>
      </c>
      <c r="BN626">
        <v>24919701</v>
      </c>
      <c r="BO626" t="s">
        <v>2647</v>
      </c>
      <c r="BP626" t="s">
        <v>74</v>
      </c>
      <c r="BQ626" t="s">
        <v>74</v>
      </c>
      <c r="BR626" t="s">
        <v>105</v>
      </c>
      <c r="BS626" t="s">
        <v>11905</v>
      </c>
      <c r="BT626" t="str">
        <f>HYPERLINK("https%3A%2F%2Fwww.webofscience.com%2Fwos%2Fwoscc%2Ffull-record%2FWOS:000338351500007","View Full Record in Web of Science")</f>
        <v>View Full Record in Web of Science</v>
      </c>
    </row>
    <row r="627" spans="1:72" x14ac:dyDescent="0.15">
      <c r="A627" t="s">
        <v>72</v>
      </c>
      <c r="B627" t="s">
        <v>11906</v>
      </c>
      <c r="C627" t="s">
        <v>74</v>
      </c>
      <c r="D627" t="s">
        <v>74</v>
      </c>
      <c r="E627" t="s">
        <v>74</v>
      </c>
      <c r="F627" t="s">
        <v>11907</v>
      </c>
      <c r="G627" t="s">
        <v>74</v>
      </c>
      <c r="H627" t="s">
        <v>74</v>
      </c>
      <c r="I627" t="s">
        <v>11908</v>
      </c>
      <c r="J627" t="s">
        <v>3677</v>
      </c>
      <c r="K627" t="s">
        <v>74</v>
      </c>
      <c r="L627" t="s">
        <v>74</v>
      </c>
      <c r="M627" t="s">
        <v>78</v>
      </c>
      <c r="N627" t="s">
        <v>79</v>
      </c>
      <c r="O627" t="s">
        <v>74</v>
      </c>
      <c r="P627" t="s">
        <v>74</v>
      </c>
      <c r="Q627" t="s">
        <v>74</v>
      </c>
      <c r="R627" t="s">
        <v>74</v>
      </c>
      <c r="S627" t="s">
        <v>74</v>
      </c>
      <c r="T627" t="s">
        <v>11909</v>
      </c>
      <c r="U627" t="s">
        <v>11910</v>
      </c>
      <c r="V627" t="s">
        <v>11911</v>
      </c>
      <c r="W627" t="s">
        <v>11912</v>
      </c>
      <c r="X627" t="s">
        <v>11913</v>
      </c>
      <c r="Y627" t="s">
        <v>11914</v>
      </c>
      <c r="Z627" t="s">
        <v>11915</v>
      </c>
      <c r="AA627" t="s">
        <v>11916</v>
      </c>
      <c r="AB627" t="s">
        <v>11917</v>
      </c>
      <c r="AC627" t="s">
        <v>11918</v>
      </c>
      <c r="AD627" t="s">
        <v>11919</v>
      </c>
      <c r="AE627" t="s">
        <v>11920</v>
      </c>
      <c r="AF627" t="s">
        <v>74</v>
      </c>
      <c r="AG627">
        <v>61</v>
      </c>
      <c r="AH627">
        <v>59</v>
      </c>
      <c r="AI627">
        <v>67</v>
      </c>
      <c r="AJ627">
        <v>2</v>
      </c>
      <c r="AK627">
        <v>102</v>
      </c>
      <c r="AL627" t="s">
        <v>1292</v>
      </c>
      <c r="AM627" t="s">
        <v>1293</v>
      </c>
      <c r="AN627" t="s">
        <v>1294</v>
      </c>
      <c r="AO627" t="s">
        <v>3688</v>
      </c>
      <c r="AP627" t="s">
        <v>3689</v>
      </c>
      <c r="AQ627" t="s">
        <v>74</v>
      </c>
      <c r="AR627" t="s">
        <v>3690</v>
      </c>
      <c r="AS627" t="s">
        <v>3691</v>
      </c>
      <c r="AT627" t="s">
        <v>11484</v>
      </c>
      <c r="AU627">
        <v>2014</v>
      </c>
      <c r="AV627">
        <v>217</v>
      </c>
      <c r="AW627">
        <v>12</v>
      </c>
      <c r="AX627" t="s">
        <v>74</v>
      </c>
      <c r="AY627" t="s">
        <v>74</v>
      </c>
      <c r="AZ627" t="s">
        <v>74</v>
      </c>
      <c r="BA627" t="s">
        <v>74</v>
      </c>
      <c r="BB627">
        <v>2053</v>
      </c>
      <c r="BC627">
        <v>2061</v>
      </c>
      <c r="BD627" t="s">
        <v>74</v>
      </c>
      <c r="BE627" t="s">
        <v>11921</v>
      </c>
      <c r="BF627" t="str">
        <f>HYPERLINK("http://dx.doi.org/10.1242/jeb.099739","http://dx.doi.org/10.1242/jeb.099739")</f>
        <v>http://dx.doi.org/10.1242/jeb.099739</v>
      </c>
      <c r="BG627" t="s">
        <v>74</v>
      </c>
      <c r="BH627" t="s">
        <v>74</v>
      </c>
      <c r="BI627">
        <v>9</v>
      </c>
      <c r="BJ627" t="s">
        <v>1300</v>
      </c>
      <c r="BK627" t="s">
        <v>102</v>
      </c>
      <c r="BL627" t="s">
        <v>1301</v>
      </c>
      <c r="BM627" t="s">
        <v>11922</v>
      </c>
      <c r="BN627">
        <v>24920834</v>
      </c>
      <c r="BO627" t="s">
        <v>1053</v>
      </c>
      <c r="BP627" t="s">
        <v>74</v>
      </c>
      <c r="BQ627" t="s">
        <v>74</v>
      </c>
      <c r="BR627" t="s">
        <v>105</v>
      </c>
      <c r="BS627" t="s">
        <v>11923</v>
      </c>
      <c r="BT627" t="str">
        <f>HYPERLINK("https%3A%2F%2Fwww.webofscience.com%2Fwos%2Fwoscc%2Ffull-record%2FWOS:000338521400009","View Full Record in Web of Science")</f>
        <v>View Full Record in Web of Science</v>
      </c>
    </row>
    <row r="628" spans="1:72" x14ac:dyDescent="0.15">
      <c r="A628" t="s">
        <v>72</v>
      </c>
      <c r="B628" t="s">
        <v>11924</v>
      </c>
      <c r="C628" t="s">
        <v>74</v>
      </c>
      <c r="D628" t="s">
        <v>74</v>
      </c>
      <c r="E628" t="s">
        <v>74</v>
      </c>
      <c r="F628" t="s">
        <v>11925</v>
      </c>
      <c r="G628" t="s">
        <v>74</v>
      </c>
      <c r="H628" t="s">
        <v>74</v>
      </c>
      <c r="I628" t="s">
        <v>11926</v>
      </c>
      <c r="J628" t="s">
        <v>11927</v>
      </c>
      <c r="K628" t="s">
        <v>74</v>
      </c>
      <c r="L628" t="s">
        <v>74</v>
      </c>
      <c r="M628" t="s">
        <v>78</v>
      </c>
      <c r="N628" t="s">
        <v>79</v>
      </c>
      <c r="O628" t="s">
        <v>74</v>
      </c>
      <c r="P628" t="s">
        <v>74</v>
      </c>
      <c r="Q628" t="s">
        <v>74</v>
      </c>
      <c r="R628" t="s">
        <v>74</v>
      </c>
      <c r="S628" t="s">
        <v>74</v>
      </c>
      <c r="T628" t="s">
        <v>11928</v>
      </c>
      <c r="U628" t="s">
        <v>11929</v>
      </c>
      <c r="V628" t="s">
        <v>11930</v>
      </c>
      <c r="W628" t="s">
        <v>11931</v>
      </c>
      <c r="X628" t="s">
        <v>11932</v>
      </c>
      <c r="Y628" t="s">
        <v>11933</v>
      </c>
      <c r="Z628" t="s">
        <v>11934</v>
      </c>
      <c r="AA628" t="s">
        <v>11935</v>
      </c>
      <c r="AB628" t="s">
        <v>11936</v>
      </c>
      <c r="AC628" t="s">
        <v>11937</v>
      </c>
      <c r="AD628" t="s">
        <v>11938</v>
      </c>
      <c r="AE628" t="s">
        <v>11939</v>
      </c>
      <c r="AF628" t="s">
        <v>74</v>
      </c>
      <c r="AG628">
        <v>56</v>
      </c>
      <c r="AH628">
        <v>11</v>
      </c>
      <c r="AI628">
        <v>12</v>
      </c>
      <c r="AJ628">
        <v>0</v>
      </c>
      <c r="AK628">
        <v>24</v>
      </c>
      <c r="AL628" t="s">
        <v>5524</v>
      </c>
      <c r="AM628" t="s">
        <v>197</v>
      </c>
      <c r="AN628" t="s">
        <v>5525</v>
      </c>
      <c r="AO628" t="s">
        <v>11940</v>
      </c>
      <c r="AP628" t="s">
        <v>74</v>
      </c>
      <c r="AQ628" t="s">
        <v>74</v>
      </c>
      <c r="AR628" t="s">
        <v>11941</v>
      </c>
      <c r="AS628" t="s">
        <v>11942</v>
      </c>
      <c r="AT628" t="s">
        <v>11484</v>
      </c>
      <c r="AU628">
        <v>2014</v>
      </c>
      <c r="AV628">
        <v>12</v>
      </c>
      <c r="AW628">
        <v>6</v>
      </c>
      <c r="AX628" t="s">
        <v>74</v>
      </c>
      <c r="AY628" t="s">
        <v>74</v>
      </c>
      <c r="AZ628" t="s">
        <v>74</v>
      </c>
      <c r="BA628" t="s">
        <v>74</v>
      </c>
      <c r="BB628">
        <v>3770</v>
      </c>
      <c r="BC628">
        <v>3791</v>
      </c>
      <c r="BD628" t="s">
        <v>74</v>
      </c>
      <c r="BE628" t="s">
        <v>11943</v>
      </c>
      <c r="BF628" t="str">
        <f>HYPERLINK("http://dx.doi.org/10.3390/md12063770","http://dx.doi.org/10.3390/md12063770")</f>
        <v>http://dx.doi.org/10.3390/md12063770</v>
      </c>
      <c r="BG628" t="s">
        <v>74</v>
      </c>
      <c r="BH628" t="s">
        <v>74</v>
      </c>
      <c r="BI628">
        <v>22</v>
      </c>
      <c r="BJ628" t="s">
        <v>9709</v>
      </c>
      <c r="BK628" t="s">
        <v>102</v>
      </c>
      <c r="BL628" t="s">
        <v>9710</v>
      </c>
      <c r="BM628" t="s">
        <v>11944</v>
      </c>
      <c r="BN628">
        <v>24962273</v>
      </c>
      <c r="BO628" t="s">
        <v>1189</v>
      </c>
      <c r="BP628" t="s">
        <v>74</v>
      </c>
      <c r="BQ628" t="s">
        <v>74</v>
      </c>
      <c r="BR628" t="s">
        <v>105</v>
      </c>
      <c r="BS628" t="s">
        <v>11945</v>
      </c>
      <c r="BT628" t="str">
        <f>HYPERLINK("https%3A%2F%2Fwww.webofscience.com%2Fwos%2Fwoscc%2Ffull-record%2FWOS:000338189200035","View Full Record in Web of Science")</f>
        <v>View Full Record in Web of Science</v>
      </c>
    </row>
    <row r="629" spans="1:72" x14ac:dyDescent="0.15">
      <c r="A629" t="s">
        <v>72</v>
      </c>
      <c r="B629" t="s">
        <v>5607</v>
      </c>
      <c r="C629" t="s">
        <v>74</v>
      </c>
      <c r="D629" t="s">
        <v>74</v>
      </c>
      <c r="E629" t="s">
        <v>74</v>
      </c>
      <c r="F629" t="s">
        <v>5608</v>
      </c>
      <c r="G629" t="s">
        <v>74</v>
      </c>
      <c r="H629" t="s">
        <v>74</v>
      </c>
      <c r="I629" t="s">
        <v>11946</v>
      </c>
      <c r="J629" t="s">
        <v>765</v>
      </c>
      <c r="K629" t="s">
        <v>74</v>
      </c>
      <c r="L629" t="s">
        <v>74</v>
      </c>
      <c r="M629" t="s">
        <v>78</v>
      </c>
      <c r="N629" t="s">
        <v>79</v>
      </c>
      <c r="O629" t="s">
        <v>74</v>
      </c>
      <c r="P629" t="s">
        <v>74</v>
      </c>
      <c r="Q629" t="s">
        <v>74</v>
      </c>
      <c r="R629" t="s">
        <v>74</v>
      </c>
      <c r="S629" t="s">
        <v>74</v>
      </c>
      <c r="T629" t="s">
        <v>11947</v>
      </c>
      <c r="U629" t="s">
        <v>11948</v>
      </c>
      <c r="V629" t="s">
        <v>11949</v>
      </c>
      <c r="W629" t="s">
        <v>11950</v>
      </c>
      <c r="X629" t="s">
        <v>11951</v>
      </c>
      <c r="Y629" t="s">
        <v>11952</v>
      </c>
      <c r="Z629" t="s">
        <v>5617</v>
      </c>
      <c r="AA629" t="s">
        <v>5618</v>
      </c>
      <c r="AB629" t="s">
        <v>5619</v>
      </c>
      <c r="AC629" t="s">
        <v>11953</v>
      </c>
      <c r="AD629" t="s">
        <v>11954</v>
      </c>
      <c r="AE629" t="s">
        <v>11955</v>
      </c>
      <c r="AF629" t="s">
        <v>74</v>
      </c>
      <c r="AG629">
        <v>35</v>
      </c>
      <c r="AH629">
        <v>10</v>
      </c>
      <c r="AI629">
        <v>11</v>
      </c>
      <c r="AJ629">
        <v>0</v>
      </c>
      <c r="AK629">
        <v>20</v>
      </c>
      <c r="AL629" t="s">
        <v>224</v>
      </c>
      <c r="AM629" t="s">
        <v>576</v>
      </c>
      <c r="AN629" t="s">
        <v>577</v>
      </c>
      <c r="AO629" t="s">
        <v>779</v>
      </c>
      <c r="AP629" t="s">
        <v>780</v>
      </c>
      <c r="AQ629" t="s">
        <v>74</v>
      </c>
      <c r="AR629" t="s">
        <v>781</v>
      </c>
      <c r="AS629" t="s">
        <v>782</v>
      </c>
      <c r="AT629" t="s">
        <v>11484</v>
      </c>
      <c r="AU629">
        <v>2014</v>
      </c>
      <c r="AV629">
        <v>37</v>
      </c>
      <c r="AW629">
        <v>6</v>
      </c>
      <c r="AX629" t="s">
        <v>74</v>
      </c>
      <c r="AY629" t="s">
        <v>74</v>
      </c>
      <c r="AZ629" t="s">
        <v>74</v>
      </c>
      <c r="BA629" t="s">
        <v>74</v>
      </c>
      <c r="BB629">
        <v>753</v>
      </c>
      <c r="BC629">
        <v>761</v>
      </c>
      <c r="BD629" t="s">
        <v>74</v>
      </c>
      <c r="BE629" t="s">
        <v>11956</v>
      </c>
      <c r="BF629" t="str">
        <f>HYPERLINK("http://dx.doi.org/10.1007/s00300-014-1475-0","http://dx.doi.org/10.1007/s00300-014-1475-0")</f>
        <v>http://dx.doi.org/10.1007/s00300-014-1475-0</v>
      </c>
      <c r="BG629" t="s">
        <v>74</v>
      </c>
      <c r="BH629" t="s">
        <v>74</v>
      </c>
      <c r="BI629">
        <v>9</v>
      </c>
      <c r="BJ629" t="s">
        <v>784</v>
      </c>
      <c r="BK629" t="s">
        <v>102</v>
      </c>
      <c r="BL629" t="s">
        <v>785</v>
      </c>
      <c r="BM629" t="s">
        <v>11957</v>
      </c>
      <c r="BN629" t="s">
        <v>74</v>
      </c>
      <c r="BO629" t="s">
        <v>74</v>
      </c>
      <c r="BP629" t="s">
        <v>74</v>
      </c>
      <c r="BQ629" t="s">
        <v>74</v>
      </c>
      <c r="BR629" t="s">
        <v>105</v>
      </c>
      <c r="BS629" t="s">
        <v>11958</v>
      </c>
      <c r="BT629" t="str">
        <f>HYPERLINK("https%3A%2F%2Fwww.webofscience.com%2Fwos%2Fwoscc%2Ffull-record%2FWOS:000338278200001","View Full Record in Web of Science")</f>
        <v>View Full Record in Web of Science</v>
      </c>
    </row>
    <row r="630" spans="1:72" x14ac:dyDescent="0.15">
      <c r="A630" t="s">
        <v>72</v>
      </c>
      <c r="B630" t="s">
        <v>11959</v>
      </c>
      <c r="C630" t="s">
        <v>74</v>
      </c>
      <c r="D630" t="s">
        <v>74</v>
      </c>
      <c r="E630" t="s">
        <v>74</v>
      </c>
      <c r="F630" t="s">
        <v>11960</v>
      </c>
      <c r="G630" t="s">
        <v>74</v>
      </c>
      <c r="H630" t="s">
        <v>74</v>
      </c>
      <c r="I630" t="s">
        <v>11961</v>
      </c>
      <c r="J630" t="s">
        <v>765</v>
      </c>
      <c r="K630" t="s">
        <v>74</v>
      </c>
      <c r="L630" t="s">
        <v>74</v>
      </c>
      <c r="M630" t="s">
        <v>78</v>
      </c>
      <c r="N630" t="s">
        <v>79</v>
      </c>
      <c r="O630" t="s">
        <v>74</v>
      </c>
      <c r="P630" t="s">
        <v>74</v>
      </c>
      <c r="Q630" t="s">
        <v>74</v>
      </c>
      <c r="R630" t="s">
        <v>74</v>
      </c>
      <c r="S630" t="s">
        <v>74</v>
      </c>
      <c r="T630" t="s">
        <v>11962</v>
      </c>
      <c r="U630" t="s">
        <v>11963</v>
      </c>
      <c r="V630" t="s">
        <v>11964</v>
      </c>
      <c r="W630" t="s">
        <v>11965</v>
      </c>
      <c r="X630" t="s">
        <v>11966</v>
      </c>
      <c r="Y630" t="s">
        <v>11967</v>
      </c>
      <c r="Z630" t="s">
        <v>11968</v>
      </c>
      <c r="AA630" t="s">
        <v>11969</v>
      </c>
      <c r="AB630" t="s">
        <v>11970</v>
      </c>
      <c r="AC630" t="s">
        <v>11971</v>
      </c>
      <c r="AD630" t="s">
        <v>11972</v>
      </c>
      <c r="AE630" t="s">
        <v>11973</v>
      </c>
      <c r="AF630" t="s">
        <v>74</v>
      </c>
      <c r="AG630">
        <v>58</v>
      </c>
      <c r="AH630">
        <v>15</v>
      </c>
      <c r="AI630">
        <v>15</v>
      </c>
      <c r="AJ630">
        <v>2</v>
      </c>
      <c r="AK630">
        <v>36</v>
      </c>
      <c r="AL630" t="s">
        <v>224</v>
      </c>
      <c r="AM630" t="s">
        <v>576</v>
      </c>
      <c r="AN630" t="s">
        <v>778</v>
      </c>
      <c r="AO630" t="s">
        <v>779</v>
      </c>
      <c r="AP630" t="s">
        <v>780</v>
      </c>
      <c r="AQ630" t="s">
        <v>74</v>
      </c>
      <c r="AR630" t="s">
        <v>781</v>
      </c>
      <c r="AS630" t="s">
        <v>782</v>
      </c>
      <c r="AT630" t="s">
        <v>11484</v>
      </c>
      <c r="AU630">
        <v>2014</v>
      </c>
      <c r="AV630">
        <v>37</v>
      </c>
      <c r="AW630">
        <v>6</v>
      </c>
      <c r="AX630" t="s">
        <v>74</v>
      </c>
      <c r="AY630" t="s">
        <v>74</v>
      </c>
      <c r="AZ630" t="s">
        <v>74</v>
      </c>
      <c r="BA630" t="s">
        <v>74</v>
      </c>
      <c r="BB630">
        <v>763</v>
      </c>
      <c r="BC630">
        <v>771</v>
      </c>
      <c r="BD630" t="s">
        <v>74</v>
      </c>
      <c r="BE630" t="s">
        <v>11974</v>
      </c>
      <c r="BF630" t="str">
        <f>HYPERLINK("http://dx.doi.org/10.1007/s00300-014-1476-z","http://dx.doi.org/10.1007/s00300-014-1476-z")</f>
        <v>http://dx.doi.org/10.1007/s00300-014-1476-z</v>
      </c>
      <c r="BG630" t="s">
        <v>74</v>
      </c>
      <c r="BH630" t="s">
        <v>74</v>
      </c>
      <c r="BI630">
        <v>9</v>
      </c>
      <c r="BJ630" t="s">
        <v>784</v>
      </c>
      <c r="BK630" t="s">
        <v>102</v>
      </c>
      <c r="BL630" t="s">
        <v>785</v>
      </c>
      <c r="BM630" t="s">
        <v>11957</v>
      </c>
      <c r="BN630" t="s">
        <v>74</v>
      </c>
      <c r="BO630" t="s">
        <v>262</v>
      </c>
      <c r="BP630" t="s">
        <v>74</v>
      </c>
      <c r="BQ630" t="s">
        <v>74</v>
      </c>
      <c r="BR630" t="s">
        <v>105</v>
      </c>
      <c r="BS630" t="s">
        <v>11975</v>
      </c>
      <c r="BT630" t="str">
        <f>HYPERLINK("https%3A%2F%2Fwww.webofscience.com%2Fwos%2Fwoscc%2Ffull-record%2FWOS:000338278200002","View Full Record in Web of Science")</f>
        <v>View Full Record in Web of Science</v>
      </c>
    </row>
    <row r="631" spans="1:72" x14ac:dyDescent="0.15">
      <c r="A631" t="s">
        <v>72</v>
      </c>
      <c r="B631" t="s">
        <v>11976</v>
      </c>
      <c r="C631" t="s">
        <v>74</v>
      </c>
      <c r="D631" t="s">
        <v>74</v>
      </c>
      <c r="E631" t="s">
        <v>74</v>
      </c>
      <c r="F631" t="s">
        <v>11977</v>
      </c>
      <c r="G631" t="s">
        <v>74</v>
      </c>
      <c r="H631" t="s">
        <v>74</v>
      </c>
      <c r="I631" t="s">
        <v>11978</v>
      </c>
      <c r="J631" t="s">
        <v>765</v>
      </c>
      <c r="K631" t="s">
        <v>74</v>
      </c>
      <c r="L631" t="s">
        <v>74</v>
      </c>
      <c r="M631" t="s">
        <v>78</v>
      </c>
      <c r="N631" t="s">
        <v>79</v>
      </c>
      <c r="O631" t="s">
        <v>74</v>
      </c>
      <c r="P631" t="s">
        <v>74</v>
      </c>
      <c r="Q631" t="s">
        <v>74</v>
      </c>
      <c r="R631" t="s">
        <v>74</v>
      </c>
      <c r="S631" t="s">
        <v>74</v>
      </c>
      <c r="T631" t="s">
        <v>11979</v>
      </c>
      <c r="U631" t="s">
        <v>11980</v>
      </c>
      <c r="V631" t="s">
        <v>11981</v>
      </c>
      <c r="W631" t="s">
        <v>11982</v>
      </c>
      <c r="X631" t="s">
        <v>11983</v>
      </c>
      <c r="Y631" t="s">
        <v>11984</v>
      </c>
      <c r="Z631" t="s">
        <v>11985</v>
      </c>
      <c r="AA631" t="s">
        <v>11986</v>
      </c>
      <c r="AB631" t="s">
        <v>11987</v>
      </c>
      <c r="AC631" t="s">
        <v>11988</v>
      </c>
      <c r="AD631" t="s">
        <v>11989</v>
      </c>
      <c r="AE631" t="s">
        <v>11990</v>
      </c>
      <c r="AF631" t="s">
        <v>74</v>
      </c>
      <c r="AG631">
        <v>44</v>
      </c>
      <c r="AH631">
        <v>10</v>
      </c>
      <c r="AI631">
        <v>10</v>
      </c>
      <c r="AJ631">
        <v>0</v>
      </c>
      <c r="AK631">
        <v>33</v>
      </c>
      <c r="AL631" t="s">
        <v>224</v>
      </c>
      <c r="AM631" t="s">
        <v>576</v>
      </c>
      <c r="AN631" t="s">
        <v>577</v>
      </c>
      <c r="AO631" t="s">
        <v>779</v>
      </c>
      <c r="AP631" t="s">
        <v>780</v>
      </c>
      <c r="AQ631" t="s">
        <v>74</v>
      </c>
      <c r="AR631" t="s">
        <v>781</v>
      </c>
      <c r="AS631" t="s">
        <v>782</v>
      </c>
      <c r="AT631" t="s">
        <v>11484</v>
      </c>
      <c r="AU631">
        <v>2014</v>
      </c>
      <c r="AV631">
        <v>37</v>
      </c>
      <c r="AW631">
        <v>6</v>
      </c>
      <c r="AX631" t="s">
        <v>74</v>
      </c>
      <c r="AY631" t="s">
        <v>74</v>
      </c>
      <c r="AZ631" t="s">
        <v>74</v>
      </c>
      <c r="BA631" t="s">
        <v>74</v>
      </c>
      <c r="BB631">
        <v>781</v>
      </c>
      <c r="BC631">
        <v>787</v>
      </c>
      <c r="BD631" t="s">
        <v>74</v>
      </c>
      <c r="BE631" t="s">
        <v>11991</v>
      </c>
      <c r="BF631" t="str">
        <f>HYPERLINK("http://dx.doi.org/10.1007/s00300-014-1479-9","http://dx.doi.org/10.1007/s00300-014-1479-9")</f>
        <v>http://dx.doi.org/10.1007/s00300-014-1479-9</v>
      </c>
      <c r="BG631" t="s">
        <v>74</v>
      </c>
      <c r="BH631" t="s">
        <v>74</v>
      </c>
      <c r="BI631">
        <v>7</v>
      </c>
      <c r="BJ631" t="s">
        <v>784</v>
      </c>
      <c r="BK631" t="s">
        <v>102</v>
      </c>
      <c r="BL631" t="s">
        <v>785</v>
      </c>
      <c r="BM631" t="s">
        <v>11957</v>
      </c>
      <c r="BN631" t="s">
        <v>74</v>
      </c>
      <c r="BO631" t="s">
        <v>74</v>
      </c>
      <c r="BP631" t="s">
        <v>74</v>
      </c>
      <c r="BQ631" t="s">
        <v>74</v>
      </c>
      <c r="BR631" t="s">
        <v>105</v>
      </c>
      <c r="BS631" t="s">
        <v>11992</v>
      </c>
      <c r="BT631" t="str">
        <f>HYPERLINK("https%3A%2F%2Fwww.webofscience.com%2Fwos%2Fwoscc%2Ffull-record%2FWOS:000338278200004","View Full Record in Web of Science")</f>
        <v>View Full Record in Web of Science</v>
      </c>
    </row>
    <row r="632" spans="1:72" x14ac:dyDescent="0.15">
      <c r="A632" t="s">
        <v>72</v>
      </c>
      <c r="B632" t="s">
        <v>11993</v>
      </c>
      <c r="C632" t="s">
        <v>74</v>
      </c>
      <c r="D632" t="s">
        <v>74</v>
      </c>
      <c r="E632" t="s">
        <v>74</v>
      </c>
      <c r="F632" t="s">
        <v>11994</v>
      </c>
      <c r="G632" t="s">
        <v>74</v>
      </c>
      <c r="H632" t="s">
        <v>74</v>
      </c>
      <c r="I632" t="s">
        <v>11995</v>
      </c>
      <c r="J632" t="s">
        <v>765</v>
      </c>
      <c r="K632" t="s">
        <v>74</v>
      </c>
      <c r="L632" t="s">
        <v>74</v>
      </c>
      <c r="M632" t="s">
        <v>78</v>
      </c>
      <c r="N632" t="s">
        <v>79</v>
      </c>
      <c r="O632" t="s">
        <v>74</v>
      </c>
      <c r="P632" t="s">
        <v>74</v>
      </c>
      <c r="Q632" t="s">
        <v>74</v>
      </c>
      <c r="R632" t="s">
        <v>74</v>
      </c>
      <c r="S632" t="s">
        <v>74</v>
      </c>
      <c r="T632" t="s">
        <v>11996</v>
      </c>
      <c r="U632" t="s">
        <v>11997</v>
      </c>
      <c r="V632" t="s">
        <v>11998</v>
      </c>
      <c r="W632" t="s">
        <v>11999</v>
      </c>
      <c r="X632" t="s">
        <v>3970</v>
      </c>
      <c r="Y632" t="s">
        <v>12000</v>
      </c>
      <c r="Z632" t="s">
        <v>12001</v>
      </c>
      <c r="AA632" t="s">
        <v>12002</v>
      </c>
      <c r="AB632" t="s">
        <v>12003</v>
      </c>
      <c r="AC632" t="s">
        <v>74</v>
      </c>
      <c r="AD632" t="s">
        <v>74</v>
      </c>
      <c r="AE632" t="s">
        <v>74</v>
      </c>
      <c r="AF632" t="s">
        <v>74</v>
      </c>
      <c r="AG632">
        <v>45</v>
      </c>
      <c r="AH632">
        <v>23</v>
      </c>
      <c r="AI632">
        <v>24</v>
      </c>
      <c r="AJ632">
        <v>0</v>
      </c>
      <c r="AK632">
        <v>34</v>
      </c>
      <c r="AL632" t="s">
        <v>224</v>
      </c>
      <c r="AM632" t="s">
        <v>576</v>
      </c>
      <c r="AN632" t="s">
        <v>577</v>
      </c>
      <c r="AO632" t="s">
        <v>779</v>
      </c>
      <c r="AP632" t="s">
        <v>780</v>
      </c>
      <c r="AQ632" t="s">
        <v>74</v>
      </c>
      <c r="AR632" t="s">
        <v>781</v>
      </c>
      <c r="AS632" t="s">
        <v>782</v>
      </c>
      <c r="AT632" t="s">
        <v>11484</v>
      </c>
      <c r="AU632">
        <v>2014</v>
      </c>
      <c r="AV632">
        <v>37</v>
      </c>
      <c r="AW632">
        <v>6</v>
      </c>
      <c r="AX632" t="s">
        <v>74</v>
      </c>
      <c r="AY632" t="s">
        <v>74</v>
      </c>
      <c r="AZ632" t="s">
        <v>74</v>
      </c>
      <c r="BA632" t="s">
        <v>74</v>
      </c>
      <c r="BB632">
        <v>833</v>
      </c>
      <c r="BC632">
        <v>843</v>
      </c>
      <c r="BD632" t="s">
        <v>74</v>
      </c>
      <c r="BE632" t="s">
        <v>12004</v>
      </c>
      <c r="BF632" t="str">
        <f>HYPERLINK("http://dx.doi.org/10.1007/s00300-014-1485-y","http://dx.doi.org/10.1007/s00300-014-1485-y")</f>
        <v>http://dx.doi.org/10.1007/s00300-014-1485-y</v>
      </c>
      <c r="BG632" t="s">
        <v>74</v>
      </c>
      <c r="BH632" t="s">
        <v>74</v>
      </c>
      <c r="BI632">
        <v>11</v>
      </c>
      <c r="BJ632" t="s">
        <v>784</v>
      </c>
      <c r="BK632" t="s">
        <v>102</v>
      </c>
      <c r="BL632" t="s">
        <v>785</v>
      </c>
      <c r="BM632" t="s">
        <v>11957</v>
      </c>
      <c r="BN632" t="s">
        <v>74</v>
      </c>
      <c r="BO632" t="s">
        <v>74</v>
      </c>
      <c r="BP632" t="s">
        <v>74</v>
      </c>
      <c r="BQ632" t="s">
        <v>74</v>
      </c>
      <c r="BR632" t="s">
        <v>105</v>
      </c>
      <c r="BS632" t="s">
        <v>12005</v>
      </c>
      <c r="BT632" t="str">
        <f>HYPERLINK("https%3A%2F%2Fwww.webofscience.com%2Fwos%2Fwoscc%2Ffull-record%2FWOS:000338278200008","View Full Record in Web of Science")</f>
        <v>View Full Record in Web of Science</v>
      </c>
    </row>
    <row r="633" spans="1:72" x14ac:dyDescent="0.15">
      <c r="A633" t="s">
        <v>72</v>
      </c>
      <c r="B633" t="s">
        <v>12006</v>
      </c>
      <c r="C633" t="s">
        <v>74</v>
      </c>
      <c r="D633" t="s">
        <v>74</v>
      </c>
      <c r="E633" t="s">
        <v>74</v>
      </c>
      <c r="F633" t="s">
        <v>12007</v>
      </c>
      <c r="G633" t="s">
        <v>74</v>
      </c>
      <c r="H633" t="s">
        <v>74</v>
      </c>
      <c r="I633" t="s">
        <v>12008</v>
      </c>
      <c r="J633" t="s">
        <v>765</v>
      </c>
      <c r="K633" t="s">
        <v>74</v>
      </c>
      <c r="L633" t="s">
        <v>74</v>
      </c>
      <c r="M633" t="s">
        <v>78</v>
      </c>
      <c r="N633" t="s">
        <v>79</v>
      </c>
      <c r="O633" t="s">
        <v>74</v>
      </c>
      <c r="P633" t="s">
        <v>74</v>
      </c>
      <c r="Q633" t="s">
        <v>74</v>
      </c>
      <c r="R633" t="s">
        <v>74</v>
      </c>
      <c r="S633" t="s">
        <v>74</v>
      </c>
      <c r="T633" t="s">
        <v>12009</v>
      </c>
      <c r="U633" t="s">
        <v>12010</v>
      </c>
      <c r="V633" t="s">
        <v>12011</v>
      </c>
      <c r="W633" t="s">
        <v>12012</v>
      </c>
      <c r="X633" t="s">
        <v>12013</v>
      </c>
      <c r="Y633" t="s">
        <v>12014</v>
      </c>
      <c r="Z633" t="s">
        <v>12015</v>
      </c>
      <c r="AA633" t="s">
        <v>74</v>
      </c>
      <c r="AB633" t="s">
        <v>74</v>
      </c>
      <c r="AC633" t="s">
        <v>12016</v>
      </c>
      <c r="AD633" t="s">
        <v>12016</v>
      </c>
      <c r="AE633" t="s">
        <v>12017</v>
      </c>
      <c r="AF633" t="s">
        <v>74</v>
      </c>
      <c r="AG633">
        <v>34</v>
      </c>
      <c r="AH633">
        <v>1</v>
      </c>
      <c r="AI633">
        <v>1</v>
      </c>
      <c r="AJ633">
        <v>0</v>
      </c>
      <c r="AK633">
        <v>36</v>
      </c>
      <c r="AL633" t="s">
        <v>224</v>
      </c>
      <c r="AM633" t="s">
        <v>576</v>
      </c>
      <c r="AN633" t="s">
        <v>778</v>
      </c>
      <c r="AO633" t="s">
        <v>779</v>
      </c>
      <c r="AP633" t="s">
        <v>780</v>
      </c>
      <c r="AQ633" t="s">
        <v>74</v>
      </c>
      <c r="AR633" t="s">
        <v>781</v>
      </c>
      <c r="AS633" t="s">
        <v>782</v>
      </c>
      <c r="AT633" t="s">
        <v>11484</v>
      </c>
      <c r="AU633">
        <v>2014</v>
      </c>
      <c r="AV633">
        <v>37</v>
      </c>
      <c r="AW633">
        <v>6</v>
      </c>
      <c r="AX633" t="s">
        <v>74</v>
      </c>
      <c r="AY633" t="s">
        <v>74</v>
      </c>
      <c r="AZ633" t="s">
        <v>74</v>
      </c>
      <c r="BA633" t="s">
        <v>74</v>
      </c>
      <c r="BB633">
        <v>891</v>
      </c>
      <c r="BC633">
        <v>895</v>
      </c>
      <c r="BD633" t="s">
        <v>74</v>
      </c>
      <c r="BE633" t="s">
        <v>12018</v>
      </c>
      <c r="BF633" t="str">
        <f>HYPERLINK("http://dx.doi.org/10.1007/s00300-014-1477-y","http://dx.doi.org/10.1007/s00300-014-1477-y")</f>
        <v>http://dx.doi.org/10.1007/s00300-014-1477-y</v>
      </c>
      <c r="BG633" t="s">
        <v>74</v>
      </c>
      <c r="BH633" t="s">
        <v>74</v>
      </c>
      <c r="BI633">
        <v>5</v>
      </c>
      <c r="BJ633" t="s">
        <v>784</v>
      </c>
      <c r="BK633" t="s">
        <v>102</v>
      </c>
      <c r="BL633" t="s">
        <v>785</v>
      </c>
      <c r="BM633" t="s">
        <v>11957</v>
      </c>
      <c r="BN633" t="s">
        <v>74</v>
      </c>
      <c r="BO633" t="s">
        <v>74</v>
      </c>
      <c r="BP633" t="s">
        <v>74</v>
      </c>
      <c r="BQ633" t="s">
        <v>74</v>
      </c>
      <c r="BR633" t="s">
        <v>105</v>
      </c>
      <c r="BS633" t="s">
        <v>12019</v>
      </c>
      <c r="BT633" t="str">
        <f>HYPERLINK("https%3A%2F%2Fwww.webofscience.com%2Fwos%2Fwoscc%2Ffull-record%2FWOS:000338278200012","View Full Record in Web of Science")</f>
        <v>View Full Record in Web of Science</v>
      </c>
    </row>
    <row r="634" spans="1:72" x14ac:dyDescent="0.15">
      <c r="A634" t="s">
        <v>72</v>
      </c>
      <c r="B634" t="s">
        <v>12020</v>
      </c>
      <c r="C634" t="s">
        <v>74</v>
      </c>
      <c r="D634" t="s">
        <v>74</v>
      </c>
      <c r="E634" t="s">
        <v>74</v>
      </c>
      <c r="F634" t="s">
        <v>12021</v>
      </c>
      <c r="G634" t="s">
        <v>74</v>
      </c>
      <c r="H634" t="s">
        <v>74</v>
      </c>
      <c r="I634" t="s">
        <v>12022</v>
      </c>
      <c r="J634" t="s">
        <v>892</v>
      </c>
      <c r="K634" t="s">
        <v>74</v>
      </c>
      <c r="L634" t="s">
        <v>74</v>
      </c>
      <c r="M634" t="s">
        <v>78</v>
      </c>
      <c r="N634" t="s">
        <v>79</v>
      </c>
      <c r="O634" t="s">
        <v>74</v>
      </c>
      <c r="P634" t="s">
        <v>74</v>
      </c>
      <c r="Q634" t="s">
        <v>74</v>
      </c>
      <c r="R634" t="s">
        <v>74</v>
      </c>
      <c r="S634" t="s">
        <v>74</v>
      </c>
      <c r="T634" t="s">
        <v>12023</v>
      </c>
      <c r="U634" t="s">
        <v>12024</v>
      </c>
      <c r="V634" t="s">
        <v>12025</v>
      </c>
      <c r="W634" t="s">
        <v>12026</v>
      </c>
      <c r="X634" t="s">
        <v>12027</v>
      </c>
      <c r="Y634" t="s">
        <v>12028</v>
      </c>
      <c r="Z634" t="s">
        <v>12029</v>
      </c>
      <c r="AA634" t="s">
        <v>74</v>
      </c>
      <c r="AB634" t="s">
        <v>74</v>
      </c>
      <c r="AC634" t="s">
        <v>12030</v>
      </c>
      <c r="AD634" t="s">
        <v>12030</v>
      </c>
      <c r="AE634" t="s">
        <v>12031</v>
      </c>
      <c r="AF634" t="s">
        <v>74</v>
      </c>
      <c r="AG634">
        <v>49</v>
      </c>
      <c r="AH634">
        <v>25</v>
      </c>
      <c r="AI634">
        <v>30</v>
      </c>
      <c r="AJ634">
        <v>1</v>
      </c>
      <c r="AK634">
        <v>55</v>
      </c>
      <c r="AL634" t="s">
        <v>224</v>
      </c>
      <c r="AM634" t="s">
        <v>225</v>
      </c>
      <c r="AN634" t="s">
        <v>226</v>
      </c>
      <c r="AO634" t="s">
        <v>903</v>
      </c>
      <c r="AP634" t="s">
        <v>904</v>
      </c>
      <c r="AQ634" t="s">
        <v>74</v>
      </c>
      <c r="AR634" t="s">
        <v>905</v>
      </c>
      <c r="AS634" t="s">
        <v>906</v>
      </c>
      <c r="AT634" t="s">
        <v>11484</v>
      </c>
      <c r="AU634">
        <v>2014</v>
      </c>
      <c r="AV634">
        <v>30</v>
      </c>
      <c r="AW634">
        <v>6</v>
      </c>
      <c r="AX634" t="s">
        <v>74</v>
      </c>
      <c r="AY634" t="s">
        <v>74</v>
      </c>
      <c r="AZ634" t="s">
        <v>74</v>
      </c>
      <c r="BA634" t="s">
        <v>74</v>
      </c>
      <c r="BB634">
        <v>1869</v>
      </c>
      <c r="BC634">
        <v>1878</v>
      </c>
      <c r="BD634" t="s">
        <v>74</v>
      </c>
      <c r="BE634" t="s">
        <v>12032</v>
      </c>
      <c r="BF634" t="str">
        <f>HYPERLINK("http://dx.doi.org/10.1007/s11274-014-1607-2","http://dx.doi.org/10.1007/s11274-014-1607-2")</f>
        <v>http://dx.doi.org/10.1007/s11274-014-1607-2</v>
      </c>
      <c r="BG634" t="s">
        <v>74</v>
      </c>
      <c r="BH634" t="s">
        <v>74</v>
      </c>
      <c r="BI634">
        <v>10</v>
      </c>
      <c r="BJ634" t="s">
        <v>908</v>
      </c>
      <c r="BK634" t="s">
        <v>102</v>
      </c>
      <c r="BL634" t="s">
        <v>908</v>
      </c>
      <c r="BM634" t="s">
        <v>12033</v>
      </c>
      <c r="BN634">
        <v>24474389</v>
      </c>
      <c r="BO634" t="s">
        <v>74</v>
      </c>
      <c r="BP634" t="s">
        <v>74</v>
      </c>
      <c r="BQ634" t="s">
        <v>74</v>
      </c>
      <c r="BR634" t="s">
        <v>105</v>
      </c>
      <c r="BS634" t="s">
        <v>12034</v>
      </c>
      <c r="BT634" t="str">
        <f>HYPERLINK("https%3A%2F%2Fwww.webofscience.com%2Fwos%2Fwoscc%2Ffull-record%2FWOS:000338136800019","View Full Record in Web of Science")</f>
        <v>View Full Record in Web of Science</v>
      </c>
    </row>
    <row r="635" spans="1:72" x14ac:dyDescent="0.15">
      <c r="A635" t="s">
        <v>72</v>
      </c>
      <c r="B635" t="s">
        <v>12035</v>
      </c>
      <c r="C635" t="s">
        <v>74</v>
      </c>
      <c r="D635" t="s">
        <v>74</v>
      </c>
      <c r="E635" t="s">
        <v>74</v>
      </c>
      <c r="F635" t="s">
        <v>12036</v>
      </c>
      <c r="G635" t="s">
        <v>74</v>
      </c>
      <c r="H635" t="s">
        <v>74</v>
      </c>
      <c r="I635" t="s">
        <v>12037</v>
      </c>
      <c r="J635" t="s">
        <v>12038</v>
      </c>
      <c r="K635" t="s">
        <v>74</v>
      </c>
      <c r="L635" t="s">
        <v>74</v>
      </c>
      <c r="M635" t="s">
        <v>78</v>
      </c>
      <c r="N635" t="s">
        <v>79</v>
      </c>
      <c r="O635" t="s">
        <v>74</v>
      </c>
      <c r="P635" t="s">
        <v>74</v>
      </c>
      <c r="Q635" t="s">
        <v>74</v>
      </c>
      <c r="R635" t="s">
        <v>74</v>
      </c>
      <c r="S635" t="s">
        <v>74</v>
      </c>
      <c r="T635" t="s">
        <v>12039</v>
      </c>
      <c r="U635" t="s">
        <v>12040</v>
      </c>
      <c r="V635" t="s">
        <v>12041</v>
      </c>
      <c r="W635" t="s">
        <v>12042</v>
      </c>
      <c r="X635" t="s">
        <v>1109</v>
      </c>
      <c r="Y635" t="s">
        <v>12043</v>
      </c>
      <c r="Z635" t="s">
        <v>7811</v>
      </c>
      <c r="AA635" t="s">
        <v>74</v>
      </c>
      <c r="AB635" t="s">
        <v>74</v>
      </c>
      <c r="AC635" t="s">
        <v>74</v>
      </c>
      <c r="AD635" t="s">
        <v>74</v>
      </c>
      <c r="AE635" t="s">
        <v>74</v>
      </c>
      <c r="AF635" t="s">
        <v>74</v>
      </c>
      <c r="AG635">
        <v>40</v>
      </c>
      <c r="AH635">
        <v>7</v>
      </c>
      <c r="AI635">
        <v>9</v>
      </c>
      <c r="AJ635">
        <v>0</v>
      </c>
      <c r="AK635">
        <v>19</v>
      </c>
      <c r="AL635" t="s">
        <v>12044</v>
      </c>
      <c r="AM635" t="s">
        <v>550</v>
      </c>
      <c r="AN635" t="s">
        <v>12045</v>
      </c>
      <c r="AO635" t="s">
        <v>12046</v>
      </c>
      <c r="AP635" t="s">
        <v>12047</v>
      </c>
      <c r="AQ635" t="s">
        <v>74</v>
      </c>
      <c r="AR635" t="s">
        <v>12048</v>
      </c>
      <c r="AS635" t="s">
        <v>12049</v>
      </c>
      <c r="AT635" t="s">
        <v>11484</v>
      </c>
      <c r="AU635">
        <v>2014</v>
      </c>
      <c r="AV635">
        <v>18</v>
      </c>
      <c r="AW635">
        <v>2</v>
      </c>
      <c r="AX635" t="s">
        <v>74</v>
      </c>
      <c r="AY635" t="s">
        <v>74</v>
      </c>
      <c r="AZ635" t="s">
        <v>74</v>
      </c>
      <c r="BA635" t="s">
        <v>74</v>
      </c>
      <c r="BB635">
        <v>241</v>
      </c>
      <c r="BC635">
        <v>246</v>
      </c>
      <c r="BD635" t="s">
        <v>74</v>
      </c>
      <c r="BE635" t="s">
        <v>12050</v>
      </c>
      <c r="BF635" t="str">
        <f>HYPERLINK("http://dx.doi.org/10.1007/s12303-013-0061-8","http://dx.doi.org/10.1007/s12303-013-0061-8")</f>
        <v>http://dx.doi.org/10.1007/s12303-013-0061-8</v>
      </c>
      <c r="BG635" t="s">
        <v>74</v>
      </c>
      <c r="BH635" t="s">
        <v>74</v>
      </c>
      <c r="BI635">
        <v>6</v>
      </c>
      <c r="BJ635" t="s">
        <v>685</v>
      </c>
      <c r="BK635" t="s">
        <v>102</v>
      </c>
      <c r="BL635" t="s">
        <v>686</v>
      </c>
      <c r="BM635" t="s">
        <v>12051</v>
      </c>
      <c r="BN635" t="s">
        <v>74</v>
      </c>
      <c r="BO635" t="s">
        <v>74</v>
      </c>
      <c r="BP635" t="s">
        <v>74</v>
      </c>
      <c r="BQ635" t="s">
        <v>74</v>
      </c>
      <c r="BR635" t="s">
        <v>105</v>
      </c>
      <c r="BS635" t="s">
        <v>12052</v>
      </c>
      <c r="BT635" t="str">
        <f>HYPERLINK("https%3A%2F%2Fwww.webofscience.com%2Fwos%2Fwoscc%2Ffull-record%2FWOS:000338098800010","View Full Record in Web of Science")</f>
        <v>View Full Record in Web of Science</v>
      </c>
    </row>
    <row r="636" spans="1:72" x14ac:dyDescent="0.15">
      <c r="A636" t="s">
        <v>72</v>
      </c>
      <c r="B636" t="s">
        <v>12053</v>
      </c>
      <c r="C636" t="s">
        <v>74</v>
      </c>
      <c r="D636" t="s">
        <v>74</v>
      </c>
      <c r="E636" t="s">
        <v>74</v>
      </c>
      <c r="F636" t="s">
        <v>12054</v>
      </c>
      <c r="G636" t="s">
        <v>74</v>
      </c>
      <c r="H636" t="s">
        <v>74</v>
      </c>
      <c r="I636" t="s">
        <v>12055</v>
      </c>
      <c r="J636" t="s">
        <v>12056</v>
      </c>
      <c r="K636" t="s">
        <v>74</v>
      </c>
      <c r="L636" t="s">
        <v>74</v>
      </c>
      <c r="M636" t="s">
        <v>78</v>
      </c>
      <c r="N636" t="s">
        <v>79</v>
      </c>
      <c r="O636" t="s">
        <v>74</v>
      </c>
      <c r="P636" t="s">
        <v>74</v>
      </c>
      <c r="Q636" t="s">
        <v>74</v>
      </c>
      <c r="R636" t="s">
        <v>74</v>
      </c>
      <c r="S636" t="s">
        <v>74</v>
      </c>
      <c r="T636" t="s">
        <v>74</v>
      </c>
      <c r="U636" t="s">
        <v>12057</v>
      </c>
      <c r="V636" t="s">
        <v>12058</v>
      </c>
      <c r="W636" t="s">
        <v>12059</v>
      </c>
      <c r="X636" t="s">
        <v>12060</v>
      </c>
      <c r="Y636" t="s">
        <v>12061</v>
      </c>
      <c r="Z636" t="s">
        <v>12062</v>
      </c>
      <c r="AA636" t="s">
        <v>12063</v>
      </c>
      <c r="AB636" t="s">
        <v>12064</v>
      </c>
      <c r="AC636" t="s">
        <v>12065</v>
      </c>
      <c r="AD636" t="s">
        <v>12066</v>
      </c>
      <c r="AE636" t="s">
        <v>12067</v>
      </c>
      <c r="AF636" t="s">
        <v>74</v>
      </c>
      <c r="AG636">
        <v>85</v>
      </c>
      <c r="AH636">
        <v>44</v>
      </c>
      <c r="AI636">
        <v>45</v>
      </c>
      <c r="AJ636">
        <v>0</v>
      </c>
      <c r="AK636">
        <v>28</v>
      </c>
      <c r="AL636" t="s">
        <v>11715</v>
      </c>
      <c r="AM636" t="s">
        <v>654</v>
      </c>
      <c r="AN636" t="s">
        <v>11716</v>
      </c>
      <c r="AO636" t="s">
        <v>12068</v>
      </c>
      <c r="AP636" t="s">
        <v>12069</v>
      </c>
      <c r="AQ636" t="s">
        <v>74</v>
      </c>
      <c r="AR636" t="s">
        <v>12070</v>
      </c>
      <c r="AS636" t="s">
        <v>12071</v>
      </c>
      <c r="AT636" t="s">
        <v>11484</v>
      </c>
      <c r="AU636">
        <v>2014</v>
      </c>
      <c r="AV636">
        <v>95</v>
      </c>
      <c r="AW636" t="s">
        <v>74</v>
      </c>
      <c r="AX636">
        <v>6</v>
      </c>
      <c r="AY636" t="s">
        <v>74</v>
      </c>
      <c r="AZ636" t="s">
        <v>74</v>
      </c>
      <c r="BA636" t="s">
        <v>74</v>
      </c>
      <c r="BB636">
        <v>1352</v>
      </c>
      <c r="BC636">
        <v>1365</v>
      </c>
      <c r="BD636" t="s">
        <v>74</v>
      </c>
      <c r="BE636" t="s">
        <v>12072</v>
      </c>
      <c r="BF636" t="str">
        <f>HYPERLINK("http://dx.doi.org/10.1099/vir.0.064436-0","http://dx.doi.org/10.1099/vir.0.064436-0")</f>
        <v>http://dx.doi.org/10.1099/vir.0.064436-0</v>
      </c>
      <c r="BG636" t="s">
        <v>74</v>
      </c>
      <c r="BH636" t="s">
        <v>74</v>
      </c>
      <c r="BI636">
        <v>14</v>
      </c>
      <c r="BJ636" t="s">
        <v>12073</v>
      </c>
      <c r="BK636" t="s">
        <v>102</v>
      </c>
      <c r="BL636" t="s">
        <v>12073</v>
      </c>
      <c r="BM636" t="s">
        <v>12074</v>
      </c>
      <c r="BN636">
        <v>24686913</v>
      </c>
      <c r="BO636" t="s">
        <v>179</v>
      </c>
      <c r="BP636" t="s">
        <v>74</v>
      </c>
      <c r="BQ636" t="s">
        <v>74</v>
      </c>
      <c r="BR636" t="s">
        <v>105</v>
      </c>
      <c r="BS636" t="s">
        <v>12075</v>
      </c>
      <c r="BT636" t="str">
        <f>HYPERLINK("https%3A%2F%2Fwww.webofscience.com%2Fwos%2Fwoscc%2Ffull-record%2FWOS:000338176700016","View Full Record in Web of Science")</f>
        <v>View Full Record in Web of Science</v>
      </c>
    </row>
    <row r="637" spans="1:72" x14ac:dyDescent="0.15">
      <c r="A637" t="s">
        <v>72</v>
      </c>
      <c r="B637" t="s">
        <v>12076</v>
      </c>
      <c r="C637" t="s">
        <v>74</v>
      </c>
      <c r="D637" t="s">
        <v>74</v>
      </c>
      <c r="E637" t="s">
        <v>74</v>
      </c>
      <c r="F637" t="s">
        <v>12077</v>
      </c>
      <c r="G637" t="s">
        <v>74</v>
      </c>
      <c r="H637" t="s">
        <v>74</v>
      </c>
      <c r="I637" t="s">
        <v>12078</v>
      </c>
      <c r="J637" t="s">
        <v>12079</v>
      </c>
      <c r="K637" t="s">
        <v>74</v>
      </c>
      <c r="L637" t="s">
        <v>74</v>
      </c>
      <c r="M637" t="s">
        <v>78</v>
      </c>
      <c r="N637" t="s">
        <v>79</v>
      </c>
      <c r="O637" t="s">
        <v>74</v>
      </c>
      <c r="P637" t="s">
        <v>74</v>
      </c>
      <c r="Q637" t="s">
        <v>74</v>
      </c>
      <c r="R637" t="s">
        <v>74</v>
      </c>
      <c r="S637" t="s">
        <v>74</v>
      </c>
      <c r="T637" t="s">
        <v>74</v>
      </c>
      <c r="U637" t="s">
        <v>74</v>
      </c>
      <c r="V637" t="s">
        <v>12080</v>
      </c>
      <c r="W637" t="s">
        <v>74</v>
      </c>
      <c r="X637" t="s">
        <v>74</v>
      </c>
      <c r="Y637" t="s">
        <v>12081</v>
      </c>
      <c r="Z637" t="s">
        <v>12082</v>
      </c>
      <c r="AA637" t="s">
        <v>74</v>
      </c>
      <c r="AB637" t="s">
        <v>74</v>
      </c>
      <c r="AC637" t="s">
        <v>74</v>
      </c>
      <c r="AD637" t="s">
        <v>74</v>
      </c>
      <c r="AE637" t="s">
        <v>74</v>
      </c>
      <c r="AF637" t="s">
        <v>74</v>
      </c>
      <c r="AG637">
        <v>8</v>
      </c>
      <c r="AH637">
        <v>1</v>
      </c>
      <c r="AI637">
        <v>1</v>
      </c>
      <c r="AJ637">
        <v>0</v>
      </c>
      <c r="AK637">
        <v>6</v>
      </c>
      <c r="AL637" t="s">
        <v>2353</v>
      </c>
      <c r="AM637" t="s">
        <v>576</v>
      </c>
      <c r="AN637" t="s">
        <v>2354</v>
      </c>
      <c r="AO637" t="s">
        <v>12083</v>
      </c>
      <c r="AP637" t="s">
        <v>12084</v>
      </c>
      <c r="AQ637" t="s">
        <v>74</v>
      </c>
      <c r="AR637" t="s">
        <v>12085</v>
      </c>
      <c r="AS637" t="s">
        <v>12086</v>
      </c>
      <c r="AT637" t="s">
        <v>11484</v>
      </c>
      <c r="AU637">
        <v>2014</v>
      </c>
      <c r="AV637">
        <v>50</v>
      </c>
      <c r="AW637">
        <v>3</v>
      </c>
      <c r="AX637" t="s">
        <v>74</v>
      </c>
      <c r="AY637" t="s">
        <v>74</v>
      </c>
      <c r="AZ637" t="s">
        <v>74</v>
      </c>
      <c r="BA637" t="s">
        <v>74</v>
      </c>
      <c r="BB637">
        <v>277</v>
      </c>
      <c r="BC637">
        <v>283</v>
      </c>
      <c r="BD637" t="s">
        <v>74</v>
      </c>
      <c r="BE637" t="s">
        <v>12087</v>
      </c>
      <c r="BF637" t="str">
        <f>HYPERLINK("http://dx.doi.org/10.1017/S0032247413000211","http://dx.doi.org/10.1017/S0032247413000211")</f>
        <v>http://dx.doi.org/10.1017/S0032247413000211</v>
      </c>
      <c r="BG637" t="s">
        <v>74</v>
      </c>
      <c r="BH637" t="s">
        <v>74</v>
      </c>
      <c r="BI637">
        <v>7</v>
      </c>
      <c r="BJ637" t="s">
        <v>2552</v>
      </c>
      <c r="BK637" t="s">
        <v>102</v>
      </c>
      <c r="BL637" t="s">
        <v>2553</v>
      </c>
      <c r="BM637" t="s">
        <v>12088</v>
      </c>
      <c r="BN637" t="s">
        <v>74</v>
      </c>
      <c r="BO637" t="s">
        <v>74</v>
      </c>
      <c r="BP637" t="s">
        <v>74</v>
      </c>
      <c r="BQ637" t="s">
        <v>74</v>
      </c>
      <c r="BR637" t="s">
        <v>105</v>
      </c>
      <c r="BS637" t="s">
        <v>12089</v>
      </c>
      <c r="BT637" t="str">
        <f>HYPERLINK("https%3A%2F%2Fwww.webofscience.com%2Fwos%2Fwoscc%2Ffull-record%2FWOS:000337752900004","View Full Record in Web of Science")</f>
        <v>View Full Record in Web of Science</v>
      </c>
    </row>
    <row r="638" spans="1:72" x14ac:dyDescent="0.15">
      <c r="A638" t="s">
        <v>72</v>
      </c>
      <c r="B638" t="s">
        <v>12090</v>
      </c>
      <c r="C638" t="s">
        <v>74</v>
      </c>
      <c r="D638" t="s">
        <v>74</v>
      </c>
      <c r="E638" t="s">
        <v>74</v>
      </c>
      <c r="F638" t="s">
        <v>12091</v>
      </c>
      <c r="G638" t="s">
        <v>74</v>
      </c>
      <c r="H638" t="s">
        <v>74</v>
      </c>
      <c r="I638" t="s">
        <v>12092</v>
      </c>
      <c r="J638" t="s">
        <v>12079</v>
      </c>
      <c r="K638" t="s">
        <v>74</v>
      </c>
      <c r="L638" t="s">
        <v>74</v>
      </c>
      <c r="M638" t="s">
        <v>78</v>
      </c>
      <c r="N638" t="s">
        <v>79</v>
      </c>
      <c r="O638" t="s">
        <v>74</v>
      </c>
      <c r="P638" t="s">
        <v>74</v>
      </c>
      <c r="Q638" t="s">
        <v>74</v>
      </c>
      <c r="R638" t="s">
        <v>74</v>
      </c>
      <c r="S638" t="s">
        <v>74</v>
      </c>
      <c r="T638" t="s">
        <v>74</v>
      </c>
      <c r="U638" t="s">
        <v>74</v>
      </c>
      <c r="V638" t="s">
        <v>12093</v>
      </c>
      <c r="W638" t="s">
        <v>12094</v>
      </c>
      <c r="X638" t="s">
        <v>12095</v>
      </c>
      <c r="Y638" t="s">
        <v>12096</v>
      </c>
      <c r="Z638" t="s">
        <v>12097</v>
      </c>
      <c r="AA638" t="s">
        <v>74</v>
      </c>
      <c r="AB638" t="s">
        <v>74</v>
      </c>
      <c r="AC638" t="s">
        <v>74</v>
      </c>
      <c r="AD638" t="s">
        <v>74</v>
      </c>
      <c r="AE638" t="s">
        <v>74</v>
      </c>
      <c r="AF638" t="s">
        <v>74</v>
      </c>
      <c r="AG638">
        <v>13</v>
      </c>
      <c r="AH638">
        <v>2</v>
      </c>
      <c r="AI638">
        <v>3</v>
      </c>
      <c r="AJ638">
        <v>0</v>
      </c>
      <c r="AK638">
        <v>3</v>
      </c>
      <c r="AL638" t="s">
        <v>2353</v>
      </c>
      <c r="AM638" t="s">
        <v>576</v>
      </c>
      <c r="AN638" t="s">
        <v>2354</v>
      </c>
      <c r="AO638" t="s">
        <v>12083</v>
      </c>
      <c r="AP638" t="s">
        <v>12084</v>
      </c>
      <c r="AQ638" t="s">
        <v>74</v>
      </c>
      <c r="AR638" t="s">
        <v>12085</v>
      </c>
      <c r="AS638" t="s">
        <v>12086</v>
      </c>
      <c r="AT638" t="s">
        <v>11484</v>
      </c>
      <c r="AU638">
        <v>2014</v>
      </c>
      <c r="AV638">
        <v>50</v>
      </c>
      <c r="AW638">
        <v>3</v>
      </c>
      <c r="AX638" t="s">
        <v>74</v>
      </c>
      <c r="AY638" t="s">
        <v>74</v>
      </c>
      <c r="AZ638" t="s">
        <v>74</v>
      </c>
      <c r="BA638" t="s">
        <v>74</v>
      </c>
      <c r="BB638">
        <v>330</v>
      </c>
      <c r="BC638">
        <v>333</v>
      </c>
      <c r="BD638" t="s">
        <v>74</v>
      </c>
      <c r="BE638" t="s">
        <v>12098</v>
      </c>
      <c r="BF638" t="str">
        <f>HYPERLINK("http://dx.doi.org/10.1017/S0032247413000016","http://dx.doi.org/10.1017/S0032247413000016")</f>
        <v>http://dx.doi.org/10.1017/S0032247413000016</v>
      </c>
      <c r="BG638" t="s">
        <v>74</v>
      </c>
      <c r="BH638" t="s">
        <v>74</v>
      </c>
      <c r="BI638">
        <v>4</v>
      </c>
      <c r="BJ638" t="s">
        <v>2552</v>
      </c>
      <c r="BK638" t="s">
        <v>102</v>
      </c>
      <c r="BL638" t="s">
        <v>2553</v>
      </c>
      <c r="BM638" t="s">
        <v>12088</v>
      </c>
      <c r="BN638" t="s">
        <v>74</v>
      </c>
      <c r="BO638" t="s">
        <v>74</v>
      </c>
      <c r="BP638" t="s">
        <v>74</v>
      </c>
      <c r="BQ638" t="s">
        <v>74</v>
      </c>
      <c r="BR638" t="s">
        <v>105</v>
      </c>
      <c r="BS638" t="s">
        <v>12099</v>
      </c>
      <c r="BT638" t="str">
        <f>HYPERLINK("https%3A%2F%2Fwww.webofscience.com%2Fwos%2Fwoscc%2Ffull-record%2FWOS:000337752900009","View Full Record in Web of Science")</f>
        <v>View Full Record in Web of Science</v>
      </c>
    </row>
    <row r="639" spans="1:72" x14ac:dyDescent="0.15">
      <c r="A639" t="s">
        <v>72</v>
      </c>
      <c r="B639" t="s">
        <v>12100</v>
      </c>
      <c r="C639" t="s">
        <v>74</v>
      </c>
      <c r="D639" t="s">
        <v>74</v>
      </c>
      <c r="E639" t="s">
        <v>74</v>
      </c>
      <c r="F639" t="s">
        <v>12101</v>
      </c>
      <c r="G639" t="s">
        <v>74</v>
      </c>
      <c r="H639" t="s">
        <v>74</v>
      </c>
      <c r="I639" t="s">
        <v>12102</v>
      </c>
      <c r="J639" t="s">
        <v>12103</v>
      </c>
      <c r="K639" t="s">
        <v>74</v>
      </c>
      <c r="L639" t="s">
        <v>74</v>
      </c>
      <c r="M639" t="s">
        <v>78</v>
      </c>
      <c r="N639" t="s">
        <v>79</v>
      </c>
      <c r="O639" t="s">
        <v>74</v>
      </c>
      <c r="P639" t="s">
        <v>74</v>
      </c>
      <c r="Q639" t="s">
        <v>74</v>
      </c>
      <c r="R639" t="s">
        <v>74</v>
      </c>
      <c r="S639" t="s">
        <v>74</v>
      </c>
      <c r="T639" t="s">
        <v>12104</v>
      </c>
      <c r="U639" t="s">
        <v>12105</v>
      </c>
      <c r="V639" t="s">
        <v>12106</v>
      </c>
      <c r="W639" t="s">
        <v>12107</v>
      </c>
      <c r="X639" t="s">
        <v>12108</v>
      </c>
      <c r="Y639" t="s">
        <v>12109</v>
      </c>
      <c r="Z639" t="s">
        <v>12110</v>
      </c>
      <c r="AA639" t="s">
        <v>12111</v>
      </c>
      <c r="AB639" t="s">
        <v>12112</v>
      </c>
      <c r="AC639" t="s">
        <v>12113</v>
      </c>
      <c r="AD639" t="s">
        <v>12114</v>
      </c>
      <c r="AE639" t="s">
        <v>12115</v>
      </c>
      <c r="AF639" t="s">
        <v>74</v>
      </c>
      <c r="AG639">
        <v>50</v>
      </c>
      <c r="AH639">
        <v>13</v>
      </c>
      <c r="AI639">
        <v>14</v>
      </c>
      <c r="AJ639">
        <v>1</v>
      </c>
      <c r="AK639">
        <v>31</v>
      </c>
      <c r="AL639" t="s">
        <v>171</v>
      </c>
      <c r="AM639" t="s">
        <v>93</v>
      </c>
      <c r="AN639" t="s">
        <v>94</v>
      </c>
      <c r="AO639" t="s">
        <v>12116</v>
      </c>
      <c r="AP639" t="s">
        <v>12117</v>
      </c>
      <c r="AQ639" t="s">
        <v>74</v>
      </c>
      <c r="AR639" t="s">
        <v>12118</v>
      </c>
      <c r="AS639" t="s">
        <v>12119</v>
      </c>
      <c r="AT639" t="s">
        <v>11484</v>
      </c>
      <c r="AU639">
        <v>2014</v>
      </c>
      <c r="AV639">
        <v>45</v>
      </c>
      <c r="AW639">
        <v>7</v>
      </c>
      <c r="AX639" t="s">
        <v>74</v>
      </c>
      <c r="AY639" t="s">
        <v>74</v>
      </c>
      <c r="AZ639" t="s">
        <v>74</v>
      </c>
      <c r="BA639" t="s">
        <v>74</v>
      </c>
      <c r="BB639">
        <v>1140</v>
      </c>
      <c r="BC639">
        <v>1152</v>
      </c>
      <c r="BD639" t="s">
        <v>74</v>
      </c>
      <c r="BE639" t="s">
        <v>12120</v>
      </c>
      <c r="BF639" t="str">
        <f>HYPERLINK("http://dx.doi.org/10.1111/are.12056","http://dx.doi.org/10.1111/are.12056")</f>
        <v>http://dx.doi.org/10.1111/are.12056</v>
      </c>
      <c r="BG639" t="s">
        <v>74</v>
      </c>
      <c r="BH639" t="s">
        <v>74</v>
      </c>
      <c r="BI639">
        <v>13</v>
      </c>
      <c r="BJ639" t="s">
        <v>3063</v>
      </c>
      <c r="BK639" t="s">
        <v>102</v>
      </c>
      <c r="BL639" t="s">
        <v>3063</v>
      </c>
      <c r="BM639" t="s">
        <v>12121</v>
      </c>
      <c r="BN639" t="s">
        <v>74</v>
      </c>
      <c r="BO639" t="s">
        <v>12122</v>
      </c>
      <c r="BP639" t="s">
        <v>74</v>
      </c>
      <c r="BQ639" t="s">
        <v>74</v>
      </c>
      <c r="BR639" t="s">
        <v>105</v>
      </c>
      <c r="BS639" t="s">
        <v>12123</v>
      </c>
      <c r="BT639" t="str">
        <f>HYPERLINK("https%3A%2F%2Fwww.webofscience.com%2Fwos%2Fwoscc%2Ffull-record%2FWOS:000337684600005","View Full Record in Web of Science")</f>
        <v>View Full Record in Web of Science</v>
      </c>
    </row>
    <row r="640" spans="1:72" x14ac:dyDescent="0.15">
      <c r="A640" t="s">
        <v>72</v>
      </c>
      <c r="B640" t="s">
        <v>12124</v>
      </c>
      <c r="C640" t="s">
        <v>74</v>
      </c>
      <c r="D640" t="s">
        <v>74</v>
      </c>
      <c r="E640" t="s">
        <v>74</v>
      </c>
      <c r="F640" t="s">
        <v>12125</v>
      </c>
      <c r="G640" t="s">
        <v>74</v>
      </c>
      <c r="H640" t="s">
        <v>74</v>
      </c>
      <c r="I640" t="s">
        <v>12126</v>
      </c>
      <c r="J640" t="s">
        <v>2947</v>
      </c>
      <c r="K640" t="s">
        <v>74</v>
      </c>
      <c r="L640" t="s">
        <v>74</v>
      </c>
      <c r="M640" t="s">
        <v>78</v>
      </c>
      <c r="N640" t="s">
        <v>79</v>
      </c>
      <c r="O640" t="s">
        <v>74</v>
      </c>
      <c r="P640" t="s">
        <v>74</v>
      </c>
      <c r="Q640" t="s">
        <v>74</v>
      </c>
      <c r="R640" t="s">
        <v>74</v>
      </c>
      <c r="S640" t="s">
        <v>74</v>
      </c>
      <c r="T640" t="s">
        <v>12127</v>
      </c>
      <c r="U640" t="s">
        <v>12128</v>
      </c>
      <c r="V640" t="s">
        <v>12129</v>
      </c>
      <c r="W640" t="s">
        <v>12130</v>
      </c>
      <c r="X640" t="s">
        <v>11584</v>
      </c>
      <c r="Y640" t="s">
        <v>12131</v>
      </c>
      <c r="Z640" t="s">
        <v>12132</v>
      </c>
      <c r="AA640" t="s">
        <v>74</v>
      </c>
      <c r="AB640" t="s">
        <v>74</v>
      </c>
      <c r="AC640" t="s">
        <v>12133</v>
      </c>
      <c r="AD640" t="s">
        <v>12134</v>
      </c>
      <c r="AE640" t="s">
        <v>12135</v>
      </c>
      <c r="AF640" t="s">
        <v>74</v>
      </c>
      <c r="AG640">
        <v>43</v>
      </c>
      <c r="AH640">
        <v>8</v>
      </c>
      <c r="AI640">
        <v>9</v>
      </c>
      <c r="AJ640">
        <v>2</v>
      </c>
      <c r="AK640">
        <v>17</v>
      </c>
      <c r="AL640" t="s">
        <v>250</v>
      </c>
      <c r="AM640" t="s">
        <v>251</v>
      </c>
      <c r="AN640" t="s">
        <v>252</v>
      </c>
      <c r="AO640" t="s">
        <v>2956</v>
      </c>
      <c r="AP640" t="s">
        <v>2957</v>
      </c>
      <c r="AQ640" t="s">
        <v>74</v>
      </c>
      <c r="AR640" t="s">
        <v>2958</v>
      </c>
      <c r="AS640" t="s">
        <v>2959</v>
      </c>
      <c r="AT640" t="s">
        <v>11484</v>
      </c>
      <c r="AU640">
        <v>2014</v>
      </c>
      <c r="AV640">
        <v>88</v>
      </c>
      <c r="AW640" t="s">
        <v>74</v>
      </c>
      <c r="AX640" t="s">
        <v>74</v>
      </c>
      <c r="AY640" t="s">
        <v>74</v>
      </c>
      <c r="AZ640" t="s">
        <v>74</v>
      </c>
      <c r="BA640" t="s">
        <v>74</v>
      </c>
      <c r="BB640">
        <v>1</v>
      </c>
      <c r="BC640">
        <v>7</v>
      </c>
      <c r="BD640" t="s">
        <v>74</v>
      </c>
      <c r="BE640" t="s">
        <v>12136</v>
      </c>
      <c r="BF640" t="str">
        <f>HYPERLINK("http://dx.doi.org/10.1016/j.dsr.2014.02.007","http://dx.doi.org/10.1016/j.dsr.2014.02.007")</f>
        <v>http://dx.doi.org/10.1016/j.dsr.2014.02.007</v>
      </c>
      <c r="BG640" t="s">
        <v>74</v>
      </c>
      <c r="BH640" t="s">
        <v>74</v>
      </c>
      <c r="BI640">
        <v>7</v>
      </c>
      <c r="BJ640" t="s">
        <v>152</v>
      </c>
      <c r="BK640" t="s">
        <v>102</v>
      </c>
      <c r="BL640" t="s">
        <v>152</v>
      </c>
      <c r="BM640" t="s">
        <v>12137</v>
      </c>
      <c r="BN640" t="s">
        <v>74</v>
      </c>
      <c r="BO640" t="s">
        <v>74</v>
      </c>
      <c r="BP640" t="s">
        <v>74</v>
      </c>
      <c r="BQ640" t="s">
        <v>74</v>
      </c>
      <c r="BR640" t="s">
        <v>105</v>
      </c>
      <c r="BS640" t="s">
        <v>12138</v>
      </c>
      <c r="BT640" t="str">
        <f>HYPERLINK("https%3A%2F%2Fwww.webofscience.com%2Fwos%2Fwoscc%2Ffull-record%2FWOS:000337658800001","View Full Record in Web of Science")</f>
        <v>View Full Record in Web of Science</v>
      </c>
    </row>
    <row r="641" spans="1:72" x14ac:dyDescent="0.15">
      <c r="A641" t="s">
        <v>72</v>
      </c>
      <c r="B641" t="s">
        <v>12139</v>
      </c>
      <c r="C641" t="s">
        <v>74</v>
      </c>
      <c r="D641" t="s">
        <v>74</v>
      </c>
      <c r="E641" t="s">
        <v>74</v>
      </c>
      <c r="F641" t="s">
        <v>12140</v>
      </c>
      <c r="G641" t="s">
        <v>74</v>
      </c>
      <c r="H641" t="s">
        <v>74</v>
      </c>
      <c r="I641" t="s">
        <v>12141</v>
      </c>
      <c r="J641" t="s">
        <v>12142</v>
      </c>
      <c r="K641" t="s">
        <v>74</v>
      </c>
      <c r="L641" t="s">
        <v>74</v>
      </c>
      <c r="M641" t="s">
        <v>78</v>
      </c>
      <c r="N641" t="s">
        <v>79</v>
      </c>
      <c r="O641" t="s">
        <v>74</v>
      </c>
      <c r="P641" t="s">
        <v>74</v>
      </c>
      <c r="Q641" t="s">
        <v>74</v>
      </c>
      <c r="R641" t="s">
        <v>74</v>
      </c>
      <c r="S641" t="s">
        <v>74</v>
      </c>
      <c r="T641" t="s">
        <v>12143</v>
      </c>
      <c r="U641" t="s">
        <v>12144</v>
      </c>
      <c r="V641" t="s">
        <v>12145</v>
      </c>
      <c r="W641" t="s">
        <v>12146</v>
      </c>
      <c r="X641" t="s">
        <v>12147</v>
      </c>
      <c r="Y641" t="s">
        <v>12148</v>
      </c>
      <c r="Z641" t="s">
        <v>12149</v>
      </c>
      <c r="AA641" t="s">
        <v>12150</v>
      </c>
      <c r="AB641" t="s">
        <v>12151</v>
      </c>
      <c r="AC641" t="s">
        <v>12152</v>
      </c>
      <c r="AD641" t="s">
        <v>12153</v>
      </c>
      <c r="AE641" t="s">
        <v>12154</v>
      </c>
      <c r="AF641" t="s">
        <v>74</v>
      </c>
      <c r="AG641">
        <v>60</v>
      </c>
      <c r="AH641">
        <v>15</v>
      </c>
      <c r="AI641">
        <v>17</v>
      </c>
      <c r="AJ641">
        <v>2</v>
      </c>
      <c r="AK641">
        <v>26</v>
      </c>
      <c r="AL641" t="s">
        <v>171</v>
      </c>
      <c r="AM641" t="s">
        <v>93</v>
      </c>
      <c r="AN641" t="s">
        <v>94</v>
      </c>
      <c r="AO641" t="s">
        <v>12155</v>
      </c>
      <c r="AP641" t="s">
        <v>12156</v>
      </c>
      <c r="AQ641" t="s">
        <v>74</v>
      </c>
      <c r="AR641" t="s">
        <v>12142</v>
      </c>
      <c r="AS641" t="s">
        <v>12157</v>
      </c>
      <c r="AT641" t="s">
        <v>11484</v>
      </c>
      <c r="AU641">
        <v>2014</v>
      </c>
      <c r="AV641">
        <v>25</v>
      </c>
      <c r="AW641">
        <v>4</v>
      </c>
      <c r="AX641" t="s">
        <v>74</v>
      </c>
      <c r="AY641" t="s">
        <v>74</v>
      </c>
      <c r="AZ641" t="s">
        <v>258</v>
      </c>
      <c r="BA641" t="s">
        <v>74</v>
      </c>
      <c r="BB641">
        <v>245</v>
      </c>
      <c r="BC641">
        <v>264</v>
      </c>
      <c r="BD641" t="s">
        <v>74</v>
      </c>
      <c r="BE641" t="s">
        <v>12158</v>
      </c>
      <c r="BF641" t="str">
        <f>HYPERLINK("http://dx.doi.org/10.1002/env.2247","http://dx.doi.org/10.1002/env.2247")</f>
        <v>http://dx.doi.org/10.1002/env.2247</v>
      </c>
      <c r="BG641" t="s">
        <v>74</v>
      </c>
      <c r="BH641" t="s">
        <v>74</v>
      </c>
      <c r="BI641">
        <v>20</v>
      </c>
      <c r="BJ641" t="s">
        <v>12159</v>
      </c>
      <c r="BK641" t="s">
        <v>102</v>
      </c>
      <c r="BL641" t="s">
        <v>12160</v>
      </c>
      <c r="BM641" t="s">
        <v>12161</v>
      </c>
      <c r="BN641">
        <v>25505370</v>
      </c>
      <c r="BO641" t="s">
        <v>1274</v>
      </c>
      <c r="BP641" t="s">
        <v>74</v>
      </c>
      <c r="BQ641" t="s">
        <v>74</v>
      </c>
      <c r="BR641" t="s">
        <v>105</v>
      </c>
      <c r="BS641" t="s">
        <v>12162</v>
      </c>
      <c r="BT641" t="str">
        <f>HYPERLINK("https%3A%2F%2Fwww.webofscience.com%2Fwos%2Fwoscc%2Ffull-record%2FWOS:000337517100005","View Full Record in Web of Science")</f>
        <v>View Full Record in Web of Science</v>
      </c>
    </row>
    <row r="642" spans="1:72" x14ac:dyDescent="0.15">
      <c r="A642" t="s">
        <v>72</v>
      </c>
      <c r="B642" t="s">
        <v>12163</v>
      </c>
      <c r="C642" t="s">
        <v>74</v>
      </c>
      <c r="D642" t="s">
        <v>74</v>
      </c>
      <c r="E642" t="s">
        <v>74</v>
      </c>
      <c r="F642" t="s">
        <v>12164</v>
      </c>
      <c r="G642" t="s">
        <v>74</v>
      </c>
      <c r="H642" t="s">
        <v>74</v>
      </c>
      <c r="I642" t="s">
        <v>12165</v>
      </c>
      <c r="J642" t="s">
        <v>158</v>
      </c>
      <c r="K642" t="s">
        <v>74</v>
      </c>
      <c r="L642" t="s">
        <v>74</v>
      </c>
      <c r="M642" t="s">
        <v>78</v>
      </c>
      <c r="N642" t="s">
        <v>79</v>
      </c>
      <c r="O642" t="s">
        <v>74</v>
      </c>
      <c r="P642" t="s">
        <v>74</v>
      </c>
      <c r="Q642" t="s">
        <v>74</v>
      </c>
      <c r="R642" t="s">
        <v>74</v>
      </c>
      <c r="S642" t="s">
        <v>74</v>
      </c>
      <c r="T642" t="s">
        <v>12166</v>
      </c>
      <c r="U642" t="s">
        <v>12167</v>
      </c>
      <c r="V642" t="s">
        <v>12168</v>
      </c>
      <c r="W642" t="s">
        <v>12169</v>
      </c>
      <c r="X642" t="s">
        <v>12170</v>
      </c>
      <c r="Y642" t="s">
        <v>12171</v>
      </c>
      <c r="Z642" t="s">
        <v>12172</v>
      </c>
      <c r="AA642" t="s">
        <v>74</v>
      </c>
      <c r="AB642" t="s">
        <v>12173</v>
      </c>
      <c r="AC642" t="s">
        <v>12174</v>
      </c>
      <c r="AD642" t="s">
        <v>12174</v>
      </c>
      <c r="AE642" t="s">
        <v>12175</v>
      </c>
      <c r="AF642" t="s">
        <v>74</v>
      </c>
      <c r="AG642">
        <v>77</v>
      </c>
      <c r="AH642">
        <v>43</v>
      </c>
      <c r="AI642">
        <v>46</v>
      </c>
      <c r="AJ642">
        <v>1</v>
      </c>
      <c r="AK642">
        <v>22</v>
      </c>
      <c r="AL642" t="s">
        <v>171</v>
      </c>
      <c r="AM642" t="s">
        <v>93</v>
      </c>
      <c r="AN642" t="s">
        <v>94</v>
      </c>
      <c r="AO642" t="s">
        <v>172</v>
      </c>
      <c r="AP642" t="s">
        <v>173</v>
      </c>
      <c r="AQ642" t="s">
        <v>74</v>
      </c>
      <c r="AR642" t="s">
        <v>174</v>
      </c>
      <c r="AS642" t="s">
        <v>175</v>
      </c>
      <c r="AT642" t="s">
        <v>11484</v>
      </c>
      <c r="AU642">
        <v>2014</v>
      </c>
      <c r="AV642">
        <v>34</v>
      </c>
      <c r="AW642">
        <v>7</v>
      </c>
      <c r="AX642" t="s">
        <v>74</v>
      </c>
      <c r="AY642" t="s">
        <v>74</v>
      </c>
      <c r="AZ642" t="s">
        <v>74</v>
      </c>
      <c r="BA642" t="s">
        <v>74</v>
      </c>
      <c r="BB642">
        <v>2330</v>
      </c>
      <c r="BC642">
        <v>2348</v>
      </c>
      <c r="BD642" t="s">
        <v>74</v>
      </c>
      <c r="BE642" t="s">
        <v>12176</v>
      </c>
      <c r="BF642" t="str">
        <f>HYPERLINK("http://dx.doi.org/10.1002/joc.3842","http://dx.doi.org/10.1002/joc.3842")</f>
        <v>http://dx.doi.org/10.1002/joc.3842</v>
      </c>
      <c r="BG642" t="s">
        <v>74</v>
      </c>
      <c r="BH642" t="s">
        <v>74</v>
      </c>
      <c r="BI642">
        <v>19</v>
      </c>
      <c r="BJ642" t="s">
        <v>177</v>
      </c>
      <c r="BK642" t="s">
        <v>102</v>
      </c>
      <c r="BL642" t="s">
        <v>177</v>
      </c>
      <c r="BM642" t="s">
        <v>12177</v>
      </c>
      <c r="BN642" t="s">
        <v>74</v>
      </c>
      <c r="BO642" t="s">
        <v>74</v>
      </c>
      <c r="BP642" t="s">
        <v>74</v>
      </c>
      <c r="BQ642" t="s">
        <v>74</v>
      </c>
      <c r="BR642" t="s">
        <v>105</v>
      </c>
      <c r="BS642" t="s">
        <v>12178</v>
      </c>
      <c r="BT642" t="str">
        <f>HYPERLINK("https%3A%2F%2Fwww.webofscience.com%2Fwos%2Fwoscc%2Ffull-record%2FWOS:000337558200017","View Full Record in Web of Science")</f>
        <v>View Full Record in Web of Science</v>
      </c>
    </row>
    <row r="643" spans="1:72" x14ac:dyDescent="0.15">
      <c r="A643" t="s">
        <v>72</v>
      </c>
      <c r="B643" t="s">
        <v>12179</v>
      </c>
      <c r="C643" t="s">
        <v>74</v>
      </c>
      <c r="D643" t="s">
        <v>74</v>
      </c>
      <c r="E643" t="s">
        <v>74</v>
      </c>
      <c r="F643" t="s">
        <v>12180</v>
      </c>
      <c r="G643" t="s">
        <v>74</v>
      </c>
      <c r="H643" t="s">
        <v>74</v>
      </c>
      <c r="I643" t="s">
        <v>12181</v>
      </c>
      <c r="J643" t="s">
        <v>158</v>
      </c>
      <c r="K643" t="s">
        <v>74</v>
      </c>
      <c r="L643" t="s">
        <v>74</v>
      </c>
      <c r="M643" t="s">
        <v>78</v>
      </c>
      <c r="N643" t="s">
        <v>79</v>
      </c>
      <c r="O643" t="s">
        <v>74</v>
      </c>
      <c r="P643" t="s">
        <v>74</v>
      </c>
      <c r="Q643" t="s">
        <v>74</v>
      </c>
      <c r="R643" t="s">
        <v>74</v>
      </c>
      <c r="S643" t="s">
        <v>74</v>
      </c>
      <c r="T643" t="s">
        <v>12182</v>
      </c>
      <c r="U643" t="s">
        <v>12183</v>
      </c>
      <c r="V643" t="s">
        <v>12184</v>
      </c>
      <c r="W643" t="s">
        <v>12185</v>
      </c>
      <c r="X643" t="s">
        <v>12186</v>
      </c>
      <c r="Y643" t="s">
        <v>12187</v>
      </c>
      <c r="Z643" t="s">
        <v>12188</v>
      </c>
      <c r="AA643" t="s">
        <v>74</v>
      </c>
      <c r="AB643" t="s">
        <v>12189</v>
      </c>
      <c r="AC643" t="s">
        <v>12190</v>
      </c>
      <c r="AD643" t="s">
        <v>12191</v>
      </c>
      <c r="AE643" t="s">
        <v>12192</v>
      </c>
      <c r="AF643" t="s">
        <v>74</v>
      </c>
      <c r="AG643">
        <v>45</v>
      </c>
      <c r="AH643">
        <v>5</v>
      </c>
      <c r="AI643">
        <v>7</v>
      </c>
      <c r="AJ643">
        <v>1</v>
      </c>
      <c r="AK643">
        <v>19</v>
      </c>
      <c r="AL643" t="s">
        <v>171</v>
      </c>
      <c r="AM643" t="s">
        <v>93</v>
      </c>
      <c r="AN643" t="s">
        <v>94</v>
      </c>
      <c r="AO643" t="s">
        <v>172</v>
      </c>
      <c r="AP643" t="s">
        <v>173</v>
      </c>
      <c r="AQ643" t="s">
        <v>74</v>
      </c>
      <c r="AR643" t="s">
        <v>174</v>
      </c>
      <c r="AS643" t="s">
        <v>175</v>
      </c>
      <c r="AT643" t="s">
        <v>11484</v>
      </c>
      <c r="AU643">
        <v>2014</v>
      </c>
      <c r="AV643">
        <v>34</v>
      </c>
      <c r="AW643">
        <v>7</v>
      </c>
      <c r="AX643" t="s">
        <v>74</v>
      </c>
      <c r="AY643" t="s">
        <v>74</v>
      </c>
      <c r="AZ643" t="s">
        <v>74</v>
      </c>
      <c r="BA643" t="s">
        <v>74</v>
      </c>
      <c r="BB643">
        <v>2362</v>
      </c>
      <c r="BC643">
        <v>2377</v>
      </c>
      <c r="BD643" t="s">
        <v>74</v>
      </c>
      <c r="BE643" t="s">
        <v>12193</v>
      </c>
      <c r="BF643" t="str">
        <f>HYPERLINK("http://dx.doi.org/10.1002/joc.3844","http://dx.doi.org/10.1002/joc.3844")</f>
        <v>http://dx.doi.org/10.1002/joc.3844</v>
      </c>
      <c r="BG643" t="s">
        <v>74</v>
      </c>
      <c r="BH643" t="s">
        <v>74</v>
      </c>
      <c r="BI643">
        <v>16</v>
      </c>
      <c r="BJ643" t="s">
        <v>177</v>
      </c>
      <c r="BK643" t="s">
        <v>102</v>
      </c>
      <c r="BL643" t="s">
        <v>177</v>
      </c>
      <c r="BM643" t="s">
        <v>12177</v>
      </c>
      <c r="BN643" t="s">
        <v>74</v>
      </c>
      <c r="BO643" t="s">
        <v>1274</v>
      </c>
      <c r="BP643" t="s">
        <v>74</v>
      </c>
      <c r="BQ643" t="s">
        <v>74</v>
      </c>
      <c r="BR643" t="s">
        <v>105</v>
      </c>
      <c r="BS643" t="s">
        <v>12194</v>
      </c>
      <c r="BT643" t="str">
        <f>HYPERLINK("https%3A%2F%2Fwww.webofscience.com%2Fwos%2Fwoscc%2Ffull-record%2FWOS:000337558200019","View Full Record in Web of Science")</f>
        <v>View Full Record in Web of Science</v>
      </c>
    </row>
    <row r="644" spans="1:72" x14ac:dyDescent="0.15">
      <c r="A644" t="s">
        <v>72</v>
      </c>
      <c r="B644" t="s">
        <v>12195</v>
      </c>
      <c r="C644" t="s">
        <v>74</v>
      </c>
      <c r="D644" t="s">
        <v>74</v>
      </c>
      <c r="E644" t="s">
        <v>74</v>
      </c>
      <c r="F644" t="s">
        <v>12196</v>
      </c>
      <c r="G644" t="s">
        <v>74</v>
      </c>
      <c r="H644" t="s">
        <v>74</v>
      </c>
      <c r="I644" t="s">
        <v>12197</v>
      </c>
      <c r="J644" t="s">
        <v>2382</v>
      </c>
      <c r="K644" t="s">
        <v>74</v>
      </c>
      <c r="L644" t="s">
        <v>74</v>
      </c>
      <c r="M644" t="s">
        <v>78</v>
      </c>
      <c r="N644" t="s">
        <v>79</v>
      </c>
      <c r="O644" t="s">
        <v>74</v>
      </c>
      <c r="P644" t="s">
        <v>74</v>
      </c>
      <c r="Q644" t="s">
        <v>74</v>
      </c>
      <c r="R644" t="s">
        <v>74</v>
      </c>
      <c r="S644" t="s">
        <v>74</v>
      </c>
      <c r="T644" t="s">
        <v>74</v>
      </c>
      <c r="U644" t="s">
        <v>12198</v>
      </c>
      <c r="V644" t="s">
        <v>12199</v>
      </c>
      <c r="W644" t="s">
        <v>12200</v>
      </c>
      <c r="X644" t="s">
        <v>12201</v>
      </c>
      <c r="Y644" t="s">
        <v>12202</v>
      </c>
      <c r="Z644" t="s">
        <v>12203</v>
      </c>
      <c r="AA644" t="s">
        <v>74</v>
      </c>
      <c r="AB644" t="s">
        <v>74</v>
      </c>
      <c r="AC644" t="s">
        <v>12204</v>
      </c>
      <c r="AD644" t="s">
        <v>3387</v>
      </c>
      <c r="AE644" t="s">
        <v>12205</v>
      </c>
      <c r="AF644" t="s">
        <v>74</v>
      </c>
      <c r="AG644">
        <v>112</v>
      </c>
      <c r="AH644">
        <v>17</v>
      </c>
      <c r="AI644">
        <v>18</v>
      </c>
      <c r="AJ644">
        <v>0</v>
      </c>
      <c r="AK644">
        <v>10</v>
      </c>
      <c r="AL644" t="s">
        <v>92</v>
      </c>
      <c r="AM644" t="s">
        <v>93</v>
      </c>
      <c r="AN644" t="s">
        <v>94</v>
      </c>
      <c r="AO644" t="s">
        <v>2391</v>
      </c>
      <c r="AP644" t="s">
        <v>2392</v>
      </c>
      <c r="AQ644" t="s">
        <v>74</v>
      </c>
      <c r="AR644" t="s">
        <v>2393</v>
      </c>
      <c r="AS644" t="s">
        <v>2394</v>
      </c>
      <c r="AT644" t="s">
        <v>11484</v>
      </c>
      <c r="AU644">
        <v>2014</v>
      </c>
      <c r="AV644">
        <v>49</v>
      </c>
      <c r="AW644">
        <v>6</v>
      </c>
      <c r="AX644" t="s">
        <v>74</v>
      </c>
      <c r="AY644" t="s">
        <v>74</v>
      </c>
      <c r="AZ644" t="s">
        <v>74</v>
      </c>
      <c r="BA644" t="s">
        <v>74</v>
      </c>
      <c r="BB644">
        <v>1057</v>
      </c>
      <c r="BC644">
        <v>1075</v>
      </c>
      <c r="BD644" t="s">
        <v>74</v>
      </c>
      <c r="BE644" t="s">
        <v>12206</v>
      </c>
      <c r="BF644" t="str">
        <f>HYPERLINK("http://dx.doi.org/10.1111/maps.12315","http://dx.doi.org/10.1111/maps.12315")</f>
        <v>http://dx.doi.org/10.1111/maps.12315</v>
      </c>
      <c r="BG644" t="s">
        <v>74</v>
      </c>
      <c r="BH644" t="s">
        <v>74</v>
      </c>
      <c r="BI644">
        <v>19</v>
      </c>
      <c r="BJ644" t="s">
        <v>425</v>
      </c>
      <c r="BK644" t="s">
        <v>102</v>
      </c>
      <c r="BL644" t="s">
        <v>425</v>
      </c>
      <c r="BM644" t="s">
        <v>12207</v>
      </c>
      <c r="BN644" t="s">
        <v>74</v>
      </c>
      <c r="BO644" t="s">
        <v>74</v>
      </c>
      <c r="BP644" t="s">
        <v>74</v>
      </c>
      <c r="BQ644" t="s">
        <v>74</v>
      </c>
      <c r="BR644" t="s">
        <v>105</v>
      </c>
      <c r="BS644" t="s">
        <v>12208</v>
      </c>
      <c r="BT644" t="str">
        <f>HYPERLINK("https%3A%2F%2Fwww.webofscience.com%2Fwos%2Fwoscc%2Ffull-record%2FWOS:000337625200008","View Full Record in Web of Science")</f>
        <v>View Full Record in Web of Science</v>
      </c>
    </row>
    <row r="645" spans="1:72" x14ac:dyDescent="0.15">
      <c r="A645" t="s">
        <v>72</v>
      </c>
      <c r="B645" t="s">
        <v>12209</v>
      </c>
      <c r="C645" t="s">
        <v>74</v>
      </c>
      <c r="D645" t="s">
        <v>74</v>
      </c>
      <c r="E645" t="s">
        <v>74</v>
      </c>
      <c r="F645" t="s">
        <v>12210</v>
      </c>
      <c r="G645" t="s">
        <v>74</v>
      </c>
      <c r="H645" t="s">
        <v>74</v>
      </c>
      <c r="I645" t="s">
        <v>12211</v>
      </c>
      <c r="J645" t="s">
        <v>12212</v>
      </c>
      <c r="K645" t="s">
        <v>74</v>
      </c>
      <c r="L645" t="s">
        <v>74</v>
      </c>
      <c r="M645" t="s">
        <v>78</v>
      </c>
      <c r="N645" t="s">
        <v>185</v>
      </c>
      <c r="O645" t="s">
        <v>74</v>
      </c>
      <c r="P645" t="s">
        <v>74</v>
      </c>
      <c r="Q645" t="s">
        <v>74</v>
      </c>
      <c r="R645" t="s">
        <v>74</v>
      </c>
      <c r="S645" t="s">
        <v>74</v>
      </c>
      <c r="T645" t="s">
        <v>12213</v>
      </c>
      <c r="U645" t="s">
        <v>12214</v>
      </c>
      <c r="V645" t="s">
        <v>12215</v>
      </c>
      <c r="W645" t="s">
        <v>12216</v>
      </c>
      <c r="X645" t="s">
        <v>12217</v>
      </c>
      <c r="Y645" t="s">
        <v>12218</v>
      </c>
      <c r="Z645" t="s">
        <v>12219</v>
      </c>
      <c r="AA645" t="s">
        <v>74</v>
      </c>
      <c r="AB645" t="s">
        <v>12220</v>
      </c>
      <c r="AC645" t="s">
        <v>12221</v>
      </c>
      <c r="AD645" t="s">
        <v>12222</v>
      </c>
      <c r="AE645" t="s">
        <v>12223</v>
      </c>
      <c r="AF645" t="s">
        <v>74</v>
      </c>
      <c r="AG645">
        <v>142</v>
      </c>
      <c r="AH645">
        <v>14</v>
      </c>
      <c r="AI645">
        <v>18</v>
      </c>
      <c r="AJ645">
        <v>0</v>
      </c>
      <c r="AK645">
        <v>21</v>
      </c>
      <c r="AL645" t="s">
        <v>418</v>
      </c>
      <c r="AM645" t="s">
        <v>251</v>
      </c>
      <c r="AN645" t="s">
        <v>419</v>
      </c>
      <c r="AO645" t="s">
        <v>12224</v>
      </c>
      <c r="AP645" t="s">
        <v>12225</v>
      </c>
      <c r="AQ645" t="s">
        <v>74</v>
      </c>
      <c r="AR645" t="s">
        <v>12226</v>
      </c>
      <c r="AS645" t="s">
        <v>12227</v>
      </c>
      <c r="AT645" t="s">
        <v>11484</v>
      </c>
      <c r="AU645">
        <v>2014</v>
      </c>
      <c r="AV645">
        <v>171</v>
      </c>
      <c r="AW645">
        <v>2</v>
      </c>
      <c r="AX645" t="s">
        <v>74</v>
      </c>
      <c r="AY645" t="s">
        <v>74</v>
      </c>
      <c r="AZ645" t="s">
        <v>74</v>
      </c>
      <c r="BA645" t="s">
        <v>74</v>
      </c>
      <c r="BB645">
        <v>422</v>
      </c>
      <c r="BC645">
        <v>456</v>
      </c>
      <c r="BD645" t="s">
        <v>74</v>
      </c>
      <c r="BE645" t="s">
        <v>12228</v>
      </c>
      <c r="BF645" t="str">
        <f>HYPERLINK("http://dx.doi.org/10.1111/zoj.12131","http://dx.doi.org/10.1111/zoj.12131")</f>
        <v>http://dx.doi.org/10.1111/zoj.12131</v>
      </c>
      <c r="BG645" t="s">
        <v>74</v>
      </c>
      <c r="BH645" t="s">
        <v>74</v>
      </c>
      <c r="BI645">
        <v>35</v>
      </c>
      <c r="BJ645" t="s">
        <v>1254</v>
      </c>
      <c r="BK645" t="s">
        <v>102</v>
      </c>
      <c r="BL645" t="s">
        <v>1254</v>
      </c>
      <c r="BM645" t="s">
        <v>12229</v>
      </c>
      <c r="BN645" t="s">
        <v>74</v>
      </c>
      <c r="BO645" t="s">
        <v>74</v>
      </c>
      <c r="BP645" t="s">
        <v>74</v>
      </c>
      <c r="BQ645" t="s">
        <v>74</v>
      </c>
      <c r="BR645" t="s">
        <v>105</v>
      </c>
      <c r="BS645" t="s">
        <v>12230</v>
      </c>
      <c r="BT645" t="str">
        <f>HYPERLINK("https%3A%2F%2Fwww.webofscience.com%2Fwos%2Fwoscc%2Ffull-record%2FWOS:000337517500006","View Full Record in Web of Science")</f>
        <v>View Full Record in Web of Science</v>
      </c>
    </row>
    <row r="646" spans="1:72" x14ac:dyDescent="0.15">
      <c r="A646" t="s">
        <v>72</v>
      </c>
      <c r="B646" t="s">
        <v>12231</v>
      </c>
      <c r="C646" t="s">
        <v>74</v>
      </c>
      <c r="D646" t="s">
        <v>74</v>
      </c>
      <c r="E646" t="s">
        <v>74</v>
      </c>
      <c r="F646" t="s">
        <v>12232</v>
      </c>
      <c r="G646" t="s">
        <v>74</v>
      </c>
      <c r="H646" t="s">
        <v>74</v>
      </c>
      <c r="I646" t="s">
        <v>12233</v>
      </c>
      <c r="J646" t="s">
        <v>2781</v>
      </c>
      <c r="K646" t="s">
        <v>74</v>
      </c>
      <c r="L646" t="s">
        <v>74</v>
      </c>
      <c r="M646" t="s">
        <v>78</v>
      </c>
      <c r="N646" t="s">
        <v>79</v>
      </c>
      <c r="O646" t="s">
        <v>74</v>
      </c>
      <c r="P646" t="s">
        <v>74</v>
      </c>
      <c r="Q646" t="s">
        <v>74</v>
      </c>
      <c r="R646" t="s">
        <v>74</v>
      </c>
      <c r="S646" t="s">
        <v>74</v>
      </c>
      <c r="T646" t="s">
        <v>74</v>
      </c>
      <c r="U646" t="s">
        <v>12234</v>
      </c>
      <c r="V646" t="s">
        <v>12235</v>
      </c>
      <c r="W646" t="s">
        <v>12236</v>
      </c>
      <c r="X646" t="s">
        <v>12237</v>
      </c>
      <c r="Y646" t="s">
        <v>12238</v>
      </c>
      <c r="Z646" t="s">
        <v>12239</v>
      </c>
      <c r="AA646" t="s">
        <v>74</v>
      </c>
      <c r="AB646" t="s">
        <v>74</v>
      </c>
      <c r="AC646" t="s">
        <v>12240</v>
      </c>
      <c r="AD646" t="s">
        <v>12240</v>
      </c>
      <c r="AE646" t="s">
        <v>12241</v>
      </c>
      <c r="AF646" t="s">
        <v>74</v>
      </c>
      <c r="AG646">
        <v>10</v>
      </c>
      <c r="AH646">
        <v>19</v>
      </c>
      <c r="AI646">
        <v>22</v>
      </c>
      <c r="AJ646">
        <v>0</v>
      </c>
      <c r="AK646">
        <v>13</v>
      </c>
      <c r="AL646" t="s">
        <v>280</v>
      </c>
      <c r="AM646" t="s">
        <v>281</v>
      </c>
      <c r="AN646" t="s">
        <v>282</v>
      </c>
      <c r="AO646" t="s">
        <v>2793</v>
      </c>
      <c r="AP646" t="s">
        <v>2794</v>
      </c>
      <c r="AQ646" t="s">
        <v>74</v>
      </c>
      <c r="AR646" t="s">
        <v>2795</v>
      </c>
      <c r="AS646" t="s">
        <v>2796</v>
      </c>
      <c r="AT646" t="s">
        <v>11484</v>
      </c>
      <c r="AU646">
        <v>2014</v>
      </c>
      <c r="AV646">
        <v>31</v>
      </c>
      <c r="AW646">
        <v>6</v>
      </c>
      <c r="AX646" t="s">
        <v>74</v>
      </c>
      <c r="AY646" t="s">
        <v>74</v>
      </c>
      <c r="AZ646" t="s">
        <v>74</v>
      </c>
      <c r="BA646" t="s">
        <v>74</v>
      </c>
      <c r="BB646">
        <v>1446</v>
      </c>
      <c r="BC646">
        <v>1454</v>
      </c>
      <c r="BD646" t="s">
        <v>74</v>
      </c>
      <c r="BE646" t="s">
        <v>12242</v>
      </c>
      <c r="BF646" t="str">
        <f>HYPERLINK("http://dx.doi.org/10.1175/JTECH-D-13-00179.1","http://dx.doi.org/10.1175/JTECH-D-13-00179.1")</f>
        <v>http://dx.doi.org/10.1175/JTECH-D-13-00179.1</v>
      </c>
      <c r="BG646" t="s">
        <v>74</v>
      </c>
      <c r="BH646" t="s">
        <v>74</v>
      </c>
      <c r="BI646">
        <v>9</v>
      </c>
      <c r="BJ646" t="s">
        <v>2798</v>
      </c>
      <c r="BK646" t="s">
        <v>102</v>
      </c>
      <c r="BL646" t="s">
        <v>2799</v>
      </c>
      <c r="BM646" t="s">
        <v>12243</v>
      </c>
      <c r="BN646" t="s">
        <v>74</v>
      </c>
      <c r="BO646" t="s">
        <v>289</v>
      </c>
      <c r="BP646" t="s">
        <v>74</v>
      </c>
      <c r="BQ646" t="s">
        <v>74</v>
      </c>
      <c r="BR646" t="s">
        <v>105</v>
      </c>
      <c r="BS646" t="s">
        <v>12244</v>
      </c>
      <c r="BT646" t="str">
        <f>HYPERLINK("https%3A%2F%2Fwww.webofscience.com%2Fwos%2Fwoscc%2Ffull-record%2FWOS:000337204800019","View Full Record in Web of Science")</f>
        <v>View Full Record in Web of Science</v>
      </c>
    </row>
    <row r="647" spans="1:72" x14ac:dyDescent="0.15">
      <c r="A647" t="s">
        <v>72</v>
      </c>
      <c r="B647" t="s">
        <v>12245</v>
      </c>
      <c r="C647" t="s">
        <v>74</v>
      </c>
      <c r="D647" t="s">
        <v>74</v>
      </c>
      <c r="E647" t="s">
        <v>74</v>
      </c>
      <c r="F647" t="s">
        <v>12246</v>
      </c>
      <c r="G647" t="s">
        <v>74</v>
      </c>
      <c r="H647" t="s">
        <v>74</v>
      </c>
      <c r="I647" t="s">
        <v>12247</v>
      </c>
      <c r="J647" t="s">
        <v>2732</v>
      </c>
      <c r="K647" t="s">
        <v>74</v>
      </c>
      <c r="L647" t="s">
        <v>74</v>
      </c>
      <c r="M647" t="s">
        <v>78</v>
      </c>
      <c r="N647" t="s">
        <v>79</v>
      </c>
      <c r="O647" t="s">
        <v>74</v>
      </c>
      <c r="P647" t="s">
        <v>74</v>
      </c>
      <c r="Q647" t="s">
        <v>74</v>
      </c>
      <c r="R647" t="s">
        <v>74</v>
      </c>
      <c r="S647" t="s">
        <v>74</v>
      </c>
      <c r="T647" t="s">
        <v>12248</v>
      </c>
      <c r="U647" t="s">
        <v>12249</v>
      </c>
      <c r="V647" t="s">
        <v>12250</v>
      </c>
      <c r="W647" t="s">
        <v>12251</v>
      </c>
      <c r="X647" t="s">
        <v>12252</v>
      </c>
      <c r="Y647" t="s">
        <v>12253</v>
      </c>
      <c r="Z647" t="s">
        <v>12254</v>
      </c>
      <c r="AA647" t="s">
        <v>12255</v>
      </c>
      <c r="AB647" t="s">
        <v>12256</v>
      </c>
      <c r="AC647" t="s">
        <v>12257</v>
      </c>
      <c r="AD647" t="s">
        <v>12258</v>
      </c>
      <c r="AE647" t="s">
        <v>12259</v>
      </c>
      <c r="AF647" t="s">
        <v>74</v>
      </c>
      <c r="AG647">
        <v>96</v>
      </c>
      <c r="AH647">
        <v>53</v>
      </c>
      <c r="AI647">
        <v>56</v>
      </c>
      <c r="AJ647">
        <v>1</v>
      </c>
      <c r="AK647">
        <v>37</v>
      </c>
      <c r="AL647" t="s">
        <v>224</v>
      </c>
      <c r="AM647" t="s">
        <v>576</v>
      </c>
      <c r="AN647" t="s">
        <v>577</v>
      </c>
      <c r="AO647" t="s">
        <v>2745</v>
      </c>
      <c r="AP647" t="s">
        <v>2746</v>
      </c>
      <c r="AQ647" t="s">
        <v>74</v>
      </c>
      <c r="AR647" t="s">
        <v>2747</v>
      </c>
      <c r="AS647" t="s">
        <v>2748</v>
      </c>
      <c r="AT647" t="s">
        <v>11484</v>
      </c>
      <c r="AU647">
        <v>2014</v>
      </c>
      <c r="AV647">
        <v>42</v>
      </c>
      <c r="AW647" t="s">
        <v>12260</v>
      </c>
      <c r="AX647" t="s">
        <v>74</v>
      </c>
      <c r="AY647" t="s">
        <v>74</v>
      </c>
      <c r="AZ647" t="s">
        <v>74</v>
      </c>
      <c r="BA647" t="s">
        <v>74</v>
      </c>
      <c r="BB647">
        <v>3039</v>
      </c>
      <c r="BC647">
        <v>3060</v>
      </c>
      <c r="BD647" t="s">
        <v>74</v>
      </c>
      <c r="BE647" t="s">
        <v>12261</v>
      </c>
      <c r="BF647" t="str">
        <f>HYPERLINK("http://dx.doi.org/10.1007/s00382-013-1876-8","http://dx.doi.org/10.1007/s00382-013-1876-8")</f>
        <v>http://dx.doi.org/10.1007/s00382-013-1876-8</v>
      </c>
      <c r="BG647" t="s">
        <v>74</v>
      </c>
      <c r="BH647" t="s">
        <v>74</v>
      </c>
      <c r="BI647">
        <v>22</v>
      </c>
      <c r="BJ647" t="s">
        <v>177</v>
      </c>
      <c r="BK647" t="s">
        <v>102</v>
      </c>
      <c r="BL647" t="s">
        <v>177</v>
      </c>
      <c r="BM647" t="s">
        <v>12262</v>
      </c>
      <c r="BN647" t="s">
        <v>74</v>
      </c>
      <c r="BO647" t="s">
        <v>74</v>
      </c>
      <c r="BP647" t="s">
        <v>74</v>
      </c>
      <c r="BQ647" t="s">
        <v>74</v>
      </c>
      <c r="BR647" t="s">
        <v>105</v>
      </c>
      <c r="BS647" t="s">
        <v>12263</v>
      </c>
      <c r="BT647" t="str">
        <f>HYPERLINK("https%3A%2F%2Fwww.webofscience.com%2Fwos%2Fwoscc%2Ffull-record%2FWOS:000336984000012","View Full Record in Web of Science")</f>
        <v>View Full Record in Web of Science</v>
      </c>
    </row>
    <row r="648" spans="1:72" x14ac:dyDescent="0.15">
      <c r="A648" t="s">
        <v>72</v>
      </c>
      <c r="B648" t="s">
        <v>12264</v>
      </c>
      <c r="C648" t="s">
        <v>74</v>
      </c>
      <c r="D648" t="s">
        <v>74</v>
      </c>
      <c r="E648" t="s">
        <v>74</v>
      </c>
      <c r="F648" t="s">
        <v>12265</v>
      </c>
      <c r="G648" t="s">
        <v>74</v>
      </c>
      <c r="H648" t="s">
        <v>74</v>
      </c>
      <c r="I648" t="s">
        <v>12266</v>
      </c>
      <c r="J648" t="s">
        <v>2732</v>
      </c>
      <c r="K648" t="s">
        <v>74</v>
      </c>
      <c r="L648" t="s">
        <v>74</v>
      </c>
      <c r="M648" t="s">
        <v>78</v>
      </c>
      <c r="N648" t="s">
        <v>79</v>
      </c>
      <c r="O648" t="s">
        <v>74</v>
      </c>
      <c r="P648" t="s">
        <v>74</v>
      </c>
      <c r="Q648" t="s">
        <v>74</v>
      </c>
      <c r="R648" t="s">
        <v>74</v>
      </c>
      <c r="S648" t="s">
        <v>74</v>
      </c>
      <c r="T648" t="s">
        <v>74</v>
      </c>
      <c r="U648" t="s">
        <v>12267</v>
      </c>
      <c r="V648" t="s">
        <v>12268</v>
      </c>
      <c r="W648" t="s">
        <v>12269</v>
      </c>
      <c r="X648" t="s">
        <v>12270</v>
      </c>
      <c r="Y648" t="s">
        <v>12271</v>
      </c>
      <c r="Z648" t="s">
        <v>12272</v>
      </c>
      <c r="AA648" t="s">
        <v>12273</v>
      </c>
      <c r="AB648" t="s">
        <v>12274</v>
      </c>
      <c r="AC648" t="s">
        <v>12275</v>
      </c>
      <c r="AD648" t="s">
        <v>12276</v>
      </c>
      <c r="AE648" t="s">
        <v>12277</v>
      </c>
      <c r="AF648" t="s">
        <v>74</v>
      </c>
      <c r="AG648">
        <v>71</v>
      </c>
      <c r="AH648">
        <v>42</v>
      </c>
      <c r="AI648">
        <v>47</v>
      </c>
      <c r="AJ648">
        <v>0</v>
      </c>
      <c r="AK648">
        <v>9</v>
      </c>
      <c r="AL648" t="s">
        <v>224</v>
      </c>
      <c r="AM648" t="s">
        <v>576</v>
      </c>
      <c r="AN648" t="s">
        <v>778</v>
      </c>
      <c r="AO648" t="s">
        <v>2745</v>
      </c>
      <c r="AP648" t="s">
        <v>2746</v>
      </c>
      <c r="AQ648" t="s">
        <v>74</v>
      </c>
      <c r="AR648" t="s">
        <v>2747</v>
      </c>
      <c r="AS648" t="s">
        <v>2748</v>
      </c>
      <c r="AT648" t="s">
        <v>11484</v>
      </c>
      <c r="AU648">
        <v>2014</v>
      </c>
      <c r="AV648">
        <v>42</v>
      </c>
      <c r="AW648" t="s">
        <v>12260</v>
      </c>
      <c r="AX648" t="s">
        <v>74</v>
      </c>
      <c r="AY648" t="s">
        <v>74</v>
      </c>
      <c r="AZ648" t="s">
        <v>74</v>
      </c>
      <c r="BA648" t="s">
        <v>74</v>
      </c>
      <c r="BB648">
        <v>3121</v>
      </c>
      <c r="BC648">
        <v>3138</v>
      </c>
      <c r="BD648" t="s">
        <v>74</v>
      </c>
      <c r="BE648" t="s">
        <v>12278</v>
      </c>
      <c r="BF648" t="str">
        <f>HYPERLINK("http://dx.doi.org/10.1007/s00382-013-2027-y","http://dx.doi.org/10.1007/s00382-013-2027-y")</f>
        <v>http://dx.doi.org/10.1007/s00382-013-2027-y</v>
      </c>
      <c r="BG648" t="s">
        <v>74</v>
      </c>
      <c r="BH648" t="s">
        <v>74</v>
      </c>
      <c r="BI648">
        <v>18</v>
      </c>
      <c r="BJ648" t="s">
        <v>177</v>
      </c>
      <c r="BK648" t="s">
        <v>102</v>
      </c>
      <c r="BL648" t="s">
        <v>177</v>
      </c>
      <c r="BM648" t="s">
        <v>12262</v>
      </c>
      <c r="BN648" t="s">
        <v>74</v>
      </c>
      <c r="BO648" t="s">
        <v>262</v>
      </c>
      <c r="BP648" t="s">
        <v>74</v>
      </c>
      <c r="BQ648" t="s">
        <v>74</v>
      </c>
      <c r="BR648" t="s">
        <v>105</v>
      </c>
      <c r="BS648" t="s">
        <v>12279</v>
      </c>
      <c r="BT648" t="str">
        <f>HYPERLINK("https%3A%2F%2Fwww.webofscience.com%2Fwos%2Fwoscc%2Ffull-record%2FWOS:000336984000017","View Full Record in Web of Science")</f>
        <v>View Full Record in Web of Science</v>
      </c>
    </row>
    <row r="649" spans="1:72" x14ac:dyDescent="0.15">
      <c r="A649" t="s">
        <v>72</v>
      </c>
      <c r="B649" t="s">
        <v>12280</v>
      </c>
      <c r="C649" t="s">
        <v>74</v>
      </c>
      <c r="D649" t="s">
        <v>74</v>
      </c>
      <c r="E649" t="s">
        <v>74</v>
      </c>
      <c r="F649" t="s">
        <v>12281</v>
      </c>
      <c r="G649" t="s">
        <v>74</v>
      </c>
      <c r="H649" t="s">
        <v>74</v>
      </c>
      <c r="I649" t="s">
        <v>12282</v>
      </c>
      <c r="J649" t="s">
        <v>2318</v>
      </c>
      <c r="K649" t="s">
        <v>74</v>
      </c>
      <c r="L649" t="s">
        <v>74</v>
      </c>
      <c r="M649" t="s">
        <v>78</v>
      </c>
      <c r="N649" t="s">
        <v>79</v>
      </c>
      <c r="O649" t="s">
        <v>74</v>
      </c>
      <c r="P649" t="s">
        <v>74</v>
      </c>
      <c r="Q649" t="s">
        <v>74</v>
      </c>
      <c r="R649" t="s">
        <v>74</v>
      </c>
      <c r="S649" t="s">
        <v>74</v>
      </c>
      <c r="T649" t="s">
        <v>12283</v>
      </c>
      <c r="U649" t="s">
        <v>12284</v>
      </c>
      <c r="V649" t="s">
        <v>12285</v>
      </c>
      <c r="W649" t="s">
        <v>12286</v>
      </c>
      <c r="X649" t="s">
        <v>12287</v>
      </c>
      <c r="Y649" t="s">
        <v>2324</v>
      </c>
      <c r="Z649" t="s">
        <v>12288</v>
      </c>
      <c r="AA649" t="s">
        <v>2326</v>
      </c>
      <c r="AB649" t="s">
        <v>74</v>
      </c>
      <c r="AC649" t="s">
        <v>12289</v>
      </c>
      <c r="AD649" t="s">
        <v>12290</v>
      </c>
      <c r="AE649" t="s">
        <v>12291</v>
      </c>
      <c r="AF649" t="s">
        <v>74</v>
      </c>
      <c r="AG649">
        <v>34</v>
      </c>
      <c r="AH649">
        <v>15</v>
      </c>
      <c r="AI649">
        <v>19</v>
      </c>
      <c r="AJ649">
        <v>0</v>
      </c>
      <c r="AK649">
        <v>29</v>
      </c>
      <c r="AL649" t="s">
        <v>123</v>
      </c>
      <c r="AM649" t="s">
        <v>124</v>
      </c>
      <c r="AN649" t="s">
        <v>125</v>
      </c>
      <c r="AO649" t="s">
        <v>2330</v>
      </c>
      <c r="AP649" t="s">
        <v>2331</v>
      </c>
      <c r="AQ649" t="s">
        <v>74</v>
      </c>
      <c r="AR649" t="s">
        <v>2332</v>
      </c>
      <c r="AS649" t="s">
        <v>2333</v>
      </c>
      <c r="AT649" t="s">
        <v>11484</v>
      </c>
      <c r="AU649">
        <v>2014</v>
      </c>
      <c r="AV649">
        <v>67</v>
      </c>
      <c r="AW649" t="s">
        <v>74</v>
      </c>
      <c r="AX649" t="s">
        <v>74</v>
      </c>
      <c r="AY649" t="s">
        <v>74</v>
      </c>
      <c r="AZ649" t="s">
        <v>74</v>
      </c>
      <c r="BA649" t="s">
        <v>74</v>
      </c>
      <c r="BB649">
        <v>426</v>
      </c>
      <c r="BC649">
        <v>432</v>
      </c>
      <c r="BD649" t="s">
        <v>74</v>
      </c>
      <c r="BE649" t="s">
        <v>12292</v>
      </c>
      <c r="BF649" t="str">
        <f>HYPERLINK("http://dx.doi.org/10.1016/j.ijbiomac.2014.03.044","http://dx.doi.org/10.1016/j.ijbiomac.2014.03.044")</f>
        <v>http://dx.doi.org/10.1016/j.ijbiomac.2014.03.044</v>
      </c>
      <c r="BG649" t="s">
        <v>74</v>
      </c>
      <c r="BH649" t="s">
        <v>74</v>
      </c>
      <c r="BI649">
        <v>7</v>
      </c>
      <c r="BJ649" t="s">
        <v>2335</v>
      </c>
      <c r="BK649" t="s">
        <v>102</v>
      </c>
      <c r="BL649" t="s">
        <v>2336</v>
      </c>
      <c r="BM649" t="s">
        <v>12293</v>
      </c>
      <c r="BN649">
        <v>24690537</v>
      </c>
      <c r="BO649" t="s">
        <v>74</v>
      </c>
      <c r="BP649" t="s">
        <v>74</v>
      </c>
      <c r="BQ649" t="s">
        <v>74</v>
      </c>
      <c r="BR649" t="s">
        <v>105</v>
      </c>
      <c r="BS649" t="s">
        <v>12294</v>
      </c>
      <c r="BT649" t="str">
        <f>HYPERLINK("https%3A%2F%2Fwww.webofscience.com%2Fwos%2Fwoscc%2Ffull-record%2FWOS:000336881200058","View Full Record in Web of Science")</f>
        <v>View Full Record in Web of Science</v>
      </c>
    </row>
    <row r="650" spans="1:72" x14ac:dyDescent="0.15">
      <c r="A650" t="s">
        <v>72</v>
      </c>
      <c r="B650" t="s">
        <v>12295</v>
      </c>
      <c r="C650" t="s">
        <v>74</v>
      </c>
      <c r="D650" t="s">
        <v>74</v>
      </c>
      <c r="E650" t="s">
        <v>74</v>
      </c>
      <c r="F650" t="s">
        <v>12296</v>
      </c>
      <c r="G650" t="s">
        <v>74</v>
      </c>
      <c r="H650" t="s">
        <v>74</v>
      </c>
      <c r="I650" t="s">
        <v>12297</v>
      </c>
      <c r="J650" t="s">
        <v>432</v>
      </c>
      <c r="K650" t="s">
        <v>74</v>
      </c>
      <c r="L650" t="s">
        <v>74</v>
      </c>
      <c r="M650" t="s">
        <v>78</v>
      </c>
      <c r="N650" t="s">
        <v>79</v>
      </c>
      <c r="O650" t="s">
        <v>74</v>
      </c>
      <c r="P650" t="s">
        <v>74</v>
      </c>
      <c r="Q650" t="s">
        <v>74</v>
      </c>
      <c r="R650" t="s">
        <v>74</v>
      </c>
      <c r="S650" t="s">
        <v>74</v>
      </c>
      <c r="T650" t="s">
        <v>74</v>
      </c>
      <c r="U650" t="s">
        <v>12298</v>
      </c>
      <c r="V650" t="s">
        <v>12299</v>
      </c>
      <c r="W650" t="s">
        <v>12300</v>
      </c>
      <c r="X650" t="s">
        <v>12301</v>
      </c>
      <c r="Y650" t="s">
        <v>12302</v>
      </c>
      <c r="Z650" t="s">
        <v>12303</v>
      </c>
      <c r="AA650" t="s">
        <v>74</v>
      </c>
      <c r="AB650" t="s">
        <v>12304</v>
      </c>
      <c r="AC650" t="s">
        <v>12305</v>
      </c>
      <c r="AD650" t="s">
        <v>12306</v>
      </c>
      <c r="AE650" t="s">
        <v>12307</v>
      </c>
      <c r="AF650" t="s">
        <v>74</v>
      </c>
      <c r="AG650">
        <v>43</v>
      </c>
      <c r="AH650">
        <v>49</v>
      </c>
      <c r="AI650">
        <v>50</v>
      </c>
      <c r="AJ650">
        <v>0</v>
      </c>
      <c r="AK650">
        <v>6</v>
      </c>
      <c r="AL650" t="s">
        <v>280</v>
      </c>
      <c r="AM650" t="s">
        <v>281</v>
      </c>
      <c r="AN650" t="s">
        <v>282</v>
      </c>
      <c r="AO650" t="s">
        <v>444</v>
      </c>
      <c r="AP650" t="s">
        <v>445</v>
      </c>
      <c r="AQ650" t="s">
        <v>74</v>
      </c>
      <c r="AR650" t="s">
        <v>446</v>
      </c>
      <c r="AS650" t="s">
        <v>447</v>
      </c>
      <c r="AT650" t="s">
        <v>11484</v>
      </c>
      <c r="AU650">
        <v>2014</v>
      </c>
      <c r="AV650">
        <v>44</v>
      </c>
      <c r="AW650">
        <v>6</v>
      </c>
      <c r="AX650" t="s">
        <v>74</v>
      </c>
      <c r="AY650" t="s">
        <v>74</v>
      </c>
      <c r="AZ650" t="s">
        <v>74</v>
      </c>
      <c r="BA650" t="s">
        <v>74</v>
      </c>
      <c r="BB650">
        <v>1671</v>
      </c>
      <c r="BC650">
        <v>1688</v>
      </c>
      <c r="BD650" t="s">
        <v>74</v>
      </c>
      <c r="BE650" t="s">
        <v>12308</v>
      </c>
      <c r="BF650" t="str">
        <f>HYPERLINK("http://dx.doi.org/10.1175/JPO-D-13-0263.1","http://dx.doi.org/10.1175/JPO-D-13-0263.1")</f>
        <v>http://dx.doi.org/10.1175/JPO-D-13-0263.1</v>
      </c>
      <c r="BG650" t="s">
        <v>74</v>
      </c>
      <c r="BH650" t="s">
        <v>74</v>
      </c>
      <c r="BI650">
        <v>18</v>
      </c>
      <c r="BJ650" t="s">
        <v>152</v>
      </c>
      <c r="BK650" t="s">
        <v>102</v>
      </c>
      <c r="BL650" t="s">
        <v>152</v>
      </c>
      <c r="BM650" t="s">
        <v>12309</v>
      </c>
      <c r="BN650" t="s">
        <v>74</v>
      </c>
      <c r="BO650" t="s">
        <v>341</v>
      </c>
      <c r="BP650" t="s">
        <v>74</v>
      </c>
      <c r="BQ650" t="s">
        <v>74</v>
      </c>
      <c r="BR650" t="s">
        <v>105</v>
      </c>
      <c r="BS650" t="s">
        <v>12310</v>
      </c>
      <c r="BT650" t="str">
        <f>HYPERLINK("https%3A%2F%2Fwww.webofscience.com%2Fwos%2Fwoscc%2Ffull-record%2FWOS:000336888000011","View Full Record in Web of Science")</f>
        <v>View Full Record in Web of Science</v>
      </c>
    </row>
    <row r="651" spans="1:72" x14ac:dyDescent="0.15">
      <c r="A651" t="s">
        <v>72</v>
      </c>
      <c r="B651" t="s">
        <v>12311</v>
      </c>
      <c r="C651" t="s">
        <v>74</v>
      </c>
      <c r="D651" t="s">
        <v>74</v>
      </c>
      <c r="E651" t="s">
        <v>74</v>
      </c>
      <c r="F651" t="s">
        <v>12312</v>
      </c>
      <c r="G651" t="s">
        <v>74</v>
      </c>
      <c r="H651" t="s">
        <v>74</v>
      </c>
      <c r="I651" t="s">
        <v>12313</v>
      </c>
      <c r="J651" t="s">
        <v>9115</v>
      </c>
      <c r="K651" t="s">
        <v>74</v>
      </c>
      <c r="L651" t="s">
        <v>74</v>
      </c>
      <c r="M651" t="s">
        <v>78</v>
      </c>
      <c r="N651" t="s">
        <v>79</v>
      </c>
      <c r="O651" t="s">
        <v>74</v>
      </c>
      <c r="P651" t="s">
        <v>74</v>
      </c>
      <c r="Q651" t="s">
        <v>74</v>
      </c>
      <c r="R651" t="s">
        <v>74</v>
      </c>
      <c r="S651" t="s">
        <v>74</v>
      </c>
      <c r="T651" t="s">
        <v>12314</v>
      </c>
      <c r="U651" t="s">
        <v>12315</v>
      </c>
      <c r="V651" t="s">
        <v>12316</v>
      </c>
      <c r="W651" t="s">
        <v>12317</v>
      </c>
      <c r="X651" t="s">
        <v>12318</v>
      </c>
      <c r="Y651" t="s">
        <v>12319</v>
      </c>
      <c r="Z651" t="s">
        <v>12320</v>
      </c>
      <c r="AA651" t="s">
        <v>12321</v>
      </c>
      <c r="AB651" t="s">
        <v>12322</v>
      </c>
      <c r="AC651" t="s">
        <v>12323</v>
      </c>
      <c r="AD651" t="s">
        <v>12324</v>
      </c>
      <c r="AE651" t="s">
        <v>12325</v>
      </c>
      <c r="AF651" t="s">
        <v>74</v>
      </c>
      <c r="AG651">
        <v>42</v>
      </c>
      <c r="AH651">
        <v>9</v>
      </c>
      <c r="AI651">
        <v>10</v>
      </c>
      <c r="AJ651">
        <v>0</v>
      </c>
      <c r="AK651">
        <v>34</v>
      </c>
      <c r="AL651" t="s">
        <v>92</v>
      </c>
      <c r="AM651" t="s">
        <v>93</v>
      </c>
      <c r="AN651" t="s">
        <v>94</v>
      </c>
      <c r="AO651" t="s">
        <v>9123</v>
      </c>
      <c r="AP651" t="s">
        <v>9124</v>
      </c>
      <c r="AQ651" t="s">
        <v>74</v>
      </c>
      <c r="AR651" t="s">
        <v>9125</v>
      </c>
      <c r="AS651" t="s">
        <v>9126</v>
      </c>
      <c r="AT651" t="s">
        <v>11484</v>
      </c>
      <c r="AU651">
        <v>2014</v>
      </c>
      <c r="AV651">
        <v>23</v>
      </c>
      <c r="AW651">
        <v>6</v>
      </c>
      <c r="AX651" t="s">
        <v>74</v>
      </c>
      <c r="AY651" t="s">
        <v>74</v>
      </c>
      <c r="AZ651" t="s">
        <v>74</v>
      </c>
      <c r="BA651" t="s">
        <v>74</v>
      </c>
      <c r="BB651">
        <v>760</v>
      </c>
      <c r="BC651">
        <v>768</v>
      </c>
      <c r="BD651" t="s">
        <v>74</v>
      </c>
      <c r="BE651" t="s">
        <v>12326</v>
      </c>
      <c r="BF651" t="str">
        <f>HYPERLINK("http://dx.doi.org/10.1002/pro.2459","http://dx.doi.org/10.1002/pro.2459")</f>
        <v>http://dx.doi.org/10.1002/pro.2459</v>
      </c>
      <c r="BG651" t="s">
        <v>74</v>
      </c>
      <c r="BH651" t="s">
        <v>74</v>
      </c>
      <c r="BI651">
        <v>9</v>
      </c>
      <c r="BJ651" t="s">
        <v>5720</v>
      </c>
      <c r="BK651" t="s">
        <v>102</v>
      </c>
      <c r="BL651" t="s">
        <v>5720</v>
      </c>
      <c r="BM651" t="s">
        <v>12327</v>
      </c>
      <c r="BN651">
        <v>24652821</v>
      </c>
      <c r="BO651" t="s">
        <v>2037</v>
      </c>
      <c r="BP651" t="s">
        <v>74</v>
      </c>
      <c r="BQ651" t="s">
        <v>74</v>
      </c>
      <c r="BR651" t="s">
        <v>105</v>
      </c>
      <c r="BS651" t="s">
        <v>12328</v>
      </c>
      <c r="BT651" t="str">
        <f>HYPERLINK("https%3A%2F%2Fwww.webofscience.com%2Fwos%2Fwoscc%2Ffull-record%2FWOS:000336843100009","View Full Record in Web of Science")</f>
        <v>View Full Record in Web of Science</v>
      </c>
    </row>
    <row r="652" spans="1:72" x14ac:dyDescent="0.15">
      <c r="A652" t="s">
        <v>72</v>
      </c>
      <c r="B652" t="s">
        <v>12329</v>
      </c>
      <c r="C652" t="s">
        <v>74</v>
      </c>
      <c r="D652" t="s">
        <v>74</v>
      </c>
      <c r="E652" t="s">
        <v>74</v>
      </c>
      <c r="F652" t="s">
        <v>12330</v>
      </c>
      <c r="G652" t="s">
        <v>74</v>
      </c>
      <c r="H652" t="s">
        <v>74</v>
      </c>
      <c r="I652" t="s">
        <v>12331</v>
      </c>
      <c r="J652" t="s">
        <v>12332</v>
      </c>
      <c r="K652" t="s">
        <v>74</v>
      </c>
      <c r="L652" t="s">
        <v>74</v>
      </c>
      <c r="M652" t="s">
        <v>78</v>
      </c>
      <c r="N652" t="s">
        <v>79</v>
      </c>
      <c r="O652" t="s">
        <v>74</v>
      </c>
      <c r="P652" t="s">
        <v>74</v>
      </c>
      <c r="Q652" t="s">
        <v>74</v>
      </c>
      <c r="R652" t="s">
        <v>74</v>
      </c>
      <c r="S652" t="s">
        <v>74</v>
      </c>
      <c r="T652" t="s">
        <v>12333</v>
      </c>
      <c r="U652" t="s">
        <v>12334</v>
      </c>
      <c r="V652" t="s">
        <v>12335</v>
      </c>
      <c r="W652" t="s">
        <v>12336</v>
      </c>
      <c r="X652" t="s">
        <v>3163</v>
      </c>
      <c r="Y652" t="s">
        <v>12337</v>
      </c>
      <c r="Z652" t="s">
        <v>12338</v>
      </c>
      <c r="AA652" t="s">
        <v>12339</v>
      </c>
      <c r="AB652" t="s">
        <v>12340</v>
      </c>
      <c r="AC652" t="s">
        <v>12341</v>
      </c>
      <c r="AD652" t="s">
        <v>12342</v>
      </c>
      <c r="AE652" t="s">
        <v>12343</v>
      </c>
      <c r="AF652" t="s">
        <v>74</v>
      </c>
      <c r="AG652">
        <v>42</v>
      </c>
      <c r="AH652">
        <v>12</v>
      </c>
      <c r="AI652">
        <v>12</v>
      </c>
      <c r="AJ652">
        <v>2</v>
      </c>
      <c r="AK652">
        <v>17</v>
      </c>
      <c r="AL652" t="s">
        <v>224</v>
      </c>
      <c r="AM652" t="s">
        <v>576</v>
      </c>
      <c r="AN652" t="s">
        <v>577</v>
      </c>
      <c r="AO652" t="s">
        <v>12344</v>
      </c>
      <c r="AP652" t="s">
        <v>12345</v>
      </c>
      <c r="AQ652" t="s">
        <v>74</v>
      </c>
      <c r="AR652" t="s">
        <v>12346</v>
      </c>
      <c r="AS652" t="s">
        <v>12347</v>
      </c>
      <c r="AT652" t="s">
        <v>11484</v>
      </c>
      <c r="AU652">
        <v>2014</v>
      </c>
      <c r="AV652">
        <v>98</v>
      </c>
      <c r="AW652">
        <v>11</v>
      </c>
      <c r="AX652" t="s">
        <v>74</v>
      </c>
      <c r="AY652" t="s">
        <v>74</v>
      </c>
      <c r="AZ652" t="s">
        <v>74</v>
      </c>
      <c r="BA652" t="s">
        <v>74</v>
      </c>
      <c r="BB652">
        <v>4887</v>
      </c>
      <c r="BC652">
        <v>4895</v>
      </c>
      <c r="BD652" t="s">
        <v>74</v>
      </c>
      <c r="BE652" t="s">
        <v>12348</v>
      </c>
      <c r="BF652" t="str">
        <f>HYPERLINK("http://dx.doi.org/10.1007/s00253-014-5582-1","http://dx.doi.org/10.1007/s00253-014-5582-1")</f>
        <v>http://dx.doi.org/10.1007/s00253-014-5582-1</v>
      </c>
      <c r="BG652" t="s">
        <v>74</v>
      </c>
      <c r="BH652" t="s">
        <v>74</v>
      </c>
      <c r="BI652">
        <v>9</v>
      </c>
      <c r="BJ652" t="s">
        <v>908</v>
      </c>
      <c r="BK652" t="s">
        <v>102</v>
      </c>
      <c r="BL652" t="s">
        <v>908</v>
      </c>
      <c r="BM652" t="s">
        <v>12349</v>
      </c>
      <c r="BN652">
        <v>24535258</v>
      </c>
      <c r="BO652" t="s">
        <v>74</v>
      </c>
      <c r="BP652" t="s">
        <v>74</v>
      </c>
      <c r="BQ652" t="s">
        <v>74</v>
      </c>
      <c r="BR652" t="s">
        <v>105</v>
      </c>
      <c r="BS652" t="s">
        <v>12350</v>
      </c>
      <c r="BT652" t="str">
        <f>HYPERLINK("https%3A%2F%2Fwww.webofscience.com%2Fwos%2Fwoscc%2Ffull-record%2FWOS:000336268900010","View Full Record in Web of Science")</f>
        <v>View Full Record in Web of Science</v>
      </c>
    </row>
    <row r="653" spans="1:72" x14ac:dyDescent="0.15">
      <c r="A653" t="s">
        <v>72</v>
      </c>
      <c r="B653" t="s">
        <v>12351</v>
      </c>
      <c r="C653" t="s">
        <v>74</v>
      </c>
      <c r="D653" t="s">
        <v>74</v>
      </c>
      <c r="E653" t="s">
        <v>74</v>
      </c>
      <c r="F653" t="s">
        <v>12352</v>
      </c>
      <c r="G653" t="s">
        <v>74</v>
      </c>
      <c r="H653" t="s">
        <v>74</v>
      </c>
      <c r="I653" t="s">
        <v>12353</v>
      </c>
      <c r="J653" t="s">
        <v>12354</v>
      </c>
      <c r="K653" t="s">
        <v>74</v>
      </c>
      <c r="L653" t="s">
        <v>74</v>
      </c>
      <c r="M653" t="s">
        <v>78</v>
      </c>
      <c r="N653" t="s">
        <v>79</v>
      </c>
      <c r="O653" t="s">
        <v>74</v>
      </c>
      <c r="P653" t="s">
        <v>74</v>
      </c>
      <c r="Q653" t="s">
        <v>74</v>
      </c>
      <c r="R653" t="s">
        <v>74</v>
      </c>
      <c r="S653" t="s">
        <v>74</v>
      </c>
      <c r="T653" t="s">
        <v>12355</v>
      </c>
      <c r="U653" t="s">
        <v>12356</v>
      </c>
      <c r="V653" t="s">
        <v>12357</v>
      </c>
      <c r="W653" t="s">
        <v>12358</v>
      </c>
      <c r="X653" t="s">
        <v>12359</v>
      </c>
      <c r="Y653" t="s">
        <v>12360</v>
      </c>
      <c r="Z653" t="s">
        <v>12361</v>
      </c>
      <c r="AA653" t="s">
        <v>74</v>
      </c>
      <c r="AB653" t="s">
        <v>12362</v>
      </c>
      <c r="AC653" t="s">
        <v>12363</v>
      </c>
      <c r="AD653" t="s">
        <v>12364</v>
      </c>
      <c r="AE653" t="s">
        <v>12365</v>
      </c>
      <c r="AF653" t="s">
        <v>74</v>
      </c>
      <c r="AG653">
        <v>62</v>
      </c>
      <c r="AH653">
        <v>3</v>
      </c>
      <c r="AI653">
        <v>3</v>
      </c>
      <c r="AJ653">
        <v>0</v>
      </c>
      <c r="AK653">
        <v>8</v>
      </c>
      <c r="AL653" t="s">
        <v>224</v>
      </c>
      <c r="AM653" t="s">
        <v>225</v>
      </c>
      <c r="AN653" t="s">
        <v>226</v>
      </c>
      <c r="AO653" t="s">
        <v>12366</v>
      </c>
      <c r="AP653" t="s">
        <v>12367</v>
      </c>
      <c r="AQ653" t="s">
        <v>74</v>
      </c>
      <c r="AR653" t="s">
        <v>12368</v>
      </c>
      <c r="AS653" t="s">
        <v>12369</v>
      </c>
      <c r="AT653" t="s">
        <v>11484</v>
      </c>
      <c r="AU653">
        <v>2014</v>
      </c>
      <c r="AV653">
        <v>70</v>
      </c>
      <c r="AW653">
        <v>3</v>
      </c>
      <c r="AX653" t="s">
        <v>74</v>
      </c>
      <c r="AY653" t="s">
        <v>74</v>
      </c>
      <c r="AZ653" t="s">
        <v>74</v>
      </c>
      <c r="BA653" t="s">
        <v>74</v>
      </c>
      <c r="BB653">
        <v>251</v>
      </c>
      <c r="BC653">
        <v>266</v>
      </c>
      <c r="BD653" t="s">
        <v>74</v>
      </c>
      <c r="BE653" t="s">
        <v>12370</v>
      </c>
      <c r="BF653" t="str">
        <f>HYPERLINK("http://dx.doi.org/10.1007/s10872-014-0228-6","http://dx.doi.org/10.1007/s10872-014-0228-6")</f>
        <v>http://dx.doi.org/10.1007/s10872-014-0228-6</v>
      </c>
      <c r="BG653" t="s">
        <v>74</v>
      </c>
      <c r="BH653" t="s">
        <v>74</v>
      </c>
      <c r="BI653">
        <v>16</v>
      </c>
      <c r="BJ653" t="s">
        <v>152</v>
      </c>
      <c r="BK653" t="s">
        <v>102</v>
      </c>
      <c r="BL653" t="s">
        <v>152</v>
      </c>
      <c r="BM653" t="s">
        <v>12371</v>
      </c>
      <c r="BN653" t="s">
        <v>74</v>
      </c>
      <c r="BO653" t="s">
        <v>74</v>
      </c>
      <c r="BP653" t="s">
        <v>74</v>
      </c>
      <c r="BQ653" t="s">
        <v>74</v>
      </c>
      <c r="BR653" t="s">
        <v>105</v>
      </c>
      <c r="BS653" t="s">
        <v>12372</v>
      </c>
      <c r="BT653" t="str">
        <f>HYPERLINK("https%3A%2F%2Fwww.webofscience.com%2Fwos%2Fwoscc%2Ffull-record%2FWOS:000336803500005","View Full Record in Web of Science")</f>
        <v>View Full Record in Web of Science</v>
      </c>
    </row>
    <row r="654" spans="1:72" x14ac:dyDescent="0.15">
      <c r="A654" t="s">
        <v>72</v>
      </c>
      <c r="B654" t="s">
        <v>12373</v>
      </c>
      <c r="C654" t="s">
        <v>74</v>
      </c>
      <c r="D654" t="s">
        <v>74</v>
      </c>
      <c r="E654" t="s">
        <v>74</v>
      </c>
      <c r="F654" t="s">
        <v>12374</v>
      </c>
      <c r="G654" t="s">
        <v>74</v>
      </c>
      <c r="H654" t="s">
        <v>74</v>
      </c>
      <c r="I654" t="s">
        <v>12375</v>
      </c>
      <c r="J654" t="s">
        <v>12376</v>
      </c>
      <c r="K654" t="s">
        <v>74</v>
      </c>
      <c r="L654" t="s">
        <v>74</v>
      </c>
      <c r="M654" t="s">
        <v>78</v>
      </c>
      <c r="N654" t="s">
        <v>1130</v>
      </c>
      <c r="O654" t="s">
        <v>74</v>
      </c>
      <c r="P654" t="s">
        <v>74</v>
      </c>
      <c r="Q654" t="s">
        <v>74</v>
      </c>
      <c r="R654" t="s">
        <v>74</v>
      </c>
      <c r="S654" t="s">
        <v>74</v>
      </c>
      <c r="T654" t="s">
        <v>12377</v>
      </c>
      <c r="U654" t="s">
        <v>12378</v>
      </c>
      <c r="V654" t="s">
        <v>74</v>
      </c>
      <c r="W654" t="s">
        <v>12379</v>
      </c>
      <c r="X654" t="s">
        <v>12380</v>
      </c>
      <c r="Y654" t="s">
        <v>12381</v>
      </c>
      <c r="Z654" t="s">
        <v>12382</v>
      </c>
      <c r="AA654" t="s">
        <v>5205</v>
      </c>
      <c r="AB654" t="s">
        <v>12383</v>
      </c>
      <c r="AC654" t="s">
        <v>74</v>
      </c>
      <c r="AD654" t="s">
        <v>74</v>
      </c>
      <c r="AE654" t="s">
        <v>74</v>
      </c>
      <c r="AF654" t="s">
        <v>74</v>
      </c>
      <c r="AG654">
        <v>21</v>
      </c>
      <c r="AH654">
        <v>3</v>
      </c>
      <c r="AI654">
        <v>3</v>
      </c>
      <c r="AJ654">
        <v>0</v>
      </c>
      <c r="AK654">
        <v>12</v>
      </c>
      <c r="AL654" t="s">
        <v>12384</v>
      </c>
      <c r="AM654" t="s">
        <v>12385</v>
      </c>
      <c r="AN654" t="s">
        <v>12386</v>
      </c>
      <c r="AO654" t="s">
        <v>12387</v>
      </c>
      <c r="AP654" t="s">
        <v>12388</v>
      </c>
      <c r="AQ654" t="s">
        <v>74</v>
      </c>
      <c r="AR654" t="s">
        <v>12389</v>
      </c>
      <c r="AS654" t="s">
        <v>12390</v>
      </c>
      <c r="AT654" t="s">
        <v>11484</v>
      </c>
      <c r="AU654">
        <v>2014</v>
      </c>
      <c r="AV654">
        <v>48</v>
      </c>
      <c r="AW654">
        <v>2</v>
      </c>
      <c r="AX654" t="s">
        <v>74</v>
      </c>
      <c r="AY654" t="s">
        <v>74</v>
      </c>
      <c r="AZ654" t="s">
        <v>74</v>
      </c>
      <c r="BA654" t="s">
        <v>74</v>
      </c>
      <c r="BB654">
        <v>189</v>
      </c>
      <c r="BC654">
        <v>191</v>
      </c>
      <c r="BD654" t="s">
        <v>74</v>
      </c>
      <c r="BE654" t="s">
        <v>12391</v>
      </c>
      <c r="BF654" t="str">
        <f>HYPERLINK("http://dx.doi.org/10.3356/JRR-12-49.1","http://dx.doi.org/10.3356/JRR-12-49.1")</f>
        <v>http://dx.doi.org/10.3356/JRR-12-49.1</v>
      </c>
      <c r="BG654" t="s">
        <v>74</v>
      </c>
      <c r="BH654" t="s">
        <v>74</v>
      </c>
      <c r="BI654">
        <v>3</v>
      </c>
      <c r="BJ654" t="s">
        <v>3319</v>
      </c>
      <c r="BK654" t="s">
        <v>102</v>
      </c>
      <c r="BL654" t="s">
        <v>1254</v>
      </c>
      <c r="BM654" t="s">
        <v>12392</v>
      </c>
      <c r="BN654" t="s">
        <v>74</v>
      </c>
      <c r="BO654" t="s">
        <v>74</v>
      </c>
      <c r="BP654" t="s">
        <v>74</v>
      </c>
      <c r="BQ654" t="s">
        <v>74</v>
      </c>
      <c r="BR654" t="s">
        <v>105</v>
      </c>
      <c r="BS654" t="s">
        <v>12393</v>
      </c>
      <c r="BT654" t="str">
        <f>HYPERLINK("https%3A%2F%2Fwww.webofscience.com%2Fwos%2Fwoscc%2Ffull-record%2FWOS:000336556400010","View Full Record in Web of Science")</f>
        <v>View Full Record in Web of Science</v>
      </c>
    </row>
    <row r="655" spans="1:72" x14ac:dyDescent="0.15">
      <c r="A655" t="s">
        <v>72</v>
      </c>
      <c r="B655" t="s">
        <v>12394</v>
      </c>
      <c r="C655" t="s">
        <v>74</v>
      </c>
      <c r="D655" t="s">
        <v>74</v>
      </c>
      <c r="E655" t="s">
        <v>74</v>
      </c>
      <c r="F655" t="s">
        <v>12395</v>
      </c>
      <c r="G655" t="s">
        <v>74</v>
      </c>
      <c r="H655" t="s">
        <v>74</v>
      </c>
      <c r="I655" t="s">
        <v>12396</v>
      </c>
      <c r="J655" t="s">
        <v>12397</v>
      </c>
      <c r="K655" t="s">
        <v>74</v>
      </c>
      <c r="L655" t="s">
        <v>74</v>
      </c>
      <c r="M655" t="s">
        <v>78</v>
      </c>
      <c r="N655" t="s">
        <v>79</v>
      </c>
      <c r="O655" t="s">
        <v>74</v>
      </c>
      <c r="P655" t="s">
        <v>74</v>
      </c>
      <c r="Q655" t="s">
        <v>74</v>
      </c>
      <c r="R655" t="s">
        <v>74</v>
      </c>
      <c r="S655" t="s">
        <v>74</v>
      </c>
      <c r="T655" t="s">
        <v>12398</v>
      </c>
      <c r="U655" t="s">
        <v>12399</v>
      </c>
      <c r="V655" t="s">
        <v>12400</v>
      </c>
      <c r="W655" t="s">
        <v>12401</v>
      </c>
      <c r="X655" t="s">
        <v>12402</v>
      </c>
      <c r="Y655" t="s">
        <v>12403</v>
      </c>
      <c r="Z655" t="s">
        <v>12404</v>
      </c>
      <c r="AA655" t="s">
        <v>12405</v>
      </c>
      <c r="AB655" t="s">
        <v>12406</v>
      </c>
      <c r="AC655" t="s">
        <v>12407</v>
      </c>
      <c r="AD655" t="s">
        <v>7603</v>
      </c>
      <c r="AE655" t="s">
        <v>12408</v>
      </c>
      <c r="AF655" t="s">
        <v>74</v>
      </c>
      <c r="AG655">
        <v>67</v>
      </c>
      <c r="AH655">
        <v>29</v>
      </c>
      <c r="AI655">
        <v>34</v>
      </c>
      <c r="AJ655">
        <v>2</v>
      </c>
      <c r="AK655">
        <v>49</v>
      </c>
      <c r="AL655" t="s">
        <v>601</v>
      </c>
      <c r="AM655" t="s">
        <v>251</v>
      </c>
      <c r="AN655" t="s">
        <v>602</v>
      </c>
      <c r="AO655" t="s">
        <v>12409</v>
      </c>
      <c r="AP655" t="s">
        <v>12410</v>
      </c>
      <c r="AQ655" t="s">
        <v>74</v>
      </c>
      <c r="AR655" t="s">
        <v>12411</v>
      </c>
      <c r="AS655" t="s">
        <v>12412</v>
      </c>
      <c r="AT655" t="s">
        <v>11484</v>
      </c>
      <c r="AU655">
        <v>2014</v>
      </c>
      <c r="AV655">
        <v>54</v>
      </c>
      <c r="AW655" t="s">
        <v>74</v>
      </c>
      <c r="AX655" t="s">
        <v>74</v>
      </c>
      <c r="AY655" t="s">
        <v>74</v>
      </c>
      <c r="AZ655" t="s">
        <v>74</v>
      </c>
      <c r="BA655" t="s">
        <v>74</v>
      </c>
      <c r="BB655">
        <v>106</v>
      </c>
      <c r="BC655">
        <v>122</v>
      </c>
      <c r="BD655" t="s">
        <v>74</v>
      </c>
      <c r="BE655" t="s">
        <v>12413</v>
      </c>
      <c r="BF655" t="str">
        <f>HYPERLINK("http://dx.doi.org/10.1016/j.marpetgeo.2014.03.002","http://dx.doi.org/10.1016/j.marpetgeo.2014.03.002")</f>
        <v>http://dx.doi.org/10.1016/j.marpetgeo.2014.03.002</v>
      </c>
      <c r="BG655" t="s">
        <v>74</v>
      </c>
      <c r="BH655" t="s">
        <v>74</v>
      </c>
      <c r="BI655">
        <v>17</v>
      </c>
      <c r="BJ655" t="s">
        <v>685</v>
      </c>
      <c r="BK655" t="s">
        <v>102</v>
      </c>
      <c r="BL655" t="s">
        <v>686</v>
      </c>
      <c r="BM655" t="s">
        <v>12414</v>
      </c>
      <c r="BN655" t="s">
        <v>74</v>
      </c>
      <c r="BO655" t="s">
        <v>74</v>
      </c>
      <c r="BP655" t="s">
        <v>74</v>
      </c>
      <c r="BQ655" t="s">
        <v>74</v>
      </c>
      <c r="BR655" t="s">
        <v>105</v>
      </c>
      <c r="BS655" t="s">
        <v>12415</v>
      </c>
      <c r="BT655" t="str">
        <f>HYPERLINK("https%3A%2F%2Fwww.webofscience.com%2Fwos%2Fwoscc%2Ffull-record%2FWOS:000336712000008","View Full Record in Web of Science")</f>
        <v>View Full Record in Web of Science</v>
      </c>
    </row>
    <row r="656" spans="1:72" x14ac:dyDescent="0.15">
      <c r="A656" t="s">
        <v>72</v>
      </c>
      <c r="B656" t="s">
        <v>12416</v>
      </c>
      <c r="C656" t="s">
        <v>74</v>
      </c>
      <c r="D656" t="s">
        <v>74</v>
      </c>
      <c r="E656" t="s">
        <v>74</v>
      </c>
      <c r="F656" t="s">
        <v>12417</v>
      </c>
      <c r="G656" t="s">
        <v>74</v>
      </c>
      <c r="H656" t="s">
        <v>74</v>
      </c>
      <c r="I656" t="s">
        <v>12418</v>
      </c>
      <c r="J656" t="s">
        <v>10413</v>
      </c>
      <c r="K656" t="s">
        <v>74</v>
      </c>
      <c r="L656" t="s">
        <v>74</v>
      </c>
      <c r="M656" t="s">
        <v>78</v>
      </c>
      <c r="N656" t="s">
        <v>79</v>
      </c>
      <c r="O656" t="s">
        <v>74</v>
      </c>
      <c r="P656" t="s">
        <v>74</v>
      </c>
      <c r="Q656" t="s">
        <v>74</v>
      </c>
      <c r="R656" t="s">
        <v>74</v>
      </c>
      <c r="S656" t="s">
        <v>74</v>
      </c>
      <c r="T656" t="s">
        <v>12419</v>
      </c>
      <c r="U656" t="s">
        <v>12420</v>
      </c>
      <c r="V656" t="s">
        <v>12421</v>
      </c>
      <c r="W656" t="s">
        <v>12422</v>
      </c>
      <c r="X656" t="s">
        <v>12423</v>
      </c>
      <c r="Y656" t="s">
        <v>12424</v>
      </c>
      <c r="Z656" t="s">
        <v>12425</v>
      </c>
      <c r="AA656" t="s">
        <v>12426</v>
      </c>
      <c r="AB656" t="s">
        <v>74</v>
      </c>
      <c r="AC656" t="s">
        <v>12427</v>
      </c>
      <c r="AD656" t="s">
        <v>12428</v>
      </c>
      <c r="AE656" t="s">
        <v>12429</v>
      </c>
      <c r="AF656" t="s">
        <v>74</v>
      </c>
      <c r="AG656">
        <v>36</v>
      </c>
      <c r="AH656">
        <v>11</v>
      </c>
      <c r="AI656">
        <v>13</v>
      </c>
      <c r="AJ656">
        <v>4</v>
      </c>
      <c r="AK656">
        <v>53</v>
      </c>
      <c r="AL656" t="s">
        <v>5574</v>
      </c>
      <c r="AM656" t="s">
        <v>5575</v>
      </c>
      <c r="AN656" t="s">
        <v>5576</v>
      </c>
      <c r="AO656" t="s">
        <v>10425</v>
      </c>
      <c r="AP656" t="s">
        <v>10426</v>
      </c>
      <c r="AQ656" t="s">
        <v>74</v>
      </c>
      <c r="AR656" t="s">
        <v>10427</v>
      </c>
      <c r="AS656" t="s">
        <v>10428</v>
      </c>
      <c r="AT656" t="s">
        <v>11484</v>
      </c>
      <c r="AU656">
        <v>2014</v>
      </c>
      <c r="AV656">
        <v>57</v>
      </c>
      <c r="AW656">
        <v>6</v>
      </c>
      <c r="AX656" t="s">
        <v>74</v>
      </c>
      <c r="AY656" t="s">
        <v>74</v>
      </c>
      <c r="AZ656" t="s">
        <v>74</v>
      </c>
      <c r="BA656" t="s">
        <v>74</v>
      </c>
      <c r="BB656">
        <v>1267</v>
      </c>
      <c r="BC656">
        <v>1277</v>
      </c>
      <c r="BD656" t="s">
        <v>74</v>
      </c>
      <c r="BE656" t="s">
        <v>12430</v>
      </c>
      <c r="BF656" t="str">
        <f>HYPERLINK("http://dx.doi.org/10.1007/s11430-013-4796-x","http://dx.doi.org/10.1007/s11430-013-4796-x")</f>
        <v>http://dx.doi.org/10.1007/s11430-013-4796-x</v>
      </c>
      <c r="BG656" t="s">
        <v>74</v>
      </c>
      <c r="BH656" t="s">
        <v>74</v>
      </c>
      <c r="BI656">
        <v>11</v>
      </c>
      <c r="BJ656" t="s">
        <v>685</v>
      </c>
      <c r="BK656" t="s">
        <v>102</v>
      </c>
      <c r="BL656" t="s">
        <v>686</v>
      </c>
      <c r="BM656" t="s">
        <v>12431</v>
      </c>
      <c r="BN656" t="s">
        <v>74</v>
      </c>
      <c r="BO656" t="s">
        <v>74</v>
      </c>
      <c r="BP656" t="s">
        <v>74</v>
      </c>
      <c r="BQ656" t="s">
        <v>74</v>
      </c>
      <c r="BR656" t="s">
        <v>105</v>
      </c>
      <c r="BS656" t="s">
        <v>12432</v>
      </c>
      <c r="BT656" t="str">
        <f>HYPERLINK("https%3A%2F%2Fwww.webofscience.com%2Fwos%2Fwoscc%2Ffull-record%2FWOS:000336380400013","View Full Record in Web of Science")</f>
        <v>View Full Record in Web of Science</v>
      </c>
    </row>
    <row r="657" spans="1:72" x14ac:dyDescent="0.15">
      <c r="A657" t="s">
        <v>72</v>
      </c>
      <c r="B657" t="s">
        <v>12433</v>
      </c>
      <c r="C657" t="s">
        <v>74</v>
      </c>
      <c r="D657" t="s">
        <v>74</v>
      </c>
      <c r="E657" t="s">
        <v>74</v>
      </c>
      <c r="F657" t="s">
        <v>12434</v>
      </c>
      <c r="G657" t="s">
        <v>74</v>
      </c>
      <c r="H657" t="s">
        <v>74</v>
      </c>
      <c r="I657" t="s">
        <v>12435</v>
      </c>
      <c r="J657" t="s">
        <v>1819</v>
      </c>
      <c r="K657" t="s">
        <v>74</v>
      </c>
      <c r="L657" t="s">
        <v>74</v>
      </c>
      <c r="M657" t="s">
        <v>78</v>
      </c>
      <c r="N657" t="s">
        <v>79</v>
      </c>
      <c r="O657" t="s">
        <v>74</v>
      </c>
      <c r="P657" t="s">
        <v>74</v>
      </c>
      <c r="Q657" t="s">
        <v>74</v>
      </c>
      <c r="R657" t="s">
        <v>74</v>
      </c>
      <c r="S657" t="s">
        <v>74</v>
      </c>
      <c r="T657" t="s">
        <v>12436</v>
      </c>
      <c r="U657" t="s">
        <v>12437</v>
      </c>
      <c r="V657" t="s">
        <v>12438</v>
      </c>
      <c r="W657" t="s">
        <v>12439</v>
      </c>
      <c r="X657" t="s">
        <v>12440</v>
      </c>
      <c r="Y657" t="s">
        <v>12441</v>
      </c>
      <c r="Z657" t="s">
        <v>12442</v>
      </c>
      <c r="AA657" t="s">
        <v>12443</v>
      </c>
      <c r="AB657" t="s">
        <v>74</v>
      </c>
      <c r="AC657" t="s">
        <v>12444</v>
      </c>
      <c r="AD657" t="s">
        <v>12445</v>
      </c>
      <c r="AE657" t="s">
        <v>12446</v>
      </c>
      <c r="AF657" t="s">
        <v>74</v>
      </c>
      <c r="AG657">
        <v>32</v>
      </c>
      <c r="AH657">
        <v>6</v>
      </c>
      <c r="AI657">
        <v>6</v>
      </c>
      <c r="AJ657">
        <v>1</v>
      </c>
      <c r="AK657">
        <v>26</v>
      </c>
      <c r="AL657" t="s">
        <v>224</v>
      </c>
      <c r="AM657" t="s">
        <v>576</v>
      </c>
      <c r="AN657" t="s">
        <v>577</v>
      </c>
      <c r="AO657" t="s">
        <v>1832</v>
      </c>
      <c r="AP657" t="s">
        <v>1833</v>
      </c>
      <c r="AQ657" t="s">
        <v>74</v>
      </c>
      <c r="AR657" t="s">
        <v>1834</v>
      </c>
      <c r="AS657" t="s">
        <v>1835</v>
      </c>
      <c r="AT657" t="s">
        <v>11484</v>
      </c>
      <c r="AU657">
        <v>2014</v>
      </c>
      <c r="AV657">
        <v>33</v>
      </c>
      <c r="AW657">
        <v>6</v>
      </c>
      <c r="AX657" t="s">
        <v>74</v>
      </c>
      <c r="AY657" t="s">
        <v>74</v>
      </c>
      <c r="AZ657" t="s">
        <v>74</v>
      </c>
      <c r="BA657" t="s">
        <v>74</v>
      </c>
      <c r="BB657">
        <v>1</v>
      </c>
      <c r="BC657">
        <v>8</v>
      </c>
      <c r="BD657" t="s">
        <v>74</v>
      </c>
      <c r="BE657" t="s">
        <v>12447</v>
      </c>
      <c r="BF657" t="str">
        <f>HYPERLINK("http://dx.doi.org/10.1007/s13131-014-0483-9","http://dx.doi.org/10.1007/s13131-014-0483-9")</f>
        <v>http://dx.doi.org/10.1007/s13131-014-0483-9</v>
      </c>
      <c r="BG657" t="s">
        <v>74</v>
      </c>
      <c r="BH657" t="s">
        <v>74</v>
      </c>
      <c r="BI657">
        <v>8</v>
      </c>
      <c r="BJ657" t="s">
        <v>152</v>
      </c>
      <c r="BK657" t="s">
        <v>102</v>
      </c>
      <c r="BL657" t="s">
        <v>152</v>
      </c>
      <c r="BM657" t="s">
        <v>12448</v>
      </c>
      <c r="BN657" t="s">
        <v>74</v>
      </c>
      <c r="BO657" t="s">
        <v>74</v>
      </c>
      <c r="BP657" t="s">
        <v>74</v>
      </c>
      <c r="BQ657" t="s">
        <v>74</v>
      </c>
      <c r="BR657" t="s">
        <v>105</v>
      </c>
      <c r="BS657" t="s">
        <v>12449</v>
      </c>
      <c r="BT657" t="str">
        <f>HYPERLINK("https%3A%2F%2Fwww.webofscience.com%2Fwos%2Fwoscc%2Ffull-record%2FWOS:000336422900001","View Full Record in Web of Science")</f>
        <v>View Full Record in Web of Science</v>
      </c>
    </row>
    <row r="658" spans="1:72" x14ac:dyDescent="0.15">
      <c r="A658" t="s">
        <v>72</v>
      </c>
      <c r="B658" t="s">
        <v>12450</v>
      </c>
      <c r="C658" t="s">
        <v>74</v>
      </c>
      <c r="D658" t="s">
        <v>74</v>
      </c>
      <c r="E658" t="s">
        <v>74</v>
      </c>
      <c r="F658" t="s">
        <v>12451</v>
      </c>
      <c r="G658" t="s">
        <v>74</v>
      </c>
      <c r="H658" t="s">
        <v>74</v>
      </c>
      <c r="I658" t="s">
        <v>12452</v>
      </c>
      <c r="J658" t="s">
        <v>1819</v>
      </c>
      <c r="K658" t="s">
        <v>74</v>
      </c>
      <c r="L658" t="s">
        <v>74</v>
      </c>
      <c r="M658" t="s">
        <v>78</v>
      </c>
      <c r="N658" t="s">
        <v>79</v>
      </c>
      <c r="O658" t="s">
        <v>74</v>
      </c>
      <c r="P658" t="s">
        <v>74</v>
      </c>
      <c r="Q658" t="s">
        <v>74</v>
      </c>
      <c r="R658" t="s">
        <v>74</v>
      </c>
      <c r="S658" t="s">
        <v>74</v>
      </c>
      <c r="T658" t="s">
        <v>12453</v>
      </c>
      <c r="U658" t="s">
        <v>12454</v>
      </c>
      <c r="V658" t="s">
        <v>12455</v>
      </c>
      <c r="W658" t="s">
        <v>12456</v>
      </c>
      <c r="X658" t="s">
        <v>12457</v>
      </c>
      <c r="Y658" t="s">
        <v>12458</v>
      </c>
      <c r="Z658" t="s">
        <v>12442</v>
      </c>
      <c r="AA658" t="s">
        <v>12459</v>
      </c>
      <c r="AB658" t="s">
        <v>74</v>
      </c>
      <c r="AC658" t="s">
        <v>12460</v>
      </c>
      <c r="AD658" t="s">
        <v>12461</v>
      </c>
      <c r="AE658" t="s">
        <v>12462</v>
      </c>
      <c r="AF658" t="s">
        <v>74</v>
      </c>
      <c r="AG658">
        <v>61</v>
      </c>
      <c r="AH658">
        <v>6</v>
      </c>
      <c r="AI658">
        <v>8</v>
      </c>
      <c r="AJ658">
        <v>0</v>
      </c>
      <c r="AK658">
        <v>28</v>
      </c>
      <c r="AL658" t="s">
        <v>224</v>
      </c>
      <c r="AM658" t="s">
        <v>576</v>
      </c>
      <c r="AN658" t="s">
        <v>577</v>
      </c>
      <c r="AO658" t="s">
        <v>1832</v>
      </c>
      <c r="AP658" t="s">
        <v>1833</v>
      </c>
      <c r="AQ658" t="s">
        <v>74</v>
      </c>
      <c r="AR658" t="s">
        <v>1834</v>
      </c>
      <c r="AS658" t="s">
        <v>1835</v>
      </c>
      <c r="AT658" t="s">
        <v>11484</v>
      </c>
      <c r="AU658">
        <v>2014</v>
      </c>
      <c r="AV658">
        <v>33</v>
      </c>
      <c r="AW658">
        <v>6</v>
      </c>
      <c r="AX658" t="s">
        <v>74</v>
      </c>
      <c r="AY658" t="s">
        <v>74</v>
      </c>
      <c r="AZ658" t="s">
        <v>74</v>
      </c>
      <c r="BA658" t="s">
        <v>74</v>
      </c>
      <c r="BB658">
        <v>9</v>
      </c>
      <c r="BC658">
        <v>19</v>
      </c>
      <c r="BD658" t="s">
        <v>74</v>
      </c>
      <c r="BE658" t="s">
        <v>12463</v>
      </c>
      <c r="BF658" t="str">
        <f>HYPERLINK("http://dx.doi.org/10.1007/s13131-014-0484-8","http://dx.doi.org/10.1007/s13131-014-0484-8")</f>
        <v>http://dx.doi.org/10.1007/s13131-014-0484-8</v>
      </c>
      <c r="BG658" t="s">
        <v>74</v>
      </c>
      <c r="BH658" t="s">
        <v>74</v>
      </c>
      <c r="BI658">
        <v>11</v>
      </c>
      <c r="BJ658" t="s">
        <v>152</v>
      </c>
      <c r="BK658" t="s">
        <v>102</v>
      </c>
      <c r="BL658" t="s">
        <v>152</v>
      </c>
      <c r="BM658" t="s">
        <v>12448</v>
      </c>
      <c r="BN658" t="s">
        <v>74</v>
      </c>
      <c r="BO658" t="s">
        <v>74</v>
      </c>
      <c r="BP658" t="s">
        <v>74</v>
      </c>
      <c r="BQ658" t="s">
        <v>74</v>
      </c>
      <c r="BR658" t="s">
        <v>105</v>
      </c>
      <c r="BS658" t="s">
        <v>12464</v>
      </c>
      <c r="BT658" t="str">
        <f>HYPERLINK("https%3A%2F%2Fwww.webofscience.com%2Fwos%2Fwoscc%2Ffull-record%2FWOS:000336422900002","View Full Record in Web of Science")</f>
        <v>View Full Record in Web of Science</v>
      </c>
    </row>
    <row r="659" spans="1:72" x14ac:dyDescent="0.15">
      <c r="A659" t="s">
        <v>72</v>
      </c>
      <c r="B659" t="s">
        <v>12465</v>
      </c>
      <c r="C659" t="s">
        <v>74</v>
      </c>
      <c r="D659" t="s">
        <v>74</v>
      </c>
      <c r="E659" t="s">
        <v>74</v>
      </c>
      <c r="F659" t="s">
        <v>12466</v>
      </c>
      <c r="G659" t="s">
        <v>74</v>
      </c>
      <c r="H659" t="s">
        <v>74</v>
      </c>
      <c r="I659" t="s">
        <v>12467</v>
      </c>
      <c r="J659" t="s">
        <v>12468</v>
      </c>
      <c r="K659" t="s">
        <v>74</v>
      </c>
      <c r="L659" t="s">
        <v>74</v>
      </c>
      <c r="M659" t="s">
        <v>78</v>
      </c>
      <c r="N659" t="s">
        <v>79</v>
      </c>
      <c r="O659" t="s">
        <v>74</v>
      </c>
      <c r="P659" t="s">
        <v>74</v>
      </c>
      <c r="Q659" t="s">
        <v>74</v>
      </c>
      <c r="R659" t="s">
        <v>74</v>
      </c>
      <c r="S659" t="s">
        <v>74</v>
      </c>
      <c r="T659" t="s">
        <v>12469</v>
      </c>
      <c r="U659" t="s">
        <v>12470</v>
      </c>
      <c r="V659" t="s">
        <v>12471</v>
      </c>
      <c r="W659" t="s">
        <v>12472</v>
      </c>
      <c r="X659" t="s">
        <v>12473</v>
      </c>
      <c r="Y659" t="s">
        <v>12474</v>
      </c>
      <c r="Z659" t="s">
        <v>12475</v>
      </c>
      <c r="AA659" t="s">
        <v>12476</v>
      </c>
      <c r="AB659" t="s">
        <v>12477</v>
      </c>
      <c r="AC659" t="s">
        <v>74</v>
      </c>
      <c r="AD659" t="s">
        <v>74</v>
      </c>
      <c r="AE659" t="s">
        <v>74</v>
      </c>
      <c r="AF659" t="s">
        <v>74</v>
      </c>
      <c r="AG659">
        <v>51</v>
      </c>
      <c r="AH659">
        <v>3</v>
      </c>
      <c r="AI659">
        <v>3</v>
      </c>
      <c r="AJ659">
        <v>2</v>
      </c>
      <c r="AK659">
        <v>28</v>
      </c>
      <c r="AL659" t="s">
        <v>171</v>
      </c>
      <c r="AM659" t="s">
        <v>93</v>
      </c>
      <c r="AN659" t="s">
        <v>94</v>
      </c>
      <c r="AO659" t="s">
        <v>12478</v>
      </c>
      <c r="AP659" t="s">
        <v>12479</v>
      </c>
      <c r="AQ659" t="s">
        <v>74</v>
      </c>
      <c r="AR659" t="s">
        <v>12468</v>
      </c>
      <c r="AS659" t="s">
        <v>12480</v>
      </c>
      <c r="AT659" t="s">
        <v>11484</v>
      </c>
      <c r="AU659">
        <v>2014</v>
      </c>
      <c r="AV659">
        <v>46</v>
      </c>
      <c r="AW659">
        <v>2</v>
      </c>
      <c r="AX659" t="s">
        <v>74</v>
      </c>
      <c r="AY659" t="s">
        <v>74</v>
      </c>
      <c r="AZ659" t="s">
        <v>74</v>
      </c>
      <c r="BA659" t="s">
        <v>74</v>
      </c>
      <c r="BB659">
        <v>129</v>
      </c>
      <c r="BC659">
        <v>136</v>
      </c>
      <c r="BD659" t="s">
        <v>74</v>
      </c>
      <c r="BE659" t="s">
        <v>12481</v>
      </c>
      <c r="BF659" t="str">
        <f>HYPERLINK("http://dx.doi.org/10.1111/area.12082","http://dx.doi.org/10.1111/area.12082")</f>
        <v>http://dx.doi.org/10.1111/area.12082</v>
      </c>
      <c r="BG659" t="s">
        <v>74</v>
      </c>
      <c r="BH659" t="s">
        <v>74</v>
      </c>
      <c r="BI659">
        <v>8</v>
      </c>
      <c r="BJ659" t="s">
        <v>12482</v>
      </c>
      <c r="BK659" t="s">
        <v>2238</v>
      </c>
      <c r="BL659" t="s">
        <v>12482</v>
      </c>
      <c r="BM659" t="s">
        <v>12483</v>
      </c>
      <c r="BN659" t="s">
        <v>74</v>
      </c>
      <c r="BO659" t="s">
        <v>74</v>
      </c>
      <c r="BP659" t="s">
        <v>74</v>
      </c>
      <c r="BQ659" t="s">
        <v>74</v>
      </c>
      <c r="BR659" t="s">
        <v>105</v>
      </c>
      <c r="BS659" t="s">
        <v>12484</v>
      </c>
      <c r="BT659" t="str">
        <f>HYPERLINK("https%3A%2F%2Fwww.webofscience.com%2Fwos%2Fwoscc%2Ffull-record%2FWOS:000335754000002","View Full Record in Web of Science")</f>
        <v>View Full Record in Web of Science</v>
      </c>
    </row>
    <row r="660" spans="1:72" x14ac:dyDescent="0.15">
      <c r="A660" t="s">
        <v>72</v>
      </c>
      <c r="B660" t="s">
        <v>12485</v>
      </c>
      <c r="C660" t="s">
        <v>74</v>
      </c>
      <c r="D660" t="s">
        <v>74</v>
      </c>
      <c r="E660" t="s">
        <v>74</v>
      </c>
      <c r="F660" t="s">
        <v>12486</v>
      </c>
      <c r="G660" t="s">
        <v>74</v>
      </c>
      <c r="H660" t="s">
        <v>74</v>
      </c>
      <c r="I660" t="s">
        <v>12487</v>
      </c>
      <c r="J660" t="s">
        <v>12488</v>
      </c>
      <c r="K660" t="s">
        <v>74</v>
      </c>
      <c r="L660" t="s">
        <v>74</v>
      </c>
      <c r="M660" t="s">
        <v>78</v>
      </c>
      <c r="N660" t="s">
        <v>79</v>
      </c>
      <c r="O660" t="s">
        <v>74</v>
      </c>
      <c r="P660" t="s">
        <v>74</v>
      </c>
      <c r="Q660" t="s">
        <v>74</v>
      </c>
      <c r="R660" t="s">
        <v>74</v>
      </c>
      <c r="S660" t="s">
        <v>74</v>
      </c>
      <c r="T660" t="s">
        <v>12489</v>
      </c>
      <c r="U660" t="s">
        <v>12490</v>
      </c>
      <c r="V660" t="s">
        <v>12491</v>
      </c>
      <c r="W660" t="s">
        <v>12492</v>
      </c>
      <c r="X660" t="s">
        <v>12493</v>
      </c>
      <c r="Y660" t="s">
        <v>12494</v>
      </c>
      <c r="Z660" t="s">
        <v>12495</v>
      </c>
      <c r="AA660" t="s">
        <v>12496</v>
      </c>
      <c r="AB660" t="s">
        <v>12497</v>
      </c>
      <c r="AC660" t="s">
        <v>12498</v>
      </c>
      <c r="AD660" t="s">
        <v>12499</v>
      </c>
      <c r="AE660" t="s">
        <v>12500</v>
      </c>
      <c r="AF660" t="s">
        <v>74</v>
      </c>
      <c r="AG660">
        <v>24</v>
      </c>
      <c r="AH660">
        <v>8</v>
      </c>
      <c r="AI660">
        <v>10</v>
      </c>
      <c r="AJ660">
        <v>0</v>
      </c>
      <c r="AK660">
        <v>29</v>
      </c>
      <c r="AL660" t="s">
        <v>224</v>
      </c>
      <c r="AM660" t="s">
        <v>576</v>
      </c>
      <c r="AN660" t="s">
        <v>778</v>
      </c>
      <c r="AO660" t="s">
        <v>12501</v>
      </c>
      <c r="AP660" t="s">
        <v>12502</v>
      </c>
      <c r="AQ660" t="s">
        <v>74</v>
      </c>
      <c r="AR660" t="s">
        <v>12488</v>
      </c>
      <c r="AS660" t="s">
        <v>12503</v>
      </c>
      <c r="AT660" t="s">
        <v>11484</v>
      </c>
      <c r="AU660">
        <v>2014</v>
      </c>
      <c r="AV660">
        <v>33</v>
      </c>
      <c r="AW660">
        <v>2</v>
      </c>
      <c r="AX660" t="s">
        <v>74</v>
      </c>
      <c r="AY660" t="s">
        <v>74</v>
      </c>
      <c r="AZ660" t="s">
        <v>74</v>
      </c>
      <c r="BA660" t="s">
        <v>74</v>
      </c>
      <c r="BB660">
        <v>345</v>
      </c>
      <c r="BC660">
        <v>349</v>
      </c>
      <c r="BD660" t="s">
        <v>74</v>
      </c>
      <c r="BE660" t="s">
        <v>12504</v>
      </c>
      <c r="BF660" t="str">
        <f>HYPERLINK("http://dx.doi.org/10.1007/s00338-014-1138-1","http://dx.doi.org/10.1007/s00338-014-1138-1")</f>
        <v>http://dx.doi.org/10.1007/s00338-014-1138-1</v>
      </c>
      <c r="BG660" t="s">
        <v>74</v>
      </c>
      <c r="BH660" t="s">
        <v>74</v>
      </c>
      <c r="BI660">
        <v>5</v>
      </c>
      <c r="BJ660" t="s">
        <v>130</v>
      </c>
      <c r="BK660" t="s">
        <v>102</v>
      </c>
      <c r="BL660" t="s">
        <v>130</v>
      </c>
      <c r="BM660" t="s">
        <v>12505</v>
      </c>
      <c r="BN660" t="s">
        <v>74</v>
      </c>
      <c r="BO660" t="s">
        <v>74</v>
      </c>
      <c r="BP660" t="s">
        <v>74</v>
      </c>
      <c r="BQ660" t="s">
        <v>74</v>
      </c>
      <c r="BR660" t="s">
        <v>105</v>
      </c>
      <c r="BS660" t="s">
        <v>12506</v>
      </c>
      <c r="BT660" t="str">
        <f>HYPERLINK("https%3A%2F%2Fwww.webofscience.com%2Fwos%2Fwoscc%2Ffull-record%2FWOS:000336219900008","View Full Record in Web of Science")</f>
        <v>View Full Record in Web of Science</v>
      </c>
    </row>
    <row r="661" spans="1:72" x14ac:dyDescent="0.15">
      <c r="A661" t="s">
        <v>72</v>
      </c>
      <c r="B661" t="s">
        <v>12507</v>
      </c>
      <c r="C661" t="s">
        <v>74</v>
      </c>
      <c r="D661" t="s">
        <v>74</v>
      </c>
      <c r="E661" t="s">
        <v>74</v>
      </c>
      <c r="F661" t="s">
        <v>12508</v>
      </c>
      <c r="G661" t="s">
        <v>74</v>
      </c>
      <c r="H661" t="s">
        <v>74</v>
      </c>
      <c r="I661" t="s">
        <v>12509</v>
      </c>
      <c r="J661" t="s">
        <v>12510</v>
      </c>
      <c r="K661" t="s">
        <v>74</v>
      </c>
      <c r="L661" t="s">
        <v>74</v>
      </c>
      <c r="M661" t="s">
        <v>78</v>
      </c>
      <c r="N661" t="s">
        <v>79</v>
      </c>
      <c r="O661" t="s">
        <v>74</v>
      </c>
      <c r="P661" t="s">
        <v>74</v>
      </c>
      <c r="Q661" t="s">
        <v>74</v>
      </c>
      <c r="R661" t="s">
        <v>74</v>
      </c>
      <c r="S661" t="s">
        <v>74</v>
      </c>
      <c r="T661" t="s">
        <v>12511</v>
      </c>
      <c r="U661" t="s">
        <v>12512</v>
      </c>
      <c r="V661" t="s">
        <v>12513</v>
      </c>
      <c r="W661" t="s">
        <v>12514</v>
      </c>
      <c r="X661" t="s">
        <v>12515</v>
      </c>
      <c r="Y661" t="s">
        <v>12516</v>
      </c>
      <c r="Z661" t="s">
        <v>12517</v>
      </c>
      <c r="AA661" t="s">
        <v>74</v>
      </c>
      <c r="AB661" t="s">
        <v>74</v>
      </c>
      <c r="AC661" t="s">
        <v>74</v>
      </c>
      <c r="AD661" t="s">
        <v>74</v>
      </c>
      <c r="AE661" t="s">
        <v>74</v>
      </c>
      <c r="AF661" t="s">
        <v>74</v>
      </c>
      <c r="AG661">
        <v>14</v>
      </c>
      <c r="AH661">
        <v>7</v>
      </c>
      <c r="AI661">
        <v>7</v>
      </c>
      <c r="AJ661">
        <v>5</v>
      </c>
      <c r="AK661">
        <v>69</v>
      </c>
      <c r="AL661" t="s">
        <v>224</v>
      </c>
      <c r="AM661" t="s">
        <v>576</v>
      </c>
      <c r="AN661" t="s">
        <v>778</v>
      </c>
      <c r="AO661" t="s">
        <v>12518</v>
      </c>
      <c r="AP661" t="s">
        <v>12519</v>
      </c>
      <c r="AQ661" t="s">
        <v>74</v>
      </c>
      <c r="AR661" t="s">
        <v>12520</v>
      </c>
      <c r="AS661" t="s">
        <v>12521</v>
      </c>
      <c r="AT661" t="s">
        <v>11484</v>
      </c>
      <c r="AU661">
        <v>2014</v>
      </c>
      <c r="AV661">
        <v>238</v>
      </c>
      <c r="AW661">
        <v>6</v>
      </c>
      <c r="AX661" t="s">
        <v>74</v>
      </c>
      <c r="AY661" t="s">
        <v>74</v>
      </c>
      <c r="AZ661" t="s">
        <v>74</v>
      </c>
      <c r="BA661" t="s">
        <v>74</v>
      </c>
      <c r="BB661">
        <v>1023</v>
      </c>
      <c r="BC661">
        <v>1028</v>
      </c>
      <c r="BD661" t="s">
        <v>74</v>
      </c>
      <c r="BE661" t="s">
        <v>12522</v>
      </c>
      <c r="BF661" t="str">
        <f>HYPERLINK("http://dx.doi.org/10.1007/s00217-014-2178-z","http://dx.doi.org/10.1007/s00217-014-2178-z")</f>
        <v>http://dx.doi.org/10.1007/s00217-014-2178-z</v>
      </c>
      <c r="BG661" t="s">
        <v>74</v>
      </c>
      <c r="BH661" t="s">
        <v>74</v>
      </c>
      <c r="BI661">
        <v>6</v>
      </c>
      <c r="BJ661" t="s">
        <v>12523</v>
      </c>
      <c r="BK661" t="s">
        <v>102</v>
      </c>
      <c r="BL661" t="s">
        <v>12523</v>
      </c>
      <c r="BM661" t="s">
        <v>12524</v>
      </c>
      <c r="BN661" t="s">
        <v>74</v>
      </c>
      <c r="BO661" t="s">
        <v>74</v>
      </c>
      <c r="BP661" t="s">
        <v>74</v>
      </c>
      <c r="BQ661" t="s">
        <v>74</v>
      </c>
      <c r="BR661" t="s">
        <v>105</v>
      </c>
      <c r="BS661" t="s">
        <v>12525</v>
      </c>
      <c r="BT661" t="str">
        <f>HYPERLINK("https%3A%2F%2Fwww.webofscience.com%2Fwos%2Fwoscc%2Ffull-record%2FWOS:000336269200013","View Full Record in Web of Science")</f>
        <v>View Full Record in Web of Science</v>
      </c>
    </row>
    <row r="662" spans="1:72" x14ac:dyDescent="0.15">
      <c r="A662" t="s">
        <v>72</v>
      </c>
      <c r="B662" t="s">
        <v>12526</v>
      </c>
      <c r="C662" t="s">
        <v>74</v>
      </c>
      <c r="D662" t="s">
        <v>74</v>
      </c>
      <c r="E662" t="s">
        <v>74</v>
      </c>
      <c r="F662" t="s">
        <v>12527</v>
      </c>
      <c r="G662" t="s">
        <v>74</v>
      </c>
      <c r="H662" t="s">
        <v>74</v>
      </c>
      <c r="I662" t="s">
        <v>12528</v>
      </c>
      <c r="J662" t="s">
        <v>12529</v>
      </c>
      <c r="K662" t="s">
        <v>74</v>
      </c>
      <c r="L662" t="s">
        <v>74</v>
      </c>
      <c r="M662" t="s">
        <v>78</v>
      </c>
      <c r="N662" t="s">
        <v>185</v>
      </c>
      <c r="O662" t="s">
        <v>74</v>
      </c>
      <c r="P662" t="s">
        <v>74</v>
      </c>
      <c r="Q662" t="s">
        <v>74</v>
      </c>
      <c r="R662" t="s">
        <v>74</v>
      </c>
      <c r="S662" t="s">
        <v>74</v>
      </c>
      <c r="T662" t="s">
        <v>12530</v>
      </c>
      <c r="U662" t="s">
        <v>12531</v>
      </c>
      <c r="V662" t="s">
        <v>12532</v>
      </c>
      <c r="W662" t="s">
        <v>12533</v>
      </c>
      <c r="X662" t="s">
        <v>12534</v>
      </c>
      <c r="Y662" t="s">
        <v>12535</v>
      </c>
      <c r="Z662" t="s">
        <v>12536</v>
      </c>
      <c r="AA662" t="s">
        <v>74</v>
      </c>
      <c r="AB662" t="s">
        <v>12537</v>
      </c>
      <c r="AC662" t="s">
        <v>12538</v>
      </c>
      <c r="AD662" t="s">
        <v>12538</v>
      </c>
      <c r="AE662" t="s">
        <v>12539</v>
      </c>
      <c r="AF662" t="s">
        <v>74</v>
      </c>
      <c r="AG662">
        <v>68</v>
      </c>
      <c r="AH662">
        <v>6</v>
      </c>
      <c r="AI662">
        <v>6</v>
      </c>
      <c r="AJ662">
        <v>2</v>
      </c>
      <c r="AK662">
        <v>52</v>
      </c>
      <c r="AL662" t="s">
        <v>224</v>
      </c>
      <c r="AM662" t="s">
        <v>576</v>
      </c>
      <c r="AN662" t="s">
        <v>577</v>
      </c>
      <c r="AO662" t="s">
        <v>12540</v>
      </c>
      <c r="AP662" t="s">
        <v>12541</v>
      </c>
      <c r="AQ662" t="s">
        <v>74</v>
      </c>
      <c r="AR662" t="s">
        <v>12542</v>
      </c>
      <c r="AS662" t="s">
        <v>12543</v>
      </c>
      <c r="AT662" t="s">
        <v>11484</v>
      </c>
      <c r="AU662">
        <v>2014</v>
      </c>
      <c r="AV662">
        <v>41</v>
      </c>
      <c r="AW662">
        <v>2</v>
      </c>
      <c r="AX662" t="s">
        <v>74</v>
      </c>
      <c r="AY662" t="s">
        <v>74</v>
      </c>
      <c r="AZ662" t="s">
        <v>74</v>
      </c>
      <c r="BA662" t="s">
        <v>74</v>
      </c>
      <c r="BB662">
        <v>240</v>
      </c>
      <c r="BC662">
        <v>250</v>
      </c>
      <c r="BD662" t="s">
        <v>74</v>
      </c>
      <c r="BE662" t="s">
        <v>12544</v>
      </c>
      <c r="BF662" t="str">
        <f>HYPERLINK("http://dx.doi.org/10.1007/s11692-013-9263-2","http://dx.doi.org/10.1007/s11692-013-9263-2")</f>
        <v>http://dx.doi.org/10.1007/s11692-013-9263-2</v>
      </c>
      <c r="BG662" t="s">
        <v>74</v>
      </c>
      <c r="BH662" t="s">
        <v>74</v>
      </c>
      <c r="BI662">
        <v>11</v>
      </c>
      <c r="BJ662" t="s">
        <v>12545</v>
      </c>
      <c r="BK662" t="s">
        <v>102</v>
      </c>
      <c r="BL662" t="s">
        <v>12545</v>
      </c>
      <c r="BM662" t="s">
        <v>12546</v>
      </c>
      <c r="BN662" t="s">
        <v>74</v>
      </c>
      <c r="BO662" t="s">
        <v>74</v>
      </c>
      <c r="BP662" t="s">
        <v>74</v>
      </c>
      <c r="BQ662" t="s">
        <v>74</v>
      </c>
      <c r="BR662" t="s">
        <v>105</v>
      </c>
      <c r="BS662" t="s">
        <v>12547</v>
      </c>
      <c r="BT662" t="str">
        <f>HYPERLINK("https%3A%2F%2Fwww.webofscience.com%2Fwos%2Fwoscc%2Ffull-record%2FWOS:000336327800007","View Full Record in Web of Science")</f>
        <v>View Full Record in Web of Science</v>
      </c>
    </row>
    <row r="663" spans="1:72" x14ac:dyDescent="0.15">
      <c r="A663" t="s">
        <v>72</v>
      </c>
      <c r="B663" t="s">
        <v>12548</v>
      </c>
      <c r="C663" t="s">
        <v>74</v>
      </c>
      <c r="D663" t="s">
        <v>74</v>
      </c>
      <c r="E663" t="s">
        <v>74</v>
      </c>
      <c r="F663" t="s">
        <v>12549</v>
      </c>
      <c r="G663" t="s">
        <v>74</v>
      </c>
      <c r="H663" t="s">
        <v>74</v>
      </c>
      <c r="I663" t="s">
        <v>12550</v>
      </c>
      <c r="J663" t="s">
        <v>12551</v>
      </c>
      <c r="K663" t="s">
        <v>74</v>
      </c>
      <c r="L663" t="s">
        <v>74</v>
      </c>
      <c r="M663" t="s">
        <v>78</v>
      </c>
      <c r="N663" t="s">
        <v>79</v>
      </c>
      <c r="O663" t="s">
        <v>74</v>
      </c>
      <c r="P663" t="s">
        <v>74</v>
      </c>
      <c r="Q663" t="s">
        <v>74</v>
      </c>
      <c r="R663" t="s">
        <v>74</v>
      </c>
      <c r="S663" t="s">
        <v>74</v>
      </c>
      <c r="T663" t="s">
        <v>12552</v>
      </c>
      <c r="U663" t="s">
        <v>12553</v>
      </c>
      <c r="V663" t="s">
        <v>12554</v>
      </c>
      <c r="W663" t="s">
        <v>12555</v>
      </c>
      <c r="X663" t="s">
        <v>12556</v>
      </c>
      <c r="Y663" t="s">
        <v>12557</v>
      </c>
      <c r="Z663" t="s">
        <v>12558</v>
      </c>
      <c r="AA663" t="s">
        <v>12559</v>
      </c>
      <c r="AB663" t="s">
        <v>12560</v>
      </c>
      <c r="AC663" t="s">
        <v>12561</v>
      </c>
      <c r="AD663" t="s">
        <v>901</v>
      </c>
      <c r="AE663" t="s">
        <v>12562</v>
      </c>
      <c r="AF663" t="s">
        <v>74</v>
      </c>
      <c r="AG663">
        <v>35</v>
      </c>
      <c r="AH663">
        <v>4</v>
      </c>
      <c r="AI663">
        <v>4</v>
      </c>
      <c r="AJ663">
        <v>1</v>
      </c>
      <c r="AK663">
        <v>21</v>
      </c>
      <c r="AL663" t="s">
        <v>224</v>
      </c>
      <c r="AM663" t="s">
        <v>576</v>
      </c>
      <c r="AN663" t="s">
        <v>577</v>
      </c>
      <c r="AO663" t="s">
        <v>12563</v>
      </c>
      <c r="AP663" t="s">
        <v>12564</v>
      </c>
      <c r="AQ663" t="s">
        <v>74</v>
      </c>
      <c r="AR663" t="s">
        <v>12565</v>
      </c>
      <c r="AS663" t="s">
        <v>12566</v>
      </c>
      <c r="AT663" t="s">
        <v>11484</v>
      </c>
      <c r="AU663">
        <v>2014</v>
      </c>
      <c r="AV663">
        <v>36</v>
      </c>
      <c r="AW663">
        <v>3</v>
      </c>
      <c r="AX663" t="s">
        <v>74</v>
      </c>
      <c r="AY663" t="s">
        <v>74</v>
      </c>
      <c r="AZ663" t="s">
        <v>74</v>
      </c>
      <c r="BA663" t="s">
        <v>74</v>
      </c>
      <c r="BB663">
        <v>283</v>
      </c>
      <c r="BC663">
        <v>291</v>
      </c>
      <c r="BD663" t="s">
        <v>74</v>
      </c>
      <c r="BE663" t="s">
        <v>12567</v>
      </c>
      <c r="BF663" t="str">
        <f>HYPERLINK("http://dx.doi.org/10.1007/s13258-013-0166-5","http://dx.doi.org/10.1007/s13258-013-0166-5")</f>
        <v>http://dx.doi.org/10.1007/s13258-013-0166-5</v>
      </c>
      <c r="BG663" t="s">
        <v>74</v>
      </c>
      <c r="BH663" t="s">
        <v>74</v>
      </c>
      <c r="BI663">
        <v>9</v>
      </c>
      <c r="BJ663" t="s">
        <v>12568</v>
      </c>
      <c r="BK663" t="s">
        <v>102</v>
      </c>
      <c r="BL663" t="s">
        <v>12568</v>
      </c>
      <c r="BM663" t="s">
        <v>12569</v>
      </c>
      <c r="BN663" t="s">
        <v>74</v>
      </c>
      <c r="BO663" t="s">
        <v>74</v>
      </c>
      <c r="BP663" t="s">
        <v>74</v>
      </c>
      <c r="BQ663" t="s">
        <v>74</v>
      </c>
      <c r="BR663" t="s">
        <v>105</v>
      </c>
      <c r="BS663" t="s">
        <v>12570</v>
      </c>
      <c r="BT663" t="str">
        <f>HYPERLINK("https%3A%2F%2Fwww.webofscience.com%2Fwos%2Fwoscc%2Ffull-record%2FWOS:000336411700004","View Full Record in Web of Science")</f>
        <v>View Full Record in Web of Science</v>
      </c>
    </row>
    <row r="664" spans="1:72" x14ac:dyDescent="0.15">
      <c r="A664" t="s">
        <v>72</v>
      </c>
      <c r="B664" t="s">
        <v>12571</v>
      </c>
      <c r="C664" t="s">
        <v>74</v>
      </c>
      <c r="D664" t="s">
        <v>74</v>
      </c>
      <c r="E664" t="s">
        <v>74</v>
      </c>
      <c r="F664" t="s">
        <v>12572</v>
      </c>
      <c r="G664" t="s">
        <v>74</v>
      </c>
      <c r="H664" t="s">
        <v>74</v>
      </c>
      <c r="I664" t="s">
        <v>12573</v>
      </c>
      <c r="J664" t="s">
        <v>12574</v>
      </c>
      <c r="K664" t="s">
        <v>74</v>
      </c>
      <c r="L664" t="s">
        <v>74</v>
      </c>
      <c r="M664" t="s">
        <v>78</v>
      </c>
      <c r="N664" t="s">
        <v>8256</v>
      </c>
      <c r="O664" t="s">
        <v>12575</v>
      </c>
      <c r="P664" t="s">
        <v>12576</v>
      </c>
      <c r="Q664" t="s">
        <v>12577</v>
      </c>
      <c r="R664" t="s">
        <v>74</v>
      </c>
      <c r="S664" t="s">
        <v>74</v>
      </c>
      <c r="T664" t="s">
        <v>74</v>
      </c>
      <c r="U664" t="s">
        <v>12578</v>
      </c>
      <c r="V664" t="s">
        <v>12579</v>
      </c>
      <c r="W664" t="s">
        <v>12580</v>
      </c>
      <c r="X664" t="s">
        <v>12581</v>
      </c>
      <c r="Y664" t="s">
        <v>12582</v>
      </c>
      <c r="Z664" t="s">
        <v>12583</v>
      </c>
      <c r="AA664" t="s">
        <v>12584</v>
      </c>
      <c r="AB664" t="s">
        <v>12585</v>
      </c>
      <c r="AC664" t="s">
        <v>12586</v>
      </c>
      <c r="AD664" t="s">
        <v>12587</v>
      </c>
      <c r="AE664" t="s">
        <v>12588</v>
      </c>
      <c r="AF664" t="s">
        <v>74</v>
      </c>
      <c r="AG664">
        <v>58</v>
      </c>
      <c r="AH664">
        <v>20</v>
      </c>
      <c r="AI664">
        <v>20</v>
      </c>
      <c r="AJ664">
        <v>0</v>
      </c>
      <c r="AK664">
        <v>21</v>
      </c>
      <c r="AL664" t="s">
        <v>224</v>
      </c>
      <c r="AM664" t="s">
        <v>576</v>
      </c>
      <c r="AN664" t="s">
        <v>778</v>
      </c>
      <c r="AO664" t="s">
        <v>12589</v>
      </c>
      <c r="AP664" t="s">
        <v>12590</v>
      </c>
      <c r="AQ664" t="s">
        <v>74</v>
      </c>
      <c r="AR664" t="s">
        <v>12591</v>
      </c>
      <c r="AS664" t="s">
        <v>12592</v>
      </c>
      <c r="AT664" t="s">
        <v>11484</v>
      </c>
      <c r="AU664">
        <v>2014</v>
      </c>
      <c r="AV664">
        <v>34</v>
      </c>
      <c r="AW664" t="s">
        <v>12593</v>
      </c>
      <c r="AX664" t="s">
        <v>74</v>
      </c>
      <c r="AY664" t="s">
        <v>74</v>
      </c>
      <c r="AZ664" t="s">
        <v>74</v>
      </c>
      <c r="BA664" t="s">
        <v>74</v>
      </c>
      <c r="BB664">
        <v>185</v>
      </c>
      <c r="BC664">
        <v>198</v>
      </c>
      <c r="BD664" t="s">
        <v>74</v>
      </c>
      <c r="BE664" t="s">
        <v>12594</v>
      </c>
      <c r="BF664" t="str">
        <f>HYPERLINK("http://dx.doi.org/10.1007/s00367-013-0353-z","http://dx.doi.org/10.1007/s00367-013-0353-z")</f>
        <v>http://dx.doi.org/10.1007/s00367-013-0353-z</v>
      </c>
      <c r="BG664" t="s">
        <v>74</v>
      </c>
      <c r="BH664" t="s">
        <v>74</v>
      </c>
      <c r="BI664">
        <v>14</v>
      </c>
      <c r="BJ664" t="s">
        <v>2901</v>
      </c>
      <c r="BK664" t="s">
        <v>1795</v>
      </c>
      <c r="BL664" t="s">
        <v>2902</v>
      </c>
      <c r="BM664" t="s">
        <v>12595</v>
      </c>
      <c r="BN664" t="s">
        <v>74</v>
      </c>
      <c r="BO664" t="s">
        <v>74</v>
      </c>
      <c r="BP664" t="s">
        <v>74</v>
      </c>
      <c r="BQ664" t="s">
        <v>74</v>
      </c>
      <c r="BR664" t="s">
        <v>105</v>
      </c>
      <c r="BS664" t="s">
        <v>12596</v>
      </c>
      <c r="BT664" t="str">
        <f>HYPERLINK("https%3A%2F%2Fwww.webofscience.com%2Fwos%2Fwoscc%2Ffull-record%2FWOS:000336392800007","View Full Record in Web of Science")</f>
        <v>View Full Record in Web of Science</v>
      </c>
    </row>
    <row r="665" spans="1:72" x14ac:dyDescent="0.15">
      <c r="A665" t="s">
        <v>72</v>
      </c>
      <c r="B665" t="s">
        <v>12597</v>
      </c>
      <c r="C665" t="s">
        <v>74</v>
      </c>
      <c r="D665" t="s">
        <v>74</v>
      </c>
      <c r="E665" t="s">
        <v>74</v>
      </c>
      <c r="F665" t="s">
        <v>12598</v>
      </c>
      <c r="G665" t="s">
        <v>74</v>
      </c>
      <c r="H665" t="s">
        <v>74</v>
      </c>
      <c r="I665" t="s">
        <v>12599</v>
      </c>
      <c r="J665" t="s">
        <v>12600</v>
      </c>
      <c r="K665" t="s">
        <v>74</v>
      </c>
      <c r="L665" t="s">
        <v>74</v>
      </c>
      <c r="M665" t="s">
        <v>78</v>
      </c>
      <c r="N665" t="s">
        <v>79</v>
      </c>
      <c r="O665" t="s">
        <v>74</v>
      </c>
      <c r="P665" t="s">
        <v>74</v>
      </c>
      <c r="Q665" t="s">
        <v>74</v>
      </c>
      <c r="R665" t="s">
        <v>74</v>
      </c>
      <c r="S665" t="s">
        <v>74</v>
      </c>
      <c r="T665" t="s">
        <v>12601</v>
      </c>
      <c r="U665" t="s">
        <v>12602</v>
      </c>
      <c r="V665" t="s">
        <v>12603</v>
      </c>
      <c r="W665" t="s">
        <v>12604</v>
      </c>
      <c r="X665" t="s">
        <v>12605</v>
      </c>
      <c r="Y665" t="s">
        <v>12606</v>
      </c>
      <c r="Z665" t="s">
        <v>12607</v>
      </c>
      <c r="AA665" t="s">
        <v>12608</v>
      </c>
      <c r="AB665" t="s">
        <v>12609</v>
      </c>
      <c r="AC665" t="s">
        <v>74</v>
      </c>
      <c r="AD665" t="s">
        <v>74</v>
      </c>
      <c r="AE665" t="s">
        <v>74</v>
      </c>
      <c r="AF665" t="s">
        <v>74</v>
      </c>
      <c r="AG665">
        <v>45</v>
      </c>
      <c r="AH665">
        <v>8</v>
      </c>
      <c r="AI665">
        <v>10</v>
      </c>
      <c r="AJ665">
        <v>0</v>
      </c>
      <c r="AK665">
        <v>36</v>
      </c>
      <c r="AL665" t="s">
        <v>171</v>
      </c>
      <c r="AM665" t="s">
        <v>93</v>
      </c>
      <c r="AN665" t="s">
        <v>94</v>
      </c>
      <c r="AO665" t="s">
        <v>12610</v>
      </c>
      <c r="AP665" t="s">
        <v>12611</v>
      </c>
      <c r="AQ665" t="s">
        <v>74</v>
      </c>
      <c r="AR665" t="s">
        <v>12612</v>
      </c>
      <c r="AS665" t="s">
        <v>12613</v>
      </c>
      <c r="AT665" t="s">
        <v>11484</v>
      </c>
      <c r="AU665">
        <v>2014</v>
      </c>
      <c r="AV665">
        <v>51</v>
      </c>
      <c r="AW665">
        <v>3</v>
      </c>
      <c r="AX665" t="s">
        <v>74</v>
      </c>
      <c r="AY665" t="s">
        <v>74</v>
      </c>
      <c r="AZ665" t="s">
        <v>74</v>
      </c>
      <c r="BA665" t="s">
        <v>74</v>
      </c>
      <c r="BB665">
        <v>632</v>
      </c>
      <c r="BC665">
        <v>641</v>
      </c>
      <c r="BD665" t="s">
        <v>74</v>
      </c>
      <c r="BE665" t="s">
        <v>12614</v>
      </c>
      <c r="BF665" t="str">
        <f>HYPERLINK("http://dx.doi.org/10.1111/1365-2664.12225","http://dx.doi.org/10.1111/1365-2664.12225")</f>
        <v>http://dx.doi.org/10.1111/1365-2664.12225</v>
      </c>
      <c r="BG665" t="s">
        <v>74</v>
      </c>
      <c r="BH665" t="s">
        <v>74</v>
      </c>
      <c r="BI665">
        <v>10</v>
      </c>
      <c r="BJ665" t="s">
        <v>784</v>
      </c>
      <c r="BK665" t="s">
        <v>1690</v>
      </c>
      <c r="BL665" t="s">
        <v>785</v>
      </c>
      <c r="BM665" t="s">
        <v>12615</v>
      </c>
      <c r="BN665" t="s">
        <v>74</v>
      </c>
      <c r="BO665" t="s">
        <v>179</v>
      </c>
      <c r="BP665" t="s">
        <v>74</v>
      </c>
      <c r="BQ665" t="s">
        <v>74</v>
      </c>
      <c r="BR665" t="s">
        <v>105</v>
      </c>
      <c r="BS665" t="s">
        <v>12616</v>
      </c>
      <c r="BT665" t="str">
        <f>HYPERLINK("https%3A%2F%2Fwww.webofscience.com%2Fwos%2Fwoscc%2Ffull-record%2FWOS:000335962200009","View Full Record in Web of Science")</f>
        <v>View Full Record in Web of Science</v>
      </c>
    </row>
    <row r="666" spans="1:72" x14ac:dyDescent="0.15">
      <c r="A666" t="s">
        <v>72</v>
      </c>
      <c r="B666" t="s">
        <v>12617</v>
      </c>
      <c r="C666" t="s">
        <v>74</v>
      </c>
      <c r="D666" t="s">
        <v>74</v>
      </c>
      <c r="E666" t="s">
        <v>74</v>
      </c>
      <c r="F666" t="s">
        <v>12618</v>
      </c>
      <c r="G666" t="s">
        <v>74</v>
      </c>
      <c r="H666" t="s">
        <v>74</v>
      </c>
      <c r="I666" t="s">
        <v>12619</v>
      </c>
      <c r="J666" t="s">
        <v>12620</v>
      </c>
      <c r="K666" t="s">
        <v>74</v>
      </c>
      <c r="L666" t="s">
        <v>74</v>
      </c>
      <c r="M666" t="s">
        <v>78</v>
      </c>
      <c r="N666" t="s">
        <v>79</v>
      </c>
      <c r="O666" t="s">
        <v>74</v>
      </c>
      <c r="P666" t="s">
        <v>74</v>
      </c>
      <c r="Q666" t="s">
        <v>74</v>
      </c>
      <c r="R666" t="s">
        <v>74</v>
      </c>
      <c r="S666" t="s">
        <v>74</v>
      </c>
      <c r="T666" t="s">
        <v>12621</v>
      </c>
      <c r="U666" t="s">
        <v>12622</v>
      </c>
      <c r="V666" t="s">
        <v>12623</v>
      </c>
      <c r="W666" t="s">
        <v>12624</v>
      </c>
      <c r="X666" t="s">
        <v>12625</v>
      </c>
      <c r="Y666" t="s">
        <v>12626</v>
      </c>
      <c r="Z666" t="s">
        <v>12627</v>
      </c>
      <c r="AA666" t="s">
        <v>12628</v>
      </c>
      <c r="AB666" t="s">
        <v>12629</v>
      </c>
      <c r="AC666" t="s">
        <v>74</v>
      </c>
      <c r="AD666" t="s">
        <v>74</v>
      </c>
      <c r="AE666" t="s">
        <v>74</v>
      </c>
      <c r="AF666" t="s">
        <v>74</v>
      </c>
      <c r="AG666">
        <v>59</v>
      </c>
      <c r="AH666">
        <v>16</v>
      </c>
      <c r="AI666">
        <v>16</v>
      </c>
      <c r="AJ666">
        <v>1</v>
      </c>
      <c r="AK666">
        <v>34</v>
      </c>
      <c r="AL666" t="s">
        <v>224</v>
      </c>
      <c r="AM666" t="s">
        <v>225</v>
      </c>
      <c r="AN666" t="s">
        <v>226</v>
      </c>
      <c r="AO666" t="s">
        <v>12630</v>
      </c>
      <c r="AP666" t="s">
        <v>12631</v>
      </c>
      <c r="AQ666" t="s">
        <v>74</v>
      </c>
      <c r="AR666" t="s">
        <v>12632</v>
      </c>
      <c r="AS666" t="s">
        <v>12633</v>
      </c>
      <c r="AT666" t="s">
        <v>11484</v>
      </c>
      <c r="AU666">
        <v>2014</v>
      </c>
      <c r="AV666">
        <v>24</v>
      </c>
      <c r="AW666">
        <v>2</v>
      </c>
      <c r="AX666" t="s">
        <v>74</v>
      </c>
      <c r="AY666" t="s">
        <v>74</v>
      </c>
      <c r="AZ666" t="s">
        <v>258</v>
      </c>
      <c r="BA666" t="s">
        <v>74</v>
      </c>
      <c r="BB666">
        <v>427</v>
      </c>
      <c r="BC666">
        <v>442</v>
      </c>
      <c r="BD666" t="s">
        <v>74</v>
      </c>
      <c r="BE666" t="s">
        <v>12634</v>
      </c>
      <c r="BF666" t="str">
        <f>HYPERLINK("http://dx.doi.org/10.1007/s11160-013-9312-z","http://dx.doi.org/10.1007/s11160-013-9312-z")</f>
        <v>http://dx.doi.org/10.1007/s11160-013-9312-z</v>
      </c>
      <c r="BG666" t="s">
        <v>74</v>
      </c>
      <c r="BH666" t="s">
        <v>74</v>
      </c>
      <c r="BI666">
        <v>16</v>
      </c>
      <c r="BJ666" t="s">
        <v>9758</v>
      </c>
      <c r="BK666" t="s">
        <v>102</v>
      </c>
      <c r="BL666" t="s">
        <v>9758</v>
      </c>
      <c r="BM666" t="s">
        <v>12635</v>
      </c>
      <c r="BN666" t="s">
        <v>74</v>
      </c>
      <c r="BO666" t="s">
        <v>262</v>
      </c>
      <c r="BP666" t="s">
        <v>74</v>
      </c>
      <c r="BQ666" t="s">
        <v>74</v>
      </c>
      <c r="BR666" t="s">
        <v>105</v>
      </c>
      <c r="BS666" t="s">
        <v>12636</v>
      </c>
      <c r="BT666" t="str">
        <f>HYPERLINK("https%3A%2F%2Fwww.webofscience.com%2Fwos%2Fwoscc%2Ffull-record%2FWOS:000336285600003","View Full Record in Web of Science")</f>
        <v>View Full Record in Web of Science</v>
      </c>
    </row>
    <row r="667" spans="1:72" x14ac:dyDescent="0.15">
      <c r="A667" t="s">
        <v>72</v>
      </c>
      <c r="B667" t="s">
        <v>12637</v>
      </c>
      <c r="C667" t="s">
        <v>74</v>
      </c>
      <c r="D667" t="s">
        <v>74</v>
      </c>
      <c r="E667" t="s">
        <v>74</v>
      </c>
      <c r="F667" t="s">
        <v>12638</v>
      </c>
      <c r="G667" t="s">
        <v>74</v>
      </c>
      <c r="H667" t="s">
        <v>74</v>
      </c>
      <c r="I667" t="s">
        <v>12639</v>
      </c>
      <c r="J667" t="s">
        <v>12620</v>
      </c>
      <c r="K667" t="s">
        <v>74</v>
      </c>
      <c r="L667" t="s">
        <v>74</v>
      </c>
      <c r="M667" t="s">
        <v>78</v>
      </c>
      <c r="N667" t="s">
        <v>79</v>
      </c>
      <c r="O667" t="s">
        <v>74</v>
      </c>
      <c r="P667" t="s">
        <v>74</v>
      </c>
      <c r="Q667" t="s">
        <v>74</v>
      </c>
      <c r="R667" t="s">
        <v>74</v>
      </c>
      <c r="S667" t="s">
        <v>74</v>
      </c>
      <c r="T667" t="s">
        <v>12640</v>
      </c>
      <c r="U667" t="s">
        <v>12641</v>
      </c>
      <c r="V667" t="s">
        <v>12642</v>
      </c>
      <c r="W667" t="s">
        <v>12643</v>
      </c>
      <c r="X667" t="s">
        <v>12644</v>
      </c>
      <c r="Y667" t="s">
        <v>12645</v>
      </c>
      <c r="Z667" t="s">
        <v>12646</v>
      </c>
      <c r="AA667" t="s">
        <v>12647</v>
      </c>
      <c r="AB667" t="s">
        <v>12648</v>
      </c>
      <c r="AC667" t="s">
        <v>12649</v>
      </c>
      <c r="AD667" t="s">
        <v>12649</v>
      </c>
      <c r="AE667" t="s">
        <v>12650</v>
      </c>
      <c r="AF667" t="s">
        <v>74</v>
      </c>
      <c r="AG667">
        <v>42</v>
      </c>
      <c r="AH667">
        <v>13</v>
      </c>
      <c r="AI667">
        <v>13</v>
      </c>
      <c r="AJ667">
        <v>0</v>
      </c>
      <c r="AK667">
        <v>26</v>
      </c>
      <c r="AL667" t="s">
        <v>224</v>
      </c>
      <c r="AM667" t="s">
        <v>225</v>
      </c>
      <c r="AN667" t="s">
        <v>226</v>
      </c>
      <c r="AO667" t="s">
        <v>12630</v>
      </c>
      <c r="AP667" t="s">
        <v>12631</v>
      </c>
      <c r="AQ667" t="s">
        <v>74</v>
      </c>
      <c r="AR667" t="s">
        <v>12632</v>
      </c>
      <c r="AS667" t="s">
        <v>12633</v>
      </c>
      <c r="AT667" t="s">
        <v>11484</v>
      </c>
      <c r="AU667">
        <v>2014</v>
      </c>
      <c r="AV667">
        <v>24</v>
      </c>
      <c r="AW667">
        <v>2</v>
      </c>
      <c r="AX667" t="s">
        <v>74</v>
      </c>
      <c r="AY667" t="s">
        <v>74</v>
      </c>
      <c r="AZ667" t="s">
        <v>258</v>
      </c>
      <c r="BA667" t="s">
        <v>74</v>
      </c>
      <c r="BB667">
        <v>577</v>
      </c>
      <c r="BC667">
        <v>592</v>
      </c>
      <c r="BD667" t="s">
        <v>74</v>
      </c>
      <c r="BE667" t="s">
        <v>12651</v>
      </c>
      <c r="BF667" t="str">
        <f>HYPERLINK("http://dx.doi.org/10.1007/s11160-013-9302-1","http://dx.doi.org/10.1007/s11160-013-9302-1")</f>
        <v>http://dx.doi.org/10.1007/s11160-013-9302-1</v>
      </c>
      <c r="BG667" t="s">
        <v>74</v>
      </c>
      <c r="BH667" t="s">
        <v>74</v>
      </c>
      <c r="BI667">
        <v>16</v>
      </c>
      <c r="BJ667" t="s">
        <v>9758</v>
      </c>
      <c r="BK667" t="s">
        <v>102</v>
      </c>
      <c r="BL667" t="s">
        <v>9758</v>
      </c>
      <c r="BM667" t="s">
        <v>12635</v>
      </c>
      <c r="BN667" t="s">
        <v>74</v>
      </c>
      <c r="BO667" t="s">
        <v>12652</v>
      </c>
      <c r="BP667" t="s">
        <v>74</v>
      </c>
      <c r="BQ667" t="s">
        <v>74</v>
      </c>
      <c r="BR667" t="s">
        <v>105</v>
      </c>
      <c r="BS667" t="s">
        <v>12653</v>
      </c>
      <c r="BT667" t="str">
        <f>HYPERLINK("https%3A%2F%2Fwww.webofscience.com%2Fwos%2Fwoscc%2Ffull-record%2FWOS:000336285600011","View Full Record in Web of Science")</f>
        <v>View Full Record in Web of Science</v>
      </c>
    </row>
    <row r="668" spans="1:72" x14ac:dyDescent="0.15">
      <c r="A668" t="s">
        <v>72</v>
      </c>
      <c r="B668" t="s">
        <v>12654</v>
      </c>
      <c r="C668" t="s">
        <v>74</v>
      </c>
      <c r="D668" t="s">
        <v>74</v>
      </c>
      <c r="E668" t="s">
        <v>74</v>
      </c>
      <c r="F668" t="s">
        <v>12655</v>
      </c>
      <c r="G668" t="s">
        <v>74</v>
      </c>
      <c r="H668" t="s">
        <v>74</v>
      </c>
      <c r="I668" t="s">
        <v>12656</v>
      </c>
      <c r="J668" t="s">
        <v>3277</v>
      </c>
      <c r="K668" t="s">
        <v>74</v>
      </c>
      <c r="L668" t="s">
        <v>74</v>
      </c>
      <c r="M668" t="s">
        <v>78</v>
      </c>
      <c r="N668" t="s">
        <v>79</v>
      </c>
      <c r="O668" t="s">
        <v>74</v>
      </c>
      <c r="P668" t="s">
        <v>74</v>
      </c>
      <c r="Q668" t="s">
        <v>74</v>
      </c>
      <c r="R668" t="s">
        <v>74</v>
      </c>
      <c r="S668" t="s">
        <v>74</v>
      </c>
      <c r="T668" t="s">
        <v>12657</v>
      </c>
      <c r="U668" t="s">
        <v>12658</v>
      </c>
      <c r="V668" t="s">
        <v>12659</v>
      </c>
      <c r="W668" t="s">
        <v>12660</v>
      </c>
      <c r="X668" t="s">
        <v>12661</v>
      </c>
      <c r="Y668" t="s">
        <v>12662</v>
      </c>
      <c r="Z668" t="s">
        <v>12663</v>
      </c>
      <c r="AA668" t="s">
        <v>12664</v>
      </c>
      <c r="AB668" t="s">
        <v>74</v>
      </c>
      <c r="AC668" t="s">
        <v>12665</v>
      </c>
      <c r="AD668" t="s">
        <v>12666</v>
      </c>
      <c r="AE668" t="s">
        <v>12667</v>
      </c>
      <c r="AF668" t="s">
        <v>74</v>
      </c>
      <c r="AG668">
        <v>48</v>
      </c>
      <c r="AH668">
        <v>5</v>
      </c>
      <c r="AI668">
        <v>8</v>
      </c>
      <c r="AJ668">
        <v>0</v>
      </c>
      <c r="AK668">
        <v>37</v>
      </c>
      <c r="AL668" t="s">
        <v>224</v>
      </c>
      <c r="AM668" t="s">
        <v>225</v>
      </c>
      <c r="AN668" t="s">
        <v>226</v>
      </c>
      <c r="AO668" t="s">
        <v>3289</v>
      </c>
      <c r="AP668" t="s">
        <v>3290</v>
      </c>
      <c r="AQ668" t="s">
        <v>74</v>
      </c>
      <c r="AR668" t="s">
        <v>3291</v>
      </c>
      <c r="AS668" t="s">
        <v>3292</v>
      </c>
      <c r="AT668" t="s">
        <v>11484</v>
      </c>
      <c r="AU668">
        <v>2014</v>
      </c>
      <c r="AV668">
        <v>105</v>
      </c>
      <c r="AW668">
        <v>6</v>
      </c>
      <c r="AX668" t="s">
        <v>74</v>
      </c>
      <c r="AY668" t="s">
        <v>74</v>
      </c>
      <c r="AZ668" t="s">
        <v>74</v>
      </c>
      <c r="BA668" t="s">
        <v>74</v>
      </c>
      <c r="BB668">
        <v>997</v>
      </c>
      <c r="BC668">
        <v>1005</v>
      </c>
      <c r="BD668" t="s">
        <v>74</v>
      </c>
      <c r="BE668" t="s">
        <v>12668</v>
      </c>
      <c r="BF668" t="str">
        <f>HYPERLINK("http://dx.doi.org/10.1007/s10482-014-0159-7","http://dx.doi.org/10.1007/s10482-014-0159-7")</f>
        <v>http://dx.doi.org/10.1007/s10482-014-0159-7</v>
      </c>
      <c r="BG668" t="s">
        <v>74</v>
      </c>
      <c r="BH668" t="s">
        <v>74</v>
      </c>
      <c r="BI668">
        <v>9</v>
      </c>
      <c r="BJ668" t="s">
        <v>1012</v>
      </c>
      <c r="BK668" t="s">
        <v>102</v>
      </c>
      <c r="BL668" t="s">
        <v>1012</v>
      </c>
      <c r="BM668" t="s">
        <v>12669</v>
      </c>
      <c r="BN668">
        <v>24718619</v>
      </c>
      <c r="BO668" t="s">
        <v>74</v>
      </c>
      <c r="BP668" t="s">
        <v>74</v>
      </c>
      <c r="BQ668" t="s">
        <v>74</v>
      </c>
      <c r="BR668" t="s">
        <v>105</v>
      </c>
      <c r="BS668" t="s">
        <v>12670</v>
      </c>
      <c r="BT668" t="str">
        <f>HYPERLINK("https%3A%2F%2Fwww.webofscience.com%2Fwos%2Fwoscc%2Ffull-record%2FWOS:000336026200001","View Full Record in Web of Science")</f>
        <v>View Full Record in Web of Science</v>
      </c>
    </row>
    <row r="669" spans="1:72" x14ac:dyDescent="0.15">
      <c r="A669" t="s">
        <v>72</v>
      </c>
      <c r="B669" t="s">
        <v>12671</v>
      </c>
      <c r="C669" t="s">
        <v>74</v>
      </c>
      <c r="D669" t="s">
        <v>74</v>
      </c>
      <c r="E669" t="s">
        <v>74</v>
      </c>
      <c r="F669" t="s">
        <v>12672</v>
      </c>
      <c r="G669" t="s">
        <v>74</v>
      </c>
      <c r="H669" t="s">
        <v>74</v>
      </c>
      <c r="I669" t="s">
        <v>12673</v>
      </c>
      <c r="J669" t="s">
        <v>12674</v>
      </c>
      <c r="K669" t="s">
        <v>74</v>
      </c>
      <c r="L669" t="s">
        <v>74</v>
      </c>
      <c r="M669" t="s">
        <v>78</v>
      </c>
      <c r="N669" t="s">
        <v>79</v>
      </c>
      <c r="O669" t="s">
        <v>74</v>
      </c>
      <c r="P669" t="s">
        <v>74</v>
      </c>
      <c r="Q669" t="s">
        <v>74</v>
      </c>
      <c r="R669" t="s">
        <v>74</v>
      </c>
      <c r="S669" t="s">
        <v>74</v>
      </c>
      <c r="T669" t="s">
        <v>12675</v>
      </c>
      <c r="U669" t="s">
        <v>12676</v>
      </c>
      <c r="V669" t="s">
        <v>12677</v>
      </c>
      <c r="W669" t="s">
        <v>12678</v>
      </c>
      <c r="X669" t="s">
        <v>12679</v>
      </c>
      <c r="Y669" t="s">
        <v>12680</v>
      </c>
      <c r="Z669" t="s">
        <v>12681</v>
      </c>
      <c r="AA669" t="s">
        <v>12682</v>
      </c>
      <c r="AB669" t="s">
        <v>12683</v>
      </c>
      <c r="AC669" t="s">
        <v>12684</v>
      </c>
      <c r="AD669" t="s">
        <v>12685</v>
      </c>
      <c r="AE669" t="s">
        <v>12686</v>
      </c>
      <c r="AF669" t="s">
        <v>74</v>
      </c>
      <c r="AG669">
        <v>43</v>
      </c>
      <c r="AH669">
        <v>11</v>
      </c>
      <c r="AI669">
        <v>12</v>
      </c>
      <c r="AJ669">
        <v>1</v>
      </c>
      <c r="AK669">
        <v>49</v>
      </c>
      <c r="AL669" t="s">
        <v>224</v>
      </c>
      <c r="AM669" t="s">
        <v>225</v>
      </c>
      <c r="AN669" t="s">
        <v>226</v>
      </c>
      <c r="AO669" t="s">
        <v>12687</v>
      </c>
      <c r="AP669" t="s">
        <v>12688</v>
      </c>
      <c r="AQ669" t="s">
        <v>74</v>
      </c>
      <c r="AR669" t="s">
        <v>12674</v>
      </c>
      <c r="AS669" t="s">
        <v>12689</v>
      </c>
      <c r="AT669" t="s">
        <v>11484</v>
      </c>
      <c r="AU669">
        <v>2014</v>
      </c>
      <c r="AV669">
        <v>119</v>
      </c>
      <c r="AW669" t="s">
        <v>12690</v>
      </c>
      <c r="AX669" t="s">
        <v>74</v>
      </c>
      <c r="AY669" t="s">
        <v>74</v>
      </c>
      <c r="AZ669" t="s">
        <v>74</v>
      </c>
      <c r="BA669" t="s">
        <v>74</v>
      </c>
      <c r="BB669">
        <v>25</v>
      </c>
      <c r="BC669">
        <v>33</v>
      </c>
      <c r="BD669" t="s">
        <v>74</v>
      </c>
      <c r="BE669" t="s">
        <v>12691</v>
      </c>
      <c r="BF669" t="str">
        <f>HYPERLINK("http://dx.doi.org/10.1007/s10533-013-9911-8","http://dx.doi.org/10.1007/s10533-013-9911-8")</f>
        <v>http://dx.doi.org/10.1007/s10533-013-9911-8</v>
      </c>
      <c r="BG669" t="s">
        <v>74</v>
      </c>
      <c r="BH669" t="s">
        <v>74</v>
      </c>
      <c r="BI669">
        <v>9</v>
      </c>
      <c r="BJ669" t="s">
        <v>2131</v>
      </c>
      <c r="BK669" t="s">
        <v>102</v>
      </c>
      <c r="BL669" t="s">
        <v>2132</v>
      </c>
      <c r="BM669" t="s">
        <v>12692</v>
      </c>
      <c r="BN669" t="s">
        <v>74</v>
      </c>
      <c r="BO669" t="s">
        <v>262</v>
      </c>
      <c r="BP669" t="s">
        <v>74</v>
      </c>
      <c r="BQ669" t="s">
        <v>74</v>
      </c>
      <c r="BR669" t="s">
        <v>105</v>
      </c>
      <c r="BS669" t="s">
        <v>12693</v>
      </c>
      <c r="BT669" t="str">
        <f>HYPERLINK("https%3A%2F%2Fwww.webofscience.com%2Fwos%2Fwoscc%2Ffull-record%2FWOS:000336028400002","View Full Record in Web of Science")</f>
        <v>View Full Record in Web of Science</v>
      </c>
    </row>
    <row r="670" spans="1:72" x14ac:dyDescent="0.15">
      <c r="A670" t="s">
        <v>72</v>
      </c>
      <c r="B670" t="s">
        <v>12694</v>
      </c>
      <c r="C670" t="s">
        <v>74</v>
      </c>
      <c r="D670" t="s">
        <v>74</v>
      </c>
      <c r="E670" t="s">
        <v>74</v>
      </c>
      <c r="F670" t="s">
        <v>12695</v>
      </c>
      <c r="G670" t="s">
        <v>74</v>
      </c>
      <c r="H670" t="s">
        <v>74</v>
      </c>
      <c r="I670" t="s">
        <v>12696</v>
      </c>
      <c r="J670" t="s">
        <v>12697</v>
      </c>
      <c r="K670" t="s">
        <v>74</v>
      </c>
      <c r="L670" t="s">
        <v>74</v>
      </c>
      <c r="M670" t="s">
        <v>78</v>
      </c>
      <c r="N670" t="s">
        <v>79</v>
      </c>
      <c r="O670" t="s">
        <v>74</v>
      </c>
      <c r="P670" t="s">
        <v>74</v>
      </c>
      <c r="Q670" t="s">
        <v>74</v>
      </c>
      <c r="R670" t="s">
        <v>74</v>
      </c>
      <c r="S670" t="s">
        <v>74</v>
      </c>
      <c r="T670" t="s">
        <v>12698</v>
      </c>
      <c r="U670" t="s">
        <v>12699</v>
      </c>
      <c r="V670" t="s">
        <v>12700</v>
      </c>
      <c r="W670" t="s">
        <v>12701</v>
      </c>
      <c r="X670" t="s">
        <v>1109</v>
      </c>
      <c r="Y670" t="s">
        <v>12702</v>
      </c>
      <c r="Z670" t="s">
        <v>12703</v>
      </c>
      <c r="AA670" t="s">
        <v>12704</v>
      </c>
      <c r="AB670" t="s">
        <v>12705</v>
      </c>
      <c r="AC670" t="s">
        <v>12706</v>
      </c>
      <c r="AD670" t="s">
        <v>12707</v>
      </c>
      <c r="AE670" t="s">
        <v>12708</v>
      </c>
      <c r="AF670" t="s">
        <v>74</v>
      </c>
      <c r="AG670">
        <v>55</v>
      </c>
      <c r="AH670">
        <v>16</v>
      </c>
      <c r="AI670">
        <v>19</v>
      </c>
      <c r="AJ670">
        <v>0</v>
      </c>
      <c r="AK670">
        <v>29</v>
      </c>
      <c r="AL670" t="s">
        <v>250</v>
      </c>
      <c r="AM670" t="s">
        <v>251</v>
      </c>
      <c r="AN670" t="s">
        <v>252</v>
      </c>
      <c r="AO670" t="s">
        <v>12709</v>
      </c>
      <c r="AP670" t="s">
        <v>12710</v>
      </c>
      <c r="AQ670" t="s">
        <v>74</v>
      </c>
      <c r="AR670" t="s">
        <v>12711</v>
      </c>
      <c r="AS670" t="s">
        <v>12712</v>
      </c>
      <c r="AT670" t="s">
        <v>11484</v>
      </c>
      <c r="AU670">
        <v>2014</v>
      </c>
      <c r="AV670">
        <v>90</v>
      </c>
      <c r="AW670" t="s">
        <v>74</v>
      </c>
      <c r="AX670" t="s">
        <v>74</v>
      </c>
      <c r="AY670" t="s">
        <v>74</v>
      </c>
      <c r="AZ670" t="s">
        <v>74</v>
      </c>
      <c r="BA670" t="s">
        <v>74</v>
      </c>
      <c r="BB670">
        <v>23</v>
      </c>
      <c r="BC670">
        <v>32</v>
      </c>
      <c r="BD670" t="s">
        <v>74</v>
      </c>
      <c r="BE670" t="s">
        <v>12713</v>
      </c>
      <c r="BF670" t="str">
        <f>HYPERLINK("http://dx.doi.org/10.1016/j.atmosenv.2014.03.031","http://dx.doi.org/10.1016/j.atmosenv.2014.03.031")</f>
        <v>http://dx.doi.org/10.1016/j.atmosenv.2014.03.031</v>
      </c>
      <c r="BG670" t="s">
        <v>74</v>
      </c>
      <c r="BH670" t="s">
        <v>74</v>
      </c>
      <c r="BI670">
        <v>10</v>
      </c>
      <c r="BJ670" t="s">
        <v>12714</v>
      </c>
      <c r="BK670" t="s">
        <v>102</v>
      </c>
      <c r="BL670" t="s">
        <v>7207</v>
      </c>
      <c r="BM670" t="s">
        <v>12715</v>
      </c>
      <c r="BN670" t="s">
        <v>74</v>
      </c>
      <c r="BO670" t="s">
        <v>74</v>
      </c>
      <c r="BP670" t="s">
        <v>74</v>
      </c>
      <c r="BQ670" t="s">
        <v>74</v>
      </c>
      <c r="BR670" t="s">
        <v>105</v>
      </c>
      <c r="BS670" t="s">
        <v>12716</v>
      </c>
      <c r="BT670" t="str">
        <f>HYPERLINK("https%3A%2F%2Fwww.webofscience.com%2Fwos%2Fwoscc%2Ffull-record%2FWOS:000335634100004","View Full Record in Web of Science")</f>
        <v>View Full Record in Web of Science</v>
      </c>
    </row>
    <row r="671" spans="1:72" x14ac:dyDescent="0.15">
      <c r="A671" t="s">
        <v>72</v>
      </c>
      <c r="B671" t="s">
        <v>12717</v>
      </c>
      <c r="C671" t="s">
        <v>74</v>
      </c>
      <c r="D671" t="s">
        <v>74</v>
      </c>
      <c r="E671" t="s">
        <v>74</v>
      </c>
      <c r="F671" t="s">
        <v>12718</v>
      </c>
      <c r="G671" t="s">
        <v>74</v>
      </c>
      <c r="H671" t="s">
        <v>74</v>
      </c>
      <c r="I671" t="s">
        <v>12719</v>
      </c>
      <c r="J671" t="s">
        <v>12697</v>
      </c>
      <c r="K671" t="s">
        <v>74</v>
      </c>
      <c r="L671" t="s">
        <v>74</v>
      </c>
      <c r="M671" t="s">
        <v>78</v>
      </c>
      <c r="N671" t="s">
        <v>79</v>
      </c>
      <c r="O671" t="s">
        <v>74</v>
      </c>
      <c r="P671" t="s">
        <v>74</v>
      </c>
      <c r="Q671" t="s">
        <v>74</v>
      </c>
      <c r="R671" t="s">
        <v>74</v>
      </c>
      <c r="S671" t="s">
        <v>74</v>
      </c>
      <c r="T671" t="s">
        <v>12720</v>
      </c>
      <c r="U671" t="s">
        <v>12721</v>
      </c>
      <c r="V671" t="s">
        <v>12722</v>
      </c>
      <c r="W671" t="s">
        <v>12723</v>
      </c>
      <c r="X671" t="s">
        <v>12724</v>
      </c>
      <c r="Y671" t="s">
        <v>12725</v>
      </c>
      <c r="Z671" t="s">
        <v>12726</v>
      </c>
      <c r="AA671" t="s">
        <v>12727</v>
      </c>
      <c r="AB671" t="s">
        <v>12728</v>
      </c>
      <c r="AC671" t="s">
        <v>12729</v>
      </c>
      <c r="AD671" t="s">
        <v>12730</v>
      </c>
      <c r="AE671" t="s">
        <v>12731</v>
      </c>
      <c r="AF671" t="s">
        <v>74</v>
      </c>
      <c r="AG671">
        <v>23</v>
      </c>
      <c r="AH671">
        <v>10</v>
      </c>
      <c r="AI671">
        <v>12</v>
      </c>
      <c r="AJ671">
        <v>0</v>
      </c>
      <c r="AK671">
        <v>18</v>
      </c>
      <c r="AL671" t="s">
        <v>250</v>
      </c>
      <c r="AM671" t="s">
        <v>251</v>
      </c>
      <c r="AN671" t="s">
        <v>252</v>
      </c>
      <c r="AO671" t="s">
        <v>12709</v>
      </c>
      <c r="AP671" t="s">
        <v>12710</v>
      </c>
      <c r="AQ671" t="s">
        <v>74</v>
      </c>
      <c r="AR671" t="s">
        <v>12711</v>
      </c>
      <c r="AS671" t="s">
        <v>12712</v>
      </c>
      <c r="AT671" t="s">
        <v>11484</v>
      </c>
      <c r="AU671">
        <v>2014</v>
      </c>
      <c r="AV671">
        <v>89</v>
      </c>
      <c r="AW671" t="s">
        <v>74</v>
      </c>
      <c r="AX671" t="s">
        <v>74</v>
      </c>
      <c r="AY671" t="s">
        <v>74</v>
      </c>
      <c r="AZ671" t="s">
        <v>74</v>
      </c>
      <c r="BA671" t="s">
        <v>74</v>
      </c>
      <c r="BB671">
        <v>683</v>
      </c>
      <c r="BC671">
        <v>687</v>
      </c>
      <c r="BD671" t="s">
        <v>74</v>
      </c>
      <c r="BE671" t="s">
        <v>12732</v>
      </c>
      <c r="BF671" t="str">
        <f>HYPERLINK("http://dx.doi.org/10.1016/j.atmosenv.2014.03.009","http://dx.doi.org/10.1016/j.atmosenv.2014.03.009")</f>
        <v>http://dx.doi.org/10.1016/j.atmosenv.2014.03.009</v>
      </c>
      <c r="BG671" t="s">
        <v>74</v>
      </c>
      <c r="BH671" t="s">
        <v>74</v>
      </c>
      <c r="BI671">
        <v>5</v>
      </c>
      <c r="BJ671" t="s">
        <v>12714</v>
      </c>
      <c r="BK671" t="s">
        <v>102</v>
      </c>
      <c r="BL671" t="s">
        <v>7207</v>
      </c>
      <c r="BM671" t="s">
        <v>12733</v>
      </c>
      <c r="BN671" t="s">
        <v>74</v>
      </c>
      <c r="BO671" t="s">
        <v>74</v>
      </c>
      <c r="BP671" t="s">
        <v>74</v>
      </c>
      <c r="BQ671" t="s">
        <v>74</v>
      </c>
      <c r="BR671" t="s">
        <v>105</v>
      </c>
      <c r="BS671" t="s">
        <v>12734</v>
      </c>
      <c r="BT671" t="str">
        <f>HYPERLINK("https%3A%2F%2Fwww.webofscience.com%2Fwos%2Fwoscc%2Ffull-record%2FWOS:000335874500071","View Full Record in Web of Science")</f>
        <v>View Full Record in Web of Science</v>
      </c>
    </row>
    <row r="672" spans="1:72" x14ac:dyDescent="0.15">
      <c r="A672" t="s">
        <v>72</v>
      </c>
      <c r="B672" t="s">
        <v>12735</v>
      </c>
      <c r="C672" t="s">
        <v>74</v>
      </c>
      <c r="D672" t="s">
        <v>74</v>
      </c>
      <c r="E672" t="s">
        <v>74</v>
      </c>
      <c r="F672" t="s">
        <v>12736</v>
      </c>
      <c r="G672" t="s">
        <v>74</v>
      </c>
      <c r="H672" t="s">
        <v>74</v>
      </c>
      <c r="I672" t="s">
        <v>12737</v>
      </c>
      <c r="J672" t="s">
        <v>12738</v>
      </c>
      <c r="K672" t="s">
        <v>74</v>
      </c>
      <c r="L672" t="s">
        <v>74</v>
      </c>
      <c r="M672" t="s">
        <v>78</v>
      </c>
      <c r="N672" t="s">
        <v>79</v>
      </c>
      <c r="O672" t="s">
        <v>74</v>
      </c>
      <c r="P672" t="s">
        <v>74</v>
      </c>
      <c r="Q672" t="s">
        <v>74</v>
      </c>
      <c r="R672" t="s">
        <v>74</v>
      </c>
      <c r="S672" t="s">
        <v>74</v>
      </c>
      <c r="T672" t="s">
        <v>12739</v>
      </c>
      <c r="U672" t="s">
        <v>12740</v>
      </c>
      <c r="V672" t="s">
        <v>12741</v>
      </c>
      <c r="W672" t="s">
        <v>12742</v>
      </c>
      <c r="X672" t="s">
        <v>12743</v>
      </c>
      <c r="Y672" t="s">
        <v>12744</v>
      </c>
      <c r="Z672" t="s">
        <v>12745</v>
      </c>
      <c r="AA672" t="s">
        <v>12746</v>
      </c>
      <c r="AB672" t="s">
        <v>12747</v>
      </c>
      <c r="AC672" t="s">
        <v>12748</v>
      </c>
      <c r="AD672" t="s">
        <v>12749</v>
      </c>
      <c r="AE672" t="s">
        <v>12750</v>
      </c>
      <c r="AF672" t="s">
        <v>74</v>
      </c>
      <c r="AG672">
        <v>25</v>
      </c>
      <c r="AH672">
        <v>25</v>
      </c>
      <c r="AI672">
        <v>25</v>
      </c>
      <c r="AJ672">
        <v>1</v>
      </c>
      <c r="AK672">
        <v>42</v>
      </c>
      <c r="AL672" t="s">
        <v>224</v>
      </c>
      <c r="AM672" t="s">
        <v>225</v>
      </c>
      <c r="AN672" t="s">
        <v>226</v>
      </c>
      <c r="AO672" t="s">
        <v>12751</v>
      </c>
      <c r="AP672" t="s">
        <v>12752</v>
      </c>
      <c r="AQ672" t="s">
        <v>74</v>
      </c>
      <c r="AR672" t="s">
        <v>12753</v>
      </c>
      <c r="AS672" t="s">
        <v>12754</v>
      </c>
      <c r="AT672" t="s">
        <v>11484</v>
      </c>
      <c r="AU672">
        <v>2014</v>
      </c>
      <c r="AV672">
        <v>23</v>
      </c>
      <c r="AW672">
        <v>6</v>
      </c>
      <c r="AX672" t="s">
        <v>74</v>
      </c>
      <c r="AY672" t="s">
        <v>74</v>
      </c>
      <c r="AZ672" t="s">
        <v>74</v>
      </c>
      <c r="BA672" t="s">
        <v>74</v>
      </c>
      <c r="BB672">
        <v>1339</v>
      </c>
      <c r="BC672">
        <v>1346</v>
      </c>
      <c r="BD672" t="s">
        <v>74</v>
      </c>
      <c r="BE672" t="s">
        <v>12755</v>
      </c>
      <c r="BF672" t="str">
        <f>HYPERLINK("http://dx.doi.org/10.1007/s10531-014-0668-8","http://dx.doi.org/10.1007/s10531-014-0668-8")</f>
        <v>http://dx.doi.org/10.1007/s10531-014-0668-8</v>
      </c>
      <c r="BG672" t="s">
        <v>74</v>
      </c>
      <c r="BH672" t="s">
        <v>74</v>
      </c>
      <c r="BI672">
        <v>8</v>
      </c>
      <c r="BJ672" t="s">
        <v>5858</v>
      </c>
      <c r="BK672" t="s">
        <v>102</v>
      </c>
      <c r="BL672" t="s">
        <v>785</v>
      </c>
      <c r="BM672" t="s">
        <v>12756</v>
      </c>
      <c r="BN672" t="s">
        <v>74</v>
      </c>
      <c r="BO672" t="s">
        <v>2647</v>
      </c>
      <c r="BP672" t="s">
        <v>74</v>
      </c>
      <c r="BQ672" t="s">
        <v>74</v>
      </c>
      <c r="BR672" t="s">
        <v>105</v>
      </c>
      <c r="BS672" t="s">
        <v>12757</v>
      </c>
      <c r="BT672" t="str">
        <f>HYPERLINK("https%3A%2F%2Fwww.webofscience.com%2Fwos%2Fwoscc%2Ffull-record%2FWOS:000335665300001","View Full Record in Web of Science")</f>
        <v>View Full Record in Web of Science</v>
      </c>
    </row>
    <row r="673" spans="1:72" x14ac:dyDescent="0.15">
      <c r="A673" t="s">
        <v>72</v>
      </c>
      <c r="B673" t="s">
        <v>12758</v>
      </c>
      <c r="C673" t="s">
        <v>74</v>
      </c>
      <c r="D673" t="s">
        <v>74</v>
      </c>
      <c r="E673" t="s">
        <v>74</v>
      </c>
      <c r="F673" t="s">
        <v>12759</v>
      </c>
      <c r="G673" t="s">
        <v>74</v>
      </c>
      <c r="H673" t="s">
        <v>74</v>
      </c>
      <c r="I673" t="s">
        <v>12760</v>
      </c>
      <c r="J673" t="s">
        <v>12761</v>
      </c>
      <c r="K673" t="s">
        <v>74</v>
      </c>
      <c r="L673" t="s">
        <v>74</v>
      </c>
      <c r="M673" t="s">
        <v>78</v>
      </c>
      <c r="N673" t="s">
        <v>79</v>
      </c>
      <c r="O673" t="s">
        <v>74</v>
      </c>
      <c r="P673" t="s">
        <v>74</v>
      </c>
      <c r="Q673" t="s">
        <v>74</v>
      </c>
      <c r="R673" t="s">
        <v>74</v>
      </c>
      <c r="S673" t="s">
        <v>74</v>
      </c>
      <c r="T673" t="s">
        <v>12762</v>
      </c>
      <c r="U673" t="s">
        <v>12763</v>
      </c>
      <c r="V673" t="s">
        <v>12764</v>
      </c>
      <c r="W673" t="s">
        <v>12765</v>
      </c>
      <c r="X673" t="s">
        <v>12766</v>
      </c>
      <c r="Y673" t="s">
        <v>12767</v>
      </c>
      <c r="Z673" t="s">
        <v>12768</v>
      </c>
      <c r="AA673" t="s">
        <v>12769</v>
      </c>
      <c r="AB673" t="s">
        <v>12770</v>
      </c>
      <c r="AC673" t="s">
        <v>12771</v>
      </c>
      <c r="AD673" t="s">
        <v>12772</v>
      </c>
      <c r="AE673" t="s">
        <v>12773</v>
      </c>
      <c r="AF673" t="s">
        <v>74</v>
      </c>
      <c r="AG673">
        <v>40</v>
      </c>
      <c r="AH673">
        <v>3</v>
      </c>
      <c r="AI673">
        <v>3</v>
      </c>
      <c r="AJ673">
        <v>1</v>
      </c>
      <c r="AK673">
        <v>45</v>
      </c>
      <c r="AL673" t="s">
        <v>12774</v>
      </c>
      <c r="AM673" t="s">
        <v>12775</v>
      </c>
      <c r="AN673" t="s">
        <v>12776</v>
      </c>
      <c r="AO673" t="s">
        <v>12777</v>
      </c>
      <c r="AP673" t="s">
        <v>12778</v>
      </c>
      <c r="AQ673" t="s">
        <v>74</v>
      </c>
      <c r="AR673" t="s">
        <v>12779</v>
      </c>
      <c r="AS673" t="s">
        <v>12780</v>
      </c>
      <c r="AT673" t="s">
        <v>11484</v>
      </c>
      <c r="AU673">
        <v>2014</v>
      </c>
      <c r="AV673">
        <v>13</v>
      </c>
      <c r="AW673">
        <v>3</v>
      </c>
      <c r="AX673" t="s">
        <v>74</v>
      </c>
      <c r="AY673" t="s">
        <v>74</v>
      </c>
      <c r="AZ673" t="s">
        <v>74</v>
      </c>
      <c r="BA673" t="s">
        <v>74</v>
      </c>
      <c r="BB673">
        <v>437</v>
      </c>
      <c r="BC673">
        <v>444</v>
      </c>
      <c r="BD673" t="s">
        <v>74</v>
      </c>
      <c r="BE673" t="s">
        <v>12781</v>
      </c>
      <c r="BF673" t="str">
        <f>HYPERLINK("http://dx.doi.org/10.1007/s11802-014-2231-3","http://dx.doi.org/10.1007/s11802-014-2231-3")</f>
        <v>http://dx.doi.org/10.1007/s11802-014-2231-3</v>
      </c>
      <c r="BG673" t="s">
        <v>74</v>
      </c>
      <c r="BH673" t="s">
        <v>74</v>
      </c>
      <c r="BI673">
        <v>8</v>
      </c>
      <c r="BJ673" t="s">
        <v>152</v>
      </c>
      <c r="BK673" t="s">
        <v>102</v>
      </c>
      <c r="BL673" t="s">
        <v>152</v>
      </c>
      <c r="BM673" t="s">
        <v>12782</v>
      </c>
      <c r="BN673" t="s">
        <v>74</v>
      </c>
      <c r="BO673" t="s">
        <v>74</v>
      </c>
      <c r="BP673" t="s">
        <v>74</v>
      </c>
      <c r="BQ673" t="s">
        <v>74</v>
      </c>
      <c r="BR673" t="s">
        <v>105</v>
      </c>
      <c r="BS673" t="s">
        <v>12783</v>
      </c>
      <c r="BT673" t="str">
        <f>HYPERLINK("https%3A%2F%2Fwww.webofscience.com%2Fwos%2Fwoscc%2Ffull-record%2FWOS:000335672600012","View Full Record in Web of Science")</f>
        <v>View Full Record in Web of Science</v>
      </c>
    </row>
    <row r="674" spans="1:72" x14ac:dyDescent="0.15">
      <c r="A674" t="s">
        <v>72</v>
      </c>
      <c r="B674" t="s">
        <v>12784</v>
      </c>
      <c r="C674" t="s">
        <v>74</v>
      </c>
      <c r="D674" t="s">
        <v>74</v>
      </c>
      <c r="E674" t="s">
        <v>74</v>
      </c>
      <c r="F674" t="s">
        <v>12785</v>
      </c>
      <c r="G674" t="s">
        <v>74</v>
      </c>
      <c r="H674" t="s">
        <v>74</v>
      </c>
      <c r="I674" t="s">
        <v>12786</v>
      </c>
      <c r="J674" t="s">
        <v>3229</v>
      </c>
      <c r="K674" t="s">
        <v>74</v>
      </c>
      <c r="L674" t="s">
        <v>74</v>
      </c>
      <c r="M674" t="s">
        <v>78</v>
      </c>
      <c r="N674" t="s">
        <v>79</v>
      </c>
      <c r="O674" t="s">
        <v>74</v>
      </c>
      <c r="P674" t="s">
        <v>74</v>
      </c>
      <c r="Q674" t="s">
        <v>74</v>
      </c>
      <c r="R674" t="s">
        <v>74</v>
      </c>
      <c r="S674" t="s">
        <v>74</v>
      </c>
      <c r="T674" t="s">
        <v>74</v>
      </c>
      <c r="U674" t="s">
        <v>12787</v>
      </c>
      <c r="V674" t="s">
        <v>12788</v>
      </c>
      <c r="W674" t="s">
        <v>12789</v>
      </c>
      <c r="X674" t="s">
        <v>3233</v>
      </c>
      <c r="Y674" t="s">
        <v>12790</v>
      </c>
      <c r="Z674" t="s">
        <v>12791</v>
      </c>
      <c r="AA674" t="s">
        <v>74</v>
      </c>
      <c r="AB674" t="s">
        <v>12792</v>
      </c>
      <c r="AC674" t="s">
        <v>12793</v>
      </c>
      <c r="AD674" t="s">
        <v>12794</v>
      </c>
      <c r="AE674" t="s">
        <v>12795</v>
      </c>
      <c r="AF674" t="s">
        <v>74</v>
      </c>
      <c r="AG674">
        <v>28</v>
      </c>
      <c r="AH674">
        <v>1</v>
      </c>
      <c r="AI674">
        <v>1</v>
      </c>
      <c r="AJ674">
        <v>0</v>
      </c>
      <c r="AK674">
        <v>12</v>
      </c>
      <c r="AL674" t="s">
        <v>3239</v>
      </c>
      <c r="AM674" t="s">
        <v>3240</v>
      </c>
      <c r="AN674" t="s">
        <v>3241</v>
      </c>
      <c r="AO674" t="s">
        <v>74</v>
      </c>
      <c r="AP674" t="s">
        <v>3242</v>
      </c>
      <c r="AQ674" t="s">
        <v>74</v>
      </c>
      <c r="AR674" t="s">
        <v>3243</v>
      </c>
      <c r="AS674" t="s">
        <v>3244</v>
      </c>
      <c r="AT674" t="s">
        <v>11484</v>
      </c>
      <c r="AU674">
        <v>2014</v>
      </c>
      <c r="AV674">
        <v>70</v>
      </c>
      <c r="AW674" t="s">
        <v>74</v>
      </c>
      <c r="AX674">
        <v>6</v>
      </c>
      <c r="AY674" t="s">
        <v>74</v>
      </c>
      <c r="AZ674" t="s">
        <v>74</v>
      </c>
      <c r="BA674" t="s">
        <v>74</v>
      </c>
      <c r="BB674">
        <v>781</v>
      </c>
      <c r="BC674">
        <v>785</v>
      </c>
      <c r="BD674" t="s">
        <v>74</v>
      </c>
      <c r="BE674" t="s">
        <v>12796</v>
      </c>
      <c r="BF674" t="str">
        <f>HYPERLINK("http://dx.doi.org/10.1107/S2053230X14009133","http://dx.doi.org/10.1107/S2053230X14009133")</f>
        <v>http://dx.doi.org/10.1107/S2053230X14009133</v>
      </c>
      <c r="BG674" t="s">
        <v>74</v>
      </c>
      <c r="BH674" t="s">
        <v>74</v>
      </c>
      <c r="BI674">
        <v>5</v>
      </c>
      <c r="BJ674" t="s">
        <v>3246</v>
      </c>
      <c r="BK674" t="s">
        <v>102</v>
      </c>
      <c r="BL674" t="s">
        <v>3247</v>
      </c>
      <c r="BM674" t="s">
        <v>12797</v>
      </c>
      <c r="BN674">
        <v>24915093</v>
      </c>
      <c r="BO674" t="s">
        <v>1274</v>
      </c>
      <c r="BP674" t="s">
        <v>74</v>
      </c>
      <c r="BQ674" t="s">
        <v>74</v>
      </c>
      <c r="BR674" t="s">
        <v>105</v>
      </c>
      <c r="BS674" t="s">
        <v>12798</v>
      </c>
      <c r="BT674" t="str">
        <f>HYPERLINK("https%3A%2F%2Fwww.webofscience.com%2Fwos%2Fwoscc%2Ffull-record%2FWOS:000337062500020","View Full Record in Web of Science")</f>
        <v>View Full Record in Web of Science</v>
      </c>
    </row>
    <row r="675" spans="1:72" x14ac:dyDescent="0.15">
      <c r="A675" t="s">
        <v>72</v>
      </c>
      <c r="B675" t="s">
        <v>12799</v>
      </c>
      <c r="C675" t="s">
        <v>74</v>
      </c>
      <c r="D675" t="s">
        <v>74</v>
      </c>
      <c r="E675" t="s">
        <v>74</v>
      </c>
      <c r="F675" t="s">
        <v>12800</v>
      </c>
      <c r="G675" t="s">
        <v>74</v>
      </c>
      <c r="H675" t="s">
        <v>74</v>
      </c>
      <c r="I675" t="s">
        <v>12801</v>
      </c>
      <c r="J675" t="s">
        <v>12802</v>
      </c>
      <c r="K675" t="s">
        <v>74</v>
      </c>
      <c r="L675" t="s">
        <v>74</v>
      </c>
      <c r="M675" t="s">
        <v>78</v>
      </c>
      <c r="N675" t="s">
        <v>79</v>
      </c>
      <c r="O675" t="s">
        <v>74</v>
      </c>
      <c r="P675" t="s">
        <v>74</v>
      </c>
      <c r="Q675" t="s">
        <v>74</v>
      </c>
      <c r="R675" t="s">
        <v>74</v>
      </c>
      <c r="S675" t="s">
        <v>74</v>
      </c>
      <c r="T675" t="s">
        <v>12803</v>
      </c>
      <c r="U675" t="s">
        <v>12804</v>
      </c>
      <c r="V675" t="s">
        <v>12805</v>
      </c>
      <c r="W675" t="s">
        <v>12806</v>
      </c>
      <c r="X675" t="s">
        <v>12807</v>
      </c>
      <c r="Y675" t="s">
        <v>12808</v>
      </c>
      <c r="Z675" t="s">
        <v>12809</v>
      </c>
      <c r="AA675" t="s">
        <v>74</v>
      </c>
      <c r="AB675" t="s">
        <v>12810</v>
      </c>
      <c r="AC675" t="s">
        <v>12811</v>
      </c>
      <c r="AD675" t="s">
        <v>12812</v>
      </c>
      <c r="AE675" t="s">
        <v>12813</v>
      </c>
      <c r="AF675" t="s">
        <v>74</v>
      </c>
      <c r="AG675">
        <v>64</v>
      </c>
      <c r="AH675">
        <v>21</v>
      </c>
      <c r="AI675">
        <v>26</v>
      </c>
      <c r="AJ675">
        <v>1</v>
      </c>
      <c r="AK675">
        <v>18</v>
      </c>
      <c r="AL675" t="s">
        <v>601</v>
      </c>
      <c r="AM675" t="s">
        <v>251</v>
      </c>
      <c r="AN675" t="s">
        <v>602</v>
      </c>
      <c r="AO675" t="s">
        <v>12814</v>
      </c>
      <c r="AP675" t="s">
        <v>12815</v>
      </c>
      <c r="AQ675" t="s">
        <v>74</v>
      </c>
      <c r="AR675" t="s">
        <v>12816</v>
      </c>
      <c r="AS675" t="s">
        <v>12817</v>
      </c>
      <c r="AT675" t="s">
        <v>11484</v>
      </c>
      <c r="AU675">
        <v>2014</v>
      </c>
      <c r="AV675">
        <v>13</v>
      </c>
      <c r="AW675" t="s">
        <v>74</v>
      </c>
      <c r="AX675" t="s">
        <v>74</v>
      </c>
      <c r="AY675" t="s">
        <v>74</v>
      </c>
      <c r="AZ675" t="s">
        <v>74</v>
      </c>
      <c r="BA675" t="s">
        <v>74</v>
      </c>
      <c r="BB675">
        <v>7</v>
      </c>
      <c r="BC675">
        <v>17</v>
      </c>
      <c r="BD675" t="s">
        <v>74</v>
      </c>
      <c r="BE675" t="s">
        <v>12818</v>
      </c>
      <c r="BF675" t="str">
        <f>HYPERLINK("http://dx.doi.org/10.1016/j.aeolia.2014.01.002","http://dx.doi.org/10.1016/j.aeolia.2014.01.002")</f>
        <v>http://dx.doi.org/10.1016/j.aeolia.2014.01.002</v>
      </c>
      <c r="BG675" t="s">
        <v>74</v>
      </c>
      <c r="BH675" t="s">
        <v>74</v>
      </c>
      <c r="BI675">
        <v>11</v>
      </c>
      <c r="BJ675" t="s">
        <v>12819</v>
      </c>
      <c r="BK675" t="s">
        <v>102</v>
      </c>
      <c r="BL675" t="s">
        <v>12820</v>
      </c>
      <c r="BM675" t="s">
        <v>12821</v>
      </c>
      <c r="BN675" t="s">
        <v>74</v>
      </c>
      <c r="BO675" t="s">
        <v>74</v>
      </c>
      <c r="BP675" t="s">
        <v>74</v>
      </c>
      <c r="BQ675" t="s">
        <v>74</v>
      </c>
      <c r="BR675" t="s">
        <v>105</v>
      </c>
      <c r="BS675" t="s">
        <v>12822</v>
      </c>
      <c r="BT675" t="str">
        <f>HYPERLINK("https%3A%2F%2Fwww.webofscience.com%2Fwos%2Fwoscc%2Ffull-record%2FWOS:000338811900002","View Full Record in Web of Science")</f>
        <v>View Full Record in Web of Science</v>
      </c>
    </row>
    <row r="676" spans="1:72" x14ac:dyDescent="0.15">
      <c r="A676" t="s">
        <v>72</v>
      </c>
      <c r="B676" t="s">
        <v>12823</v>
      </c>
      <c r="C676" t="s">
        <v>74</v>
      </c>
      <c r="D676" t="s">
        <v>74</v>
      </c>
      <c r="E676" t="s">
        <v>74</v>
      </c>
      <c r="F676" t="s">
        <v>12824</v>
      </c>
      <c r="G676" t="s">
        <v>74</v>
      </c>
      <c r="H676" t="s">
        <v>74</v>
      </c>
      <c r="I676" t="s">
        <v>12825</v>
      </c>
      <c r="J676" t="s">
        <v>6129</v>
      </c>
      <c r="K676" t="s">
        <v>74</v>
      </c>
      <c r="L676" t="s">
        <v>74</v>
      </c>
      <c r="M676" t="s">
        <v>78</v>
      </c>
      <c r="N676" t="s">
        <v>1516</v>
      </c>
      <c r="O676" t="s">
        <v>74</v>
      </c>
      <c r="P676" t="s">
        <v>74</v>
      </c>
      <c r="Q676" t="s">
        <v>74</v>
      </c>
      <c r="R676" t="s">
        <v>74</v>
      </c>
      <c r="S676" t="s">
        <v>74</v>
      </c>
      <c r="T676" t="s">
        <v>74</v>
      </c>
      <c r="U676" t="s">
        <v>74</v>
      </c>
      <c r="V676" t="s">
        <v>74</v>
      </c>
      <c r="W676" t="s">
        <v>74</v>
      </c>
      <c r="X676" t="s">
        <v>74</v>
      </c>
      <c r="Y676" t="s">
        <v>74</v>
      </c>
      <c r="Z676" t="s">
        <v>74</v>
      </c>
      <c r="AA676" t="s">
        <v>74</v>
      </c>
      <c r="AB676" t="s">
        <v>12826</v>
      </c>
      <c r="AC676" t="s">
        <v>74</v>
      </c>
      <c r="AD676" t="s">
        <v>74</v>
      </c>
      <c r="AE676" t="s">
        <v>74</v>
      </c>
      <c r="AF676" t="s">
        <v>74</v>
      </c>
      <c r="AG676">
        <v>0</v>
      </c>
      <c r="AH676">
        <v>0</v>
      </c>
      <c r="AI676">
        <v>0</v>
      </c>
      <c r="AJ676">
        <v>0</v>
      </c>
      <c r="AK676">
        <v>6</v>
      </c>
      <c r="AL676" t="s">
        <v>2353</v>
      </c>
      <c r="AM676" t="s">
        <v>576</v>
      </c>
      <c r="AN676" t="s">
        <v>2354</v>
      </c>
      <c r="AO676" t="s">
        <v>6139</v>
      </c>
      <c r="AP676" t="s">
        <v>6140</v>
      </c>
      <c r="AQ676" t="s">
        <v>74</v>
      </c>
      <c r="AR676" t="s">
        <v>6141</v>
      </c>
      <c r="AS676" t="s">
        <v>6142</v>
      </c>
      <c r="AT676" t="s">
        <v>11484</v>
      </c>
      <c r="AU676">
        <v>2014</v>
      </c>
      <c r="AV676">
        <v>26</v>
      </c>
      <c r="AW676">
        <v>3</v>
      </c>
      <c r="AX676" t="s">
        <v>74</v>
      </c>
      <c r="AY676" t="s">
        <v>74</v>
      </c>
      <c r="AZ676" t="s">
        <v>74</v>
      </c>
      <c r="BA676" t="s">
        <v>74</v>
      </c>
      <c r="BB676">
        <v>217</v>
      </c>
      <c r="BC676">
        <v>217</v>
      </c>
      <c r="BD676" t="s">
        <v>12827</v>
      </c>
      <c r="BE676" t="s">
        <v>12828</v>
      </c>
      <c r="BF676" t="str">
        <f>HYPERLINK("http://dx.doi.org/10.1017/S0954102014000224","http://dx.doi.org/10.1017/S0954102014000224")</f>
        <v>http://dx.doi.org/10.1017/S0954102014000224</v>
      </c>
      <c r="BG676" t="s">
        <v>74</v>
      </c>
      <c r="BH676" t="s">
        <v>74</v>
      </c>
      <c r="BI676">
        <v>1</v>
      </c>
      <c r="BJ676" t="s">
        <v>6144</v>
      </c>
      <c r="BK676" t="s">
        <v>102</v>
      </c>
      <c r="BL676" t="s">
        <v>6145</v>
      </c>
      <c r="BM676" t="s">
        <v>12829</v>
      </c>
      <c r="BN676" t="s">
        <v>74</v>
      </c>
      <c r="BO676" t="s">
        <v>179</v>
      </c>
      <c r="BP676" t="s">
        <v>74</v>
      </c>
      <c r="BQ676" t="s">
        <v>74</v>
      </c>
      <c r="BR676" t="s">
        <v>105</v>
      </c>
      <c r="BS676" t="s">
        <v>12830</v>
      </c>
      <c r="BT676" t="str">
        <f>HYPERLINK("https%3A%2F%2Fwww.webofscience.com%2Fwos%2Fwoscc%2Ffull-record%2FWOS:000334841900001","View Full Record in Web of Science")</f>
        <v>View Full Record in Web of Science</v>
      </c>
    </row>
    <row r="677" spans="1:72" x14ac:dyDescent="0.15">
      <c r="A677" t="s">
        <v>72</v>
      </c>
      <c r="B677" t="s">
        <v>12831</v>
      </c>
      <c r="C677" t="s">
        <v>74</v>
      </c>
      <c r="D677" t="s">
        <v>74</v>
      </c>
      <c r="E677" t="s">
        <v>74</v>
      </c>
      <c r="F677" t="s">
        <v>12832</v>
      </c>
      <c r="G677" t="s">
        <v>74</v>
      </c>
      <c r="H677" t="s">
        <v>74</v>
      </c>
      <c r="I677" t="s">
        <v>12833</v>
      </c>
      <c r="J677" t="s">
        <v>6129</v>
      </c>
      <c r="K677" t="s">
        <v>74</v>
      </c>
      <c r="L677" t="s">
        <v>74</v>
      </c>
      <c r="M677" t="s">
        <v>78</v>
      </c>
      <c r="N677" t="s">
        <v>79</v>
      </c>
      <c r="O677" t="s">
        <v>74</v>
      </c>
      <c r="P677" t="s">
        <v>74</v>
      </c>
      <c r="Q677" t="s">
        <v>74</v>
      </c>
      <c r="R677" t="s">
        <v>74</v>
      </c>
      <c r="S677" t="s">
        <v>74</v>
      </c>
      <c r="T677" t="s">
        <v>12834</v>
      </c>
      <c r="U677" t="s">
        <v>12835</v>
      </c>
      <c r="V677" t="s">
        <v>12836</v>
      </c>
      <c r="W677" t="s">
        <v>12837</v>
      </c>
      <c r="X677" t="s">
        <v>1022</v>
      </c>
      <c r="Y677" t="s">
        <v>12838</v>
      </c>
      <c r="Z677" t="s">
        <v>12839</v>
      </c>
      <c r="AA677" t="s">
        <v>74</v>
      </c>
      <c r="AB677" t="s">
        <v>74</v>
      </c>
      <c r="AC677" t="s">
        <v>12840</v>
      </c>
      <c r="AD677" t="s">
        <v>12841</v>
      </c>
      <c r="AE677" t="s">
        <v>12842</v>
      </c>
      <c r="AF677" t="s">
        <v>74</v>
      </c>
      <c r="AG677">
        <v>41</v>
      </c>
      <c r="AH677">
        <v>4</v>
      </c>
      <c r="AI677">
        <v>4</v>
      </c>
      <c r="AJ677">
        <v>0</v>
      </c>
      <c r="AK677">
        <v>23</v>
      </c>
      <c r="AL677" t="s">
        <v>2353</v>
      </c>
      <c r="AM677" t="s">
        <v>576</v>
      </c>
      <c r="AN677" t="s">
        <v>2354</v>
      </c>
      <c r="AO677" t="s">
        <v>6139</v>
      </c>
      <c r="AP677" t="s">
        <v>6140</v>
      </c>
      <c r="AQ677" t="s">
        <v>74</v>
      </c>
      <c r="AR677" t="s">
        <v>6141</v>
      </c>
      <c r="AS677" t="s">
        <v>6142</v>
      </c>
      <c r="AT677" t="s">
        <v>11484</v>
      </c>
      <c r="AU677">
        <v>2014</v>
      </c>
      <c r="AV677">
        <v>26</v>
      </c>
      <c r="AW677">
        <v>3</v>
      </c>
      <c r="AX677" t="s">
        <v>74</v>
      </c>
      <c r="AY677" t="s">
        <v>74</v>
      </c>
      <c r="AZ677" t="s">
        <v>74</v>
      </c>
      <c r="BA677" t="s">
        <v>74</v>
      </c>
      <c r="BB677">
        <v>239</v>
      </c>
      <c r="BC677">
        <v>249</v>
      </c>
      <c r="BD677" t="s">
        <v>74</v>
      </c>
      <c r="BE677" t="s">
        <v>12843</v>
      </c>
      <c r="BF677" t="str">
        <f>HYPERLINK("http://dx.doi.org/10.1017/S0954102013000667","http://dx.doi.org/10.1017/S0954102013000667")</f>
        <v>http://dx.doi.org/10.1017/S0954102013000667</v>
      </c>
      <c r="BG677" t="s">
        <v>74</v>
      </c>
      <c r="BH677" t="s">
        <v>74</v>
      </c>
      <c r="BI677">
        <v>11</v>
      </c>
      <c r="BJ677" t="s">
        <v>6144</v>
      </c>
      <c r="BK677" t="s">
        <v>102</v>
      </c>
      <c r="BL677" t="s">
        <v>6145</v>
      </c>
      <c r="BM677" t="s">
        <v>12829</v>
      </c>
      <c r="BN677" t="s">
        <v>74</v>
      </c>
      <c r="BO677" t="s">
        <v>359</v>
      </c>
      <c r="BP677" t="s">
        <v>74</v>
      </c>
      <c r="BQ677" t="s">
        <v>74</v>
      </c>
      <c r="BR677" t="s">
        <v>105</v>
      </c>
      <c r="BS677" t="s">
        <v>12844</v>
      </c>
      <c r="BT677" t="str">
        <f>HYPERLINK("https%3A%2F%2Fwww.webofscience.com%2Fwos%2Fwoscc%2Ffull-record%2FWOS:000334841900004","View Full Record in Web of Science")</f>
        <v>View Full Record in Web of Science</v>
      </c>
    </row>
    <row r="678" spans="1:72" x14ac:dyDescent="0.15">
      <c r="A678" t="s">
        <v>72</v>
      </c>
      <c r="B678" t="s">
        <v>12845</v>
      </c>
      <c r="C678" t="s">
        <v>74</v>
      </c>
      <c r="D678" t="s">
        <v>74</v>
      </c>
      <c r="E678" t="s">
        <v>74</v>
      </c>
      <c r="F678" t="s">
        <v>12846</v>
      </c>
      <c r="G678" t="s">
        <v>74</v>
      </c>
      <c r="H678" t="s">
        <v>74</v>
      </c>
      <c r="I678" t="s">
        <v>12847</v>
      </c>
      <c r="J678" t="s">
        <v>6129</v>
      </c>
      <c r="K678" t="s">
        <v>74</v>
      </c>
      <c r="L678" t="s">
        <v>74</v>
      </c>
      <c r="M678" t="s">
        <v>78</v>
      </c>
      <c r="N678" t="s">
        <v>79</v>
      </c>
      <c r="O678" t="s">
        <v>74</v>
      </c>
      <c r="P678" t="s">
        <v>74</v>
      </c>
      <c r="Q678" t="s">
        <v>74</v>
      </c>
      <c r="R678" t="s">
        <v>74</v>
      </c>
      <c r="S678" t="s">
        <v>74</v>
      </c>
      <c r="T678" t="s">
        <v>74</v>
      </c>
      <c r="U678" t="s">
        <v>12848</v>
      </c>
      <c r="V678" t="s">
        <v>74</v>
      </c>
      <c r="W678" t="s">
        <v>12849</v>
      </c>
      <c r="X678" t="s">
        <v>12850</v>
      </c>
      <c r="Y678" t="s">
        <v>12851</v>
      </c>
      <c r="Z678" t="s">
        <v>12852</v>
      </c>
      <c r="AA678" t="s">
        <v>74</v>
      </c>
      <c r="AB678" t="s">
        <v>12853</v>
      </c>
      <c r="AC678" t="s">
        <v>12854</v>
      </c>
      <c r="AD678" t="s">
        <v>12855</v>
      </c>
      <c r="AE678" t="s">
        <v>12856</v>
      </c>
      <c r="AF678" t="s">
        <v>74</v>
      </c>
      <c r="AG678">
        <v>7</v>
      </c>
      <c r="AH678">
        <v>1</v>
      </c>
      <c r="AI678">
        <v>2</v>
      </c>
      <c r="AJ678">
        <v>1</v>
      </c>
      <c r="AK678">
        <v>16</v>
      </c>
      <c r="AL678" t="s">
        <v>2353</v>
      </c>
      <c r="AM678" t="s">
        <v>576</v>
      </c>
      <c r="AN678" t="s">
        <v>2354</v>
      </c>
      <c r="AO678" t="s">
        <v>6139</v>
      </c>
      <c r="AP678" t="s">
        <v>6140</v>
      </c>
      <c r="AQ678" t="s">
        <v>74</v>
      </c>
      <c r="AR678" t="s">
        <v>6141</v>
      </c>
      <c r="AS678" t="s">
        <v>6142</v>
      </c>
      <c r="AT678" t="s">
        <v>11484</v>
      </c>
      <c r="AU678">
        <v>2014</v>
      </c>
      <c r="AV678">
        <v>26</v>
      </c>
      <c r="AW678">
        <v>3</v>
      </c>
      <c r="AX678" t="s">
        <v>74</v>
      </c>
      <c r="AY678" t="s">
        <v>74</v>
      </c>
      <c r="AZ678" t="s">
        <v>74</v>
      </c>
      <c r="BA678" t="s">
        <v>74</v>
      </c>
      <c r="BB678">
        <v>265</v>
      </c>
      <c r="BC678">
        <v>266</v>
      </c>
      <c r="BD678" t="s">
        <v>74</v>
      </c>
      <c r="BE678" t="s">
        <v>12857</v>
      </c>
      <c r="BF678" t="str">
        <f>HYPERLINK("http://dx.doi.org/10.1017/S0954102013000928","http://dx.doi.org/10.1017/S0954102013000928")</f>
        <v>http://dx.doi.org/10.1017/S0954102013000928</v>
      </c>
      <c r="BG678" t="s">
        <v>74</v>
      </c>
      <c r="BH678" t="s">
        <v>74</v>
      </c>
      <c r="BI678">
        <v>2</v>
      </c>
      <c r="BJ678" t="s">
        <v>6144</v>
      </c>
      <c r="BK678" t="s">
        <v>102</v>
      </c>
      <c r="BL678" t="s">
        <v>6145</v>
      </c>
      <c r="BM678" t="s">
        <v>12829</v>
      </c>
      <c r="BN678" t="s">
        <v>74</v>
      </c>
      <c r="BO678" t="s">
        <v>74</v>
      </c>
      <c r="BP678" t="s">
        <v>74</v>
      </c>
      <c r="BQ678" t="s">
        <v>74</v>
      </c>
      <c r="BR678" t="s">
        <v>105</v>
      </c>
      <c r="BS678" t="s">
        <v>12858</v>
      </c>
      <c r="BT678" t="str">
        <f>HYPERLINK("https%3A%2F%2Fwww.webofscience.com%2Fwos%2Fwoscc%2Ffull-record%2FWOS:000334841900008","View Full Record in Web of Science")</f>
        <v>View Full Record in Web of Science</v>
      </c>
    </row>
    <row r="679" spans="1:72" x14ac:dyDescent="0.15">
      <c r="A679" t="s">
        <v>72</v>
      </c>
      <c r="B679" t="s">
        <v>12859</v>
      </c>
      <c r="C679" t="s">
        <v>74</v>
      </c>
      <c r="D679" t="s">
        <v>74</v>
      </c>
      <c r="E679" t="s">
        <v>74</v>
      </c>
      <c r="F679" t="s">
        <v>12860</v>
      </c>
      <c r="G679" t="s">
        <v>74</v>
      </c>
      <c r="H679" t="s">
        <v>74</v>
      </c>
      <c r="I679" t="s">
        <v>12861</v>
      </c>
      <c r="J679" t="s">
        <v>9668</v>
      </c>
      <c r="K679" t="s">
        <v>74</v>
      </c>
      <c r="L679" t="s">
        <v>74</v>
      </c>
      <c r="M679" t="s">
        <v>78</v>
      </c>
      <c r="N679" t="s">
        <v>79</v>
      </c>
      <c r="O679" t="s">
        <v>74</v>
      </c>
      <c r="P679" t="s">
        <v>74</v>
      </c>
      <c r="Q679" t="s">
        <v>74</v>
      </c>
      <c r="R679" t="s">
        <v>74</v>
      </c>
      <c r="S679" t="s">
        <v>74</v>
      </c>
      <c r="T679" t="s">
        <v>74</v>
      </c>
      <c r="U679" t="s">
        <v>74</v>
      </c>
      <c r="V679" t="s">
        <v>12862</v>
      </c>
      <c r="W679" t="s">
        <v>12863</v>
      </c>
      <c r="X679" t="s">
        <v>12864</v>
      </c>
      <c r="Y679" t="s">
        <v>12865</v>
      </c>
      <c r="Z679" t="s">
        <v>12866</v>
      </c>
      <c r="AA679" t="s">
        <v>12867</v>
      </c>
      <c r="AB679" t="s">
        <v>12868</v>
      </c>
      <c r="AC679" t="s">
        <v>12869</v>
      </c>
      <c r="AD679" t="s">
        <v>12870</v>
      </c>
      <c r="AE679" t="s">
        <v>12871</v>
      </c>
      <c r="AF679" t="s">
        <v>74</v>
      </c>
      <c r="AG679">
        <v>23</v>
      </c>
      <c r="AH679">
        <v>26</v>
      </c>
      <c r="AI679">
        <v>26</v>
      </c>
      <c r="AJ679">
        <v>1</v>
      </c>
      <c r="AK679">
        <v>40</v>
      </c>
      <c r="AL679" t="s">
        <v>9678</v>
      </c>
      <c r="AM679" t="s">
        <v>332</v>
      </c>
      <c r="AN679" t="s">
        <v>9679</v>
      </c>
      <c r="AO679" t="s">
        <v>9680</v>
      </c>
      <c r="AP679" t="s">
        <v>9681</v>
      </c>
      <c r="AQ679" t="s">
        <v>74</v>
      </c>
      <c r="AR679" t="s">
        <v>9682</v>
      </c>
      <c r="AS679" t="s">
        <v>9683</v>
      </c>
      <c r="AT679" t="s">
        <v>11484</v>
      </c>
      <c r="AU679">
        <v>2014</v>
      </c>
      <c r="AV679">
        <v>80</v>
      </c>
      <c r="AW679">
        <v>11</v>
      </c>
      <c r="AX679" t="s">
        <v>74</v>
      </c>
      <c r="AY679" t="s">
        <v>74</v>
      </c>
      <c r="AZ679" t="s">
        <v>74</v>
      </c>
      <c r="BA679" t="s">
        <v>74</v>
      </c>
      <c r="BB679">
        <v>3315</v>
      </c>
      <c r="BC679">
        <v>3320</v>
      </c>
      <c r="BD679" t="s">
        <v>74</v>
      </c>
      <c r="BE679" t="s">
        <v>12872</v>
      </c>
      <c r="BF679" t="str">
        <f>HYPERLINK("http://dx.doi.org/10.1128/AEM.04118-13","http://dx.doi.org/10.1128/AEM.04118-13")</f>
        <v>http://dx.doi.org/10.1128/AEM.04118-13</v>
      </c>
      <c r="BG679" t="s">
        <v>74</v>
      </c>
      <c r="BH679" t="s">
        <v>74</v>
      </c>
      <c r="BI679">
        <v>6</v>
      </c>
      <c r="BJ679" t="s">
        <v>487</v>
      </c>
      <c r="BK679" t="s">
        <v>102</v>
      </c>
      <c r="BL679" t="s">
        <v>487</v>
      </c>
      <c r="BM679" t="s">
        <v>12873</v>
      </c>
      <c r="BN679">
        <v>24657868</v>
      </c>
      <c r="BO679" t="s">
        <v>1053</v>
      </c>
      <c r="BP679" t="s">
        <v>74</v>
      </c>
      <c r="BQ679" t="s">
        <v>74</v>
      </c>
      <c r="BR679" t="s">
        <v>105</v>
      </c>
      <c r="BS679" t="s">
        <v>12874</v>
      </c>
      <c r="BT679" t="str">
        <f>HYPERLINK("https%3A%2F%2Fwww.webofscience.com%2Fwos%2Fwoscc%2Ffull-record%2FWOS:000336035200004","View Full Record in Web of Science")</f>
        <v>View Full Record in Web of Science</v>
      </c>
    </row>
    <row r="680" spans="1:72" x14ac:dyDescent="0.15">
      <c r="A680" t="s">
        <v>72</v>
      </c>
      <c r="B680" t="s">
        <v>12875</v>
      </c>
      <c r="C680" t="s">
        <v>74</v>
      </c>
      <c r="D680" t="s">
        <v>74</v>
      </c>
      <c r="E680" t="s">
        <v>74</v>
      </c>
      <c r="F680" t="s">
        <v>12876</v>
      </c>
      <c r="G680" t="s">
        <v>74</v>
      </c>
      <c r="H680" t="s">
        <v>74</v>
      </c>
      <c r="I680" t="s">
        <v>12877</v>
      </c>
      <c r="J680" t="s">
        <v>9668</v>
      </c>
      <c r="K680" t="s">
        <v>74</v>
      </c>
      <c r="L680" t="s">
        <v>74</v>
      </c>
      <c r="M680" t="s">
        <v>78</v>
      </c>
      <c r="N680" t="s">
        <v>79</v>
      </c>
      <c r="O680" t="s">
        <v>74</v>
      </c>
      <c r="P680" t="s">
        <v>74</v>
      </c>
      <c r="Q680" t="s">
        <v>74</v>
      </c>
      <c r="R680" t="s">
        <v>74</v>
      </c>
      <c r="S680" t="s">
        <v>74</v>
      </c>
      <c r="T680" t="s">
        <v>74</v>
      </c>
      <c r="U680" t="s">
        <v>12878</v>
      </c>
      <c r="V680" t="s">
        <v>12879</v>
      </c>
      <c r="W680" t="s">
        <v>12880</v>
      </c>
      <c r="X680" t="s">
        <v>12881</v>
      </c>
      <c r="Y680" t="s">
        <v>12882</v>
      </c>
      <c r="Z680" t="s">
        <v>12883</v>
      </c>
      <c r="AA680" t="s">
        <v>12884</v>
      </c>
      <c r="AB680" t="s">
        <v>12885</v>
      </c>
      <c r="AC680" t="s">
        <v>12886</v>
      </c>
      <c r="AD680" t="s">
        <v>2791</v>
      </c>
      <c r="AE680" t="s">
        <v>12887</v>
      </c>
      <c r="AF680" t="s">
        <v>74</v>
      </c>
      <c r="AG680">
        <v>45</v>
      </c>
      <c r="AH680">
        <v>18</v>
      </c>
      <c r="AI680">
        <v>22</v>
      </c>
      <c r="AJ680">
        <v>0</v>
      </c>
      <c r="AK680">
        <v>29</v>
      </c>
      <c r="AL680" t="s">
        <v>9678</v>
      </c>
      <c r="AM680" t="s">
        <v>332</v>
      </c>
      <c r="AN680" t="s">
        <v>9679</v>
      </c>
      <c r="AO680" t="s">
        <v>9680</v>
      </c>
      <c r="AP680" t="s">
        <v>9681</v>
      </c>
      <c r="AQ680" t="s">
        <v>74</v>
      </c>
      <c r="AR680" t="s">
        <v>9682</v>
      </c>
      <c r="AS680" t="s">
        <v>9683</v>
      </c>
      <c r="AT680" t="s">
        <v>11484</v>
      </c>
      <c r="AU680">
        <v>2014</v>
      </c>
      <c r="AV680">
        <v>80</v>
      </c>
      <c r="AW680">
        <v>11</v>
      </c>
      <c r="AX680" t="s">
        <v>74</v>
      </c>
      <c r="AY680" t="s">
        <v>74</v>
      </c>
      <c r="AZ680" t="s">
        <v>74</v>
      </c>
      <c r="BA680" t="s">
        <v>74</v>
      </c>
      <c r="BB680">
        <v>3362</v>
      </c>
      <c r="BC680">
        <v>3368</v>
      </c>
      <c r="BD680" t="s">
        <v>74</v>
      </c>
      <c r="BE680" t="s">
        <v>12888</v>
      </c>
      <c r="BF680" t="str">
        <f>HYPERLINK("http://dx.doi.org/10.1128/AEM.00121-14","http://dx.doi.org/10.1128/AEM.00121-14")</f>
        <v>http://dx.doi.org/10.1128/AEM.00121-14</v>
      </c>
      <c r="BG680" t="s">
        <v>74</v>
      </c>
      <c r="BH680" t="s">
        <v>74</v>
      </c>
      <c r="BI680">
        <v>7</v>
      </c>
      <c r="BJ680" t="s">
        <v>487</v>
      </c>
      <c r="BK680" t="s">
        <v>102</v>
      </c>
      <c r="BL680" t="s">
        <v>487</v>
      </c>
      <c r="BM680" t="s">
        <v>12873</v>
      </c>
      <c r="BN680">
        <v>24657855</v>
      </c>
      <c r="BO680" t="s">
        <v>1053</v>
      </c>
      <c r="BP680" t="s">
        <v>74</v>
      </c>
      <c r="BQ680" t="s">
        <v>74</v>
      </c>
      <c r="BR680" t="s">
        <v>105</v>
      </c>
      <c r="BS680" t="s">
        <v>12889</v>
      </c>
      <c r="BT680" t="str">
        <f>HYPERLINK("https%3A%2F%2Fwww.webofscience.com%2Fwos%2Fwoscc%2Ffull-record%2FWOS:000336035200010","View Full Record in Web of Science")</f>
        <v>View Full Record in Web of Science</v>
      </c>
    </row>
    <row r="681" spans="1:72" x14ac:dyDescent="0.15">
      <c r="A681" t="s">
        <v>72</v>
      </c>
      <c r="B681" t="s">
        <v>12890</v>
      </c>
      <c r="C681" t="s">
        <v>74</v>
      </c>
      <c r="D681" t="s">
        <v>74</v>
      </c>
      <c r="E681" t="s">
        <v>74</v>
      </c>
      <c r="F681" t="s">
        <v>12891</v>
      </c>
      <c r="G681" t="s">
        <v>74</v>
      </c>
      <c r="H681" t="s">
        <v>74</v>
      </c>
      <c r="I681" t="s">
        <v>12892</v>
      </c>
      <c r="J681" t="s">
        <v>12697</v>
      </c>
      <c r="K681" t="s">
        <v>74</v>
      </c>
      <c r="L681" t="s">
        <v>74</v>
      </c>
      <c r="M681" t="s">
        <v>78</v>
      </c>
      <c r="N681" t="s">
        <v>79</v>
      </c>
      <c r="O681" t="s">
        <v>74</v>
      </c>
      <c r="P681" t="s">
        <v>74</v>
      </c>
      <c r="Q681" t="s">
        <v>74</v>
      </c>
      <c r="R681" t="s">
        <v>74</v>
      </c>
      <c r="S681" t="s">
        <v>74</v>
      </c>
      <c r="T681" t="s">
        <v>12893</v>
      </c>
      <c r="U681" t="s">
        <v>12894</v>
      </c>
      <c r="V681" t="s">
        <v>12895</v>
      </c>
      <c r="W681" t="s">
        <v>12896</v>
      </c>
      <c r="X681" t="s">
        <v>12897</v>
      </c>
      <c r="Y681" t="s">
        <v>12898</v>
      </c>
      <c r="Z681" t="s">
        <v>12899</v>
      </c>
      <c r="AA681" t="s">
        <v>12900</v>
      </c>
      <c r="AB681" t="s">
        <v>12901</v>
      </c>
      <c r="AC681" t="s">
        <v>12902</v>
      </c>
      <c r="AD681" t="s">
        <v>12903</v>
      </c>
      <c r="AE681" t="s">
        <v>12904</v>
      </c>
      <c r="AF681" t="s">
        <v>74</v>
      </c>
      <c r="AG681">
        <v>38</v>
      </c>
      <c r="AH681">
        <v>72</v>
      </c>
      <c r="AI681">
        <v>84</v>
      </c>
      <c r="AJ681">
        <v>15</v>
      </c>
      <c r="AK681">
        <v>262</v>
      </c>
      <c r="AL681" t="s">
        <v>250</v>
      </c>
      <c r="AM681" t="s">
        <v>251</v>
      </c>
      <c r="AN681" t="s">
        <v>252</v>
      </c>
      <c r="AO681" t="s">
        <v>12709</v>
      </c>
      <c r="AP681" t="s">
        <v>12710</v>
      </c>
      <c r="AQ681" t="s">
        <v>74</v>
      </c>
      <c r="AR681" t="s">
        <v>12711</v>
      </c>
      <c r="AS681" t="s">
        <v>12712</v>
      </c>
      <c r="AT681" t="s">
        <v>11484</v>
      </c>
      <c r="AU681">
        <v>2014</v>
      </c>
      <c r="AV681">
        <v>90</v>
      </c>
      <c r="AW681" t="s">
        <v>74</v>
      </c>
      <c r="AX681" t="s">
        <v>74</v>
      </c>
      <c r="AY681" t="s">
        <v>74</v>
      </c>
      <c r="AZ681" t="s">
        <v>74</v>
      </c>
      <c r="BA681" t="s">
        <v>74</v>
      </c>
      <c r="BB681">
        <v>10</v>
      </c>
      <c r="BC681">
        <v>15</v>
      </c>
      <c r="BD681" t="s">
        <v>74</v>
      </c>
      <c r="BE681" t="s">
        <v>12905</v>
      </c>
      <c r="BF681" t="str">
        <f>HYPERLINK("http://dx.doi.org/10.1016/j.atmosenv.2014.03.021","http://dx.doi.org/10.1016/j.atmosenv.2014.03.021")</f>
        <v>http://dx.doi.org/10.1016/j.atmosenv.2014.03.021</v>
      </c>
      <c r="BG681" t="s">
        <v>74</v>
      </c>
      <c r="BH681" t="s">
        <v>74</v>
      </c>
      <c r="BI681">
        <v>6</v>
      </c>
      <c r="BJ681" t="s">
        <v>12714</v>
      </c>
      <c r="BK681" t="s">
        <v>102</v>
      </c>
      <c r="BL681" t="s">
        <v>7207</v>
      </c>
      <c r="BM681" t="s">
        <v>12715</v>
      </c>
      <c r="BN681" t="s">
        <v>74</v>
      </c>
      <c r="BO681" t="s">
        <v>74</v>
      </c>
      <c r="BP681" t="s">
        <v>74</v>
      </c>
      <c r="BQ681" t="s">
        <v>74</v>
      </c>
      <c r="BR681" t="s">
        <v>105</v>
      </c>
      <c r="BS681" t="s">
        <v>12906</v>
      </c>
      <c r="BT681" t="str">
        <f>HYPERLINK("https%3A%2F%2Fwww.webofscience.com%2Fwos%2Fwoscc%2Ffull-record%2FWOS:000335634100002","View Full Record in Web of Science")</f>
        <v>View Full Record in Web of Science</v>
      </c>
    </row>
    <row r="682" spans="1:72" x14ac:dyDescent="0.15">
      <c r="A682" t="s">
        <v>72</v>
      </c>
      <c r="B682" t="s">
        <v>12907</v>
      </c>
      <c r="C682" t="s">
        <v>74</v>
      </c>
      <c r="D682" t="s">
        <v>74</v>
      </c>
      <c r="E682" t="s">
        <v>74</v>
      </c>
      <c r="F682" t="s">
        <v>12908</v>
      </c>
      <c r="G682" t="s">
        <v>74</v>
      </c>
      <c r="H682" t="s">
        <v>74</v>
      </c>
      <c r="I682" t="s">
        <v>12909</v>
      </c>
      <c r="J682" t="s">
        <v>12697</v>
      </c>
      <c r="K682" t="s">
        <v>74</v>
      </c>
      <c r="L682" t="s">
        <v>74</v>
      </c>
      <c r="M682" t="s">
        <v>78</v>
      </c>
      <c r="N682" t="s">
        <v>79</v>
      </c>
      <c r="O682" t="s">
        <v>74</v>
      </c>
      <c r="P682" t="s">
        <v>74</v>
      </c>
      <c r="Q682" t="s">
        <v>74</v>
      </c>
      <c r="R682" t="s">
        <v>74</v>
      </c>
      <c r="S682" t="s">
        <v>74</v>
      </c>
      <c r="T682" t="s">
        <v>12910</v>
      </c>
      <c r="U682" t="s">
        <v>12911</v>
      </c>
      <c r="V682" t="s">
        <v>12912</v>
      </c>
      <c r="W682" t="s">
        <v>12913</v>
      </c>
      <c r="X682" t="s">
        <v>12914</v>
      </c>
      <c r="Y682" t="s">
        <v>12915</v>
      </c>
      <c r="Z682" t="s">
        <v>12916</v>
      </c>
      <c r="AA682" t="s">
        <v>74</v>
      </c>
      <c r="AB682" t="s">
        <v>12917</v>
      </c>
      <c r="AC682" t="s">
        <v>12918</v>
      </c>
      <c r="AD682" t="s">
        <v>12918</v>
      </c>
      <c r="AE682" t="s">
        <v>12919</v>
      </c>
      <c r="AF682" t="s">
        <v>74</v>
      </c>
      <c r="AG682">
        <v>52</v>
      </c>
      <c r="AH682">
        <v>139</v>
      </c>
      <c r="AI682">
        <v>154</v>
      </c>
      <c r="AJ682">
        <v>1</v>
      </c>
      <c r="AK682">
        <v>63</v>
      </c>
      <c r="AL682" t="s">
        <v>250</v>
      </c>
      <c r="AM682" t="s">
        <v>251</v>
      </c>
      <c r="AN682" t="s">
        <v>252</v>
      </c>
      <c r="AO682" t="s">
        <v>12709</v>
      </c>
      <c r="AP682" t="s">
        <v>12710</v>
      </c>
      <c r="AQ682" t="s">
        <v>74</v>
      </c>
      <c r="AR682" t="s">
        <v>12711</v>
      </c>
      <c r="AS682" t="s">
        <v>12712</v>
      </c>
      <c r="AT682" t="s">
        <v>11484</v>
      </c>
      <c r="AU682">
        <v>2014</v>
      </c>
      <c r="AV682">
        <v>89</v>
      </c>
      <c r="AW682" t="s">
        <v>74</v>
      </c>
      <c r="AX682" t="s">
        <v>74</v>
      </c>
      <c r="AY682" t="s">
        <v>74</v>
      </c>
      <c r="AZ682" t="s">
        <v>74</v>
      </c>
      <c r="BA682" t="s">
        <v>74</v>
      </c>
      <c r="BB682">
        <v>52</v>
      </c>
      <c r="BC682">
        <v>63</v>
      </c>
      <c r="BD682" t="s">
        <v>74</v>
      </c>
      <c r="BE682" t="s">
        <v>12920</v>
      </c>
      <c r="BF682" t="str">
        <f>HYPERLINK("http://dx.doi.org/10.1016/j.atmosenv.2014.02.001","http://dx.doi.org/10.1016/j.atmosenv.2014.02.001")</f>
        <v>http://dx.doi.org/10.1016/j.atmosenv.2014.02.001</v>
      </c>
      <c r="BG682" t="s">
        <v>74</v>
      </c>
      <c r="BH682" t="s">
        <v>74</v>
      </c>
      <c r="BI682">
        <v>12</v>
      </c>
      <c r="BJ682" t="s">
        <v>12714</v>
      </c>
      <c r="BK682" t="s">
        <v>102</v>
      </c>
      <c r="BL682" t="s">
        <v>7207</v>
      </c>
      <c r="BM682" t="s">
        <v>12733</v>
      </c>
      <c r="BN682" t="s">
        <v>74</v>
      </c>
      <c r="BO682" t="s">
        <v>74</v>
      </c>
      <c r="BP682" t="s">
        <v>74</v>
      </c>
      <c r="BQ682" t="s">
        <v>74</v>
      </c>
      <c r="BR682" t="s">
        <v>105</v>
      </c>
      <c r="BS682" t="s">
        <v>12921</v>
      </c>
      <c r="BT682" t="str">
        <f>HYPERLINK("https%3A%2F%2Fwww.webofscience.com%2Fwos%2Fwoscc%2Ffull-record%2FWOS:000335874500007","View Full Record in Web of Science")</f>
        <v>View Full Record in Web of Science</v>
      </c>
    </row>
    <row r="683" spans="1:72" x14ac:dyDescent="0.15">
      <c r="A683" t="s">
        <v>72</v>
      </c>
      <c r="B683" t="s">
        <v>12922</v>
      </c>
      <c r="C683" t="s">
        <v>74</v>
      </c>
      <c r="D683" t="s">
        <v>74</v>
      </c>
      <c r="E683" t="s">
        <v>74</v>
      </c>
      <c r="F683" t="s">
        <v>12923</v>
      </c>
      <c r="G683" t="s">
        <v>74</v>
      </c>
      <c r="H683" t="s">
        <v>74</v>
      </c>
      <c r="I683" t="s">
        <v>12924</v>
      </c>
      <c r="J683" t="s">
        <v>12738</v>
      </c>
      <c r="K683" t="s">
        <v>74</v>
      </c>
      <c r="L683" t="s">
        <v>74</v>
      </c>
      <c r="M683" t="s">
        <v>78</v>
      </c>
      <c r="N683" t="s">
        <v>79</v>
      </c>
      <c r="O683" t="s">
        <v>74</v>
      </c>
      <c r="P683" t="s">
        <v>74</v>
      </c>
      <c r="Q683" t="s">
        <v>74</v>
      </c>
      <c r="R683" t="s">
        <v>74</v>
      </c>
      <c r="S683" t="s">
        <v>74</v>
      </c>
      <c r="T683" t="s">
        <v>12925</v>
      </c>
      <c r="U683" t="s">
        <v>12926</v>
      </c>
      <c r="V683" t="s">
        <v>12927</v>
      </c>
      <c r="W683" t="s">
        <v>12928</v>
      </c>
      <c r="X683" t="s">
        <v>12929</v>
      </c>
      <c r="Y683" t="s">
        <v>12930</v>
      </c>
      <c r="Z683" t="s">
        <v>12931</v>
      </c>
      <c r="AA683" t="s">
        <v>12932</v>
      </c>
      <c r="AB683" t="s">
        <v>12933</v>
      </c>
      <c r="AC683" t="s">
        <v>12934</v>
      </c>
      <c r="AD683" t="s">
        <v>12935</v>
      </c>
      <c r="AE683" t="s">
        <v>12936</v>
      </c>
      <c r="AF683" t="s">
        <v>74</v>
      </c>
      <c r="AG683">
        <v>64</v>
      </c>
      <c r="AH683">
        <v>90</v>
      </c>
      <c r="AI683">
        <v>98</v>
      </c>
      <c r="AJ683">
        <v>7</v>
      </c>
      <c r="AK683">
        <v>81</v>
      </c>
      <c r="AL683" t="s">
        <v>224</v>
      </c>
      <c r="AM683" t="s">
        <v>225</v>
      </c>
      <c r="AN683" t="s">
        <v>226</v>
      </c>
      <c r="AO683" t="s">
        <v>12751</v>
      </c>
      <c r="AP683" t="s">
        <v>12752</v>
      </c>
      <c r="AQ683" t="s">
        <v>74</v>
      </c>
      <c r="AR683" t="s">
        <v>12753</v>
      </c>
      <c r="AS683" t="s">
        <v>12754</v>
      </c>
      <c r="AT683" t="s">
        <v>11484</v>
      </c>
      <c r="AU683">
        <v>2014</v>
      </c>
      <c r="AV683">
        <v>23</v>
      </c>
      <c r="AW683">
        <v>7</v>
      </c>
      <c r="AX683" t="s">
        <v>74</v>
      </c>
      <c r="AY683" t="s">
        <v>74</v>
      </c>
      <c r="AZ683" t="s">
        <v>258</v>
      </c>
      <c r="BA683" t="s">
        <v>74</v>
      </c>
      <c r="BB683">
        <v>1845</v>
      </c>
      <c r="BC683">
        <v>1858</v>
      </c>
      <c r="BD683" t="s">
        <v>74</v>
      </c>
      <c r="BE683" t="s">
        <v>12937</v>
      </c>
      <c r="BF683" t="str">
        <f>HYPERLINK("http://dx.doi.org/10.1007/s10531-014-0653-2","http://dx.doi.org/10.1007/s10531-014-0653-2")</f>
        <v>http://dx.doi.org/10.1007/s10531-014-0653-2</v>
      </c>
      <c r="BG683" t="s">
        <v>74</v>
      </c>
      <c r="BH683" t="s">
        <v>74</v>
      </c>
      <c r="BI683">
        <v>14</v>
      </c>
      <c r="BJ683" t="s">
        <v>5858</v>
      </c>
      <c r="BK683" t="s">
        <v>102</v>
      </c>
      <c r="BL683" t="s">
        <v>785</v>
      </c>
      <c r="BM683" t="s">
        <v>12938</v>
      </c>
      <c r="BN683">
        <v>24954980</v>
      </c>
      <c r="BO683" t="s">
        <v>2647</v>
      </c>
      <c r="BP683" t="s">
        <v>74</v>
      </c>
      <c r="BQ683" t="s">
        <v>74</v>
      </c>
      <c r="BR683" t="s">
        <v>105</v>
      </c>
      <c r="BS683" t="s">
        <v>12939</v>
      </c>
      <c r="BT683" t="str">
        <f>HYPERLINK("https%3A%2F%2Fwww.webofscience.com%2Fwos%2Fwoscc%2Ffull-record%2FWOS:000338132300014","View Full Record in Web of Science")</f>
        <v>View Full Record in Web of Science</v>
      </c>
    </row>
    <row r="684" spans="1:72" x14ac:dyDescent="0.15">
      <c r="A684" t="s">
        <v>72</v>
      </c>
      <c r="B684" t="s">
        <v>12940</v>
      </c>
      <c r="C684" t="s">
        <v>74</v>
      </c>
      <c r="D684" t="s">
        <v>74</v>
      </c>
      <c r="E684" t="s">
        <v>74</v>
      </c>
      <c r="F684" t="s">
        <v>12941</v>
      </c>
      <c r="G684" t="s">
        <v>74</v>
      </c>
      <c r="H684" t="s">
        <v>74</v>
      </c>
      <c r="I684" t="s">
        <v>12942</v>
      </c>
      <c r="J684" t="s">
        <v>12943</v>
      </c>
      <c r="K684" t="s">
        <v>74</v>
      </c>
      <c r="L684" t="s">
        <v>74</v>
      </c>
      <c r="M684" t="s">
        <v>78</v>
      </c>
      <c r="N684" t="s">
        <v>1516</v>
      </c>
      <c r="O684" t="s">
        <v>74</v>
      </c>
      <c r="P684" t="s">
        <v>74</v>
      </c>
      <c r="Q684" t="s">
        <v>74</v>
      </c>
      <c r="R684" t="s">
        <v>74</v>
      </c>
      <c r="S684" t="s">
        <v>74</v>
      </c>
      <c r="T684" t="s">
        <v>74</v>
      </c>
      <c r="U684" t="s">
        <v>74</v>
      </c>
      <c r="V684" t="s">
        <v>12944</v>
      </c>
      <c r="W684" t="s">
        <v>12945</v>
      </c>
      <c r="X684" t="s">
        <v>12946</v>
      </c>
      <c r="Y684" t="s">
        <v>12947</v>
      </c>
      <c r="Z684" t="s">
        <v>12948</v>
      </c>
      <c r="AA684" t="s">
        <v>74</v>
      </c>
      <c r="AB684" t="s">
        <v>74</v>
      </c>
      <c r="AC684" t="s">
        <v>74</v>
      </c>
      <c r="AD684" t="s">
        <v>74</v>
      </c>
      <c r="AE684" t="s">
        <v>74</v>
      </c>
      <c r="AF684" t="s">
        <v>74</v>
      </c>
      <c r="AG684">
        <v>12</v>
      </c>
      <c r="AH684">
        <v>3</v>
      </c>
      <c r="AI684">
        <v>3</v>
      </c>
      <c r="AJ684">
        <v>2</v>
      </c>
      <c r="AK684">
        <v>116</v>
      </c>
      <c r="AL684" t="s">
        <v>418</v>
      </c>
      <c r="AM684" t="s">
        <v>251</v>
      </c>
      <c r="AN684" t="s">
        <v>419</v>
      </c>
      <c r="AO684" t="s">
        <v>12949</v>
      </c>
      <c r="AP684" t="s">
        <v>12950</v>
      </c>
      <c r="AQ684" t="s">
        <v>74</v>
      </c>
      <c r="AR684" t="s">
        <v>12951</v>
      </c>
      <c r="AS684" t="s">
        <v>12952</v>
      </c>
      <c r="AT684" t="s">
        <v>11484</v>
      </c>
      <c r="AU684">
        <v>2014</v>
      </c>
      <c r="AV684">
        <v>13</v>
      </c>
      <c r="AW684">
        <v>2</v>
      </c>
      <c r="AX684" t="s">
        <v>74</v>
      </c>
      <c r="AY684" t="s">
        <v>74</v>
      </c>
      <c r="AZ684" t="s">
        <v>74</v>
      </c>
      <c r="BA684" t="s">
        <v>74</v>
      </c>
      <c r="BB684">
        <v>395</v>
      </c>
      <c r="BC684">
        <v>454</v>
      </c>
      <c r="BD684" t="s">
        <v>74</v>
      </c>
      <c r="BE684" t="s">
        <v>12953</v>
      </c>
      <c r="BF684" t="str">
        <f>HYPERLINK("http://dx.doi.org/10.1093/chinesejil/jmu019","http://dx.doi.org/10.1093/chinesejil/jmu019")</f>
        <v>http://dx.doi.org/10.1093/chinesejil/jmu019</v>
      </c>
      <c r="BG684" t="s">
        <v>74</v>
      </c>
      <c r="BH684" t="s">
        <v>74</v>
      </c>
      <c r="BI684">
        <v>60</v>
      </c>
      <c r="BJ684" t="s">
        <v>8522</v>
      </c>
      <c r="BK684" t="s">
        <v>2238</v>
      </c>
      <c r="BL684" t="s">
        <v>8523</v>
      </c>
      <c r="BM684" t="s">
        <v>12954</v>
      </c>
      <c r="BN684" t="s">
        <v>74</v>
      </c>
      <c r="BO684" t="s">
        <v>74</v>
      </c>
      <c r="BP684" t="s">
        <v>74</v>
      </c>
      <c r="BQ684" t="s">
        <v>74</v>
      </c>
      <c r="BR684" t="s">
        <v>105</v>
      </c>
      <c r="BS684" t="s">
        <v>12955</v>
      </c>
      <c r="BT684" t="str">
        <f>HYPERLINK("https%3A%2F%2Fwww.webofscience.com%2Fwos%2Fwoscc%2Ffull-record%2FWOS:000342922400007","View Full Record in Web of Science")</f>
        <v>View Full Record in Web of Science</v>
      </c>
    </row>
    <row r="685" spans="1:72" x14ac:dyDescent="0.15">
      <c r="A685" t="s">
        <v>72</v>
      </c>
      <c r="B685" t="s">
        <v>12956</v>
      </c>
      <c r="C685" t="s">
        <v>74</v>
      </c>
      <c r="D685" t="s">
        <v>74</v>
      </c>
      <c r="E685" t="s">
        <v>74</v>
      </c>
      <c r="F685" t="s">
        <v>12957</v>
      </c>
      <c r="G685" t="s">
        <v>74</v>
      </c>
      <c r="H685" t="s">
        <v>74</v>
      </c>
      <c r="I685" t="s">
        <v>12958</v>
      </c>
      <c r="J685" t="s">
        <v>12959</v>
      </c>
      <c r="K685" t="s">
        <v>74</v>
      </c>
      <c r="L685" t="s">
        <v>74</v>
      </c>
      <c r="M685" t="s">
        <v>78</v>
      </c>
      <c r="N685" t="s">
        <v>185</v>
      </c>
      <c r="O685" t="s">
        <v>74</v>
      </c>
      <c r="P685" t="s">
        <v>74</v>
      </c>
      <c r="Q685" t="s">
        <v>74</v>
      </c>
      <c r="R685" t="s">
        <v>74</v>
      </c>
      <c r="S685" t="s">
        <v>74</v>
      </c>
      <c r="T685" t="s">
        <v>74</v>
      </c>
      <c r="U685" t="s">
        <v>12960</v>
      </c>
      <c r="V685" t="s">
        <v>12961</v>
      </c>
      <c r="W685" t="s">
        <v>12962</v>
      </c>
      <c r="X685" t="s">
        <v>12963</v>
      </c>
      <c r="Y685" t="s">
        <v>12964</v>
      </c>
      <c r="Z685" t="s">
        <v>12965</v>
      </c>
      <c r="AA685" t="s">
        <v>12966</v>
      </c>
      <c r="AB685" t="s">
        <v>12967</v>
      </c>
      <c r="AC685" t="s">
        <v>12968</v>
      </c>
      <c r="AD685" t="s">
        <v>12969</v>
      </c>
      <c r="AE685" t="s">
        <v>12970</v>
      </c>
      <c r="AF685" t="s">
        <v>74</v>
      </c>
      <c r="AG685">
        <v>74</v>
      </c>
      <c r="AH685">
        <v>34</v>
      </c>
      <c r="AI685">
        <v>38</v>
      </c>
      <c r="AJ685">
        <v>2</v>
      </c>
      <c r="AK685">
        <v>77</v>
      </c>
      <c r="AL685" t="s">
        <v>224</v>
      </c>
      <c r="AM685" t="s">
        <v>225</v>
      </c>
      <c r="AN685" t="s">
        <v>226</v>
      </c>
      <c r="AO685" t="s">
        <v>12971</v>
      </c>
      <c r="AP685" t="s">
        <v>12972</v>
      </c>
      <c r="AQ685" t="s">
        <v>74</v>
      </c>
      <c r="AR685" t="s">
        <v>12959</v>
      </c>
      <c r="AS685" t="s">
        <v>12973</v>
      </c>
      <c r="AT685" t="s">
        <v>11484</v>
      </c>
      <c r="AU685">
        <v>2014</v>
      </c>
      <c r="AV685">
        <v>124</v>
      </c>
      <c r="AW685">
        <v>4</v>
      </c>
      <c r="AX685" t="s">
        <v>74</v>
      </c>
      <c r="AY685" t="s">
        <v>74</v>
      </c>
      <c r="AZ685" t="s">
        <v>74</v>
      </c>
      <c r="BA685" t="s">
        <v>74</v>
      </c>
      <c r="BB685">
        <v>703</v>
      </c>
      <c r="BC685">
        <v>715</v>
      </c>
      <c r="BD685" t="s">
        <v>74</v>
      </c>
      <c r="BE685" t="s">
        <v>12974</v>
      </c>
      <c r="BF685" t="str">
        <f>HYPERLINK("http://dx.doi.org/10.1007/s10584-014-1110-7","http://dx.doi.org/10.1007/s10584-014-1110-7")</f>
        <v>http://dx.doi.org/10.1007/s10584-014-1110-7</v>
      </c>
      <c r="BG685" t="s">
        <v>74</v>
      </c>
      <c r="BH685" t="s">
        <v>74</v>
      </c>
      <c r="BI685">
        <v>13</v>
      </c>
      <c r="BJ685" t="s">
        <v>12714</v>
      </c>
      <c r="BK685" t="s">
        <v>102</v>
      </c>
      <c r="BL685" t="s">
        <v>7207</v>
      </c>
      <c r="BM685" t="s">
        <v>12975</v>
      </c>
      <c r="BN685" t="s">
        <v>74</v>
      </c>
      <c r="BO685" t="s">
        <v>289</v>
      </c>
      <c r="BP685" t="s">
        <v>74</v>
      </c>
      <c r="BQ685" t="s">
        <v>74</v>
      </c>
      <c r="BR685" t="s">
        <v>105</v>
      </c>
      <c r="BS685" t="s">
        <v>12976</v>
      </c>
      <c r="BT685" t="str">
        <f>HYPERLINK("https%3A%2F%2Fwww.webofscience.com%2Fwos%2Fwoscc%2Ffull-record%2FWOS:000337146800002","View Full Record in Web of Science")</f>
        <v>View Full Record in Web of Science</v>
      </c>
    </row>
    <row r="686" spans="1:72" x14ac:dyDescent="0.15">
      <c r="A686" t="s">
        <v>72</v>
      </c>
      <c r="B686" t="s">
        <v>12977</v>
      </c>
      <c r="C686" t="s">
        <v>74</v>
      </c>
      <c r="D686" t="s">
        <v>74</v>
      </c>
      <c r="E686" t="s">
        <v>74</v>
      </c>
      <c r="F686" t="s">
        <v>12978</v>
      </c>
      <c r="G686" t="s">
        <v>74</v>
      </c>
      <c r="H686" t="s">
        <v>74</v>
      </c>
      <c r="I686" t="s">
        <v>12979</v>
      </c>
      <c r="J686" t="s">
        <v>12980</v>
      </c>
      <c r="K686" t="s">
        <v>74</v>
      </c>
      <c r="L686" t="s">
        <v>74</v>
      </c>
      <c r="M686" t="s">
        <v>78</v>
      </c>
      <c r="N686" t="s">
        <v>79</v>
      </c>
      <c r="O686" t="s">
        <v>74</v>
      </c>
      <c r="P686" t="s">
        <v>74</v>
      </c>
      <c r="Q686" t="s">
        <v>74</v>
      </c>
      <c r="R686" t="s">
        <v>74</v>
      </c>
      <c r="S686" t="s">
        <v>74</v>
      </c>
      <c r="T686" t="s">
        <v>12981</v>
      </c>
      <c r="U686" t="s">
        <v>12982</v>
      </c>
      <c r="V686" t="s">
        <v>12983</v>
      </c>
      <c r="W686" t="s">
        <v>12984</v>
      </c>
      <c r="X686" t="s">
        <v>12985</v>
      </c>
      <c r="Y686" t="s">
        <v>12986</v>
      </c>
      <c r="Z686" t="s">
        <v>12987</v>
      </c>
      <c r="AA686" t="s">
        <v>12988</v>
      </c>
      <c r="AB686" t="s">
        <v>12989</v>
      </c>
      <c r="AC686" t="s">
        <v>12990</v>
      </c>
      <c r="AD686" t="s">
        <v>12991</v>
      </c>
      <c r="AE686" t="s">
        <v>12992</v>
      </c>
      <c r="AF686" t="s">
        <v>74</v>
      </c>
      <c r="AG686">
        <v>86</v>
      </c>
      <c r="AH686">
        <v>52</v>
      </c>
      <c r="AI686">
        <v>57</v>
      </c>
      <c r="AJ686">
        <v>0</v>
      </c>
      <c r="AK686">
        <v>38</v>
      </c>
      <c r="AL686" t="s">
        <v>2190</v>
      </c>
      <c r="AM686" t="s">
        <v>576</v>
      </c>
      <c r="AN686" t="s">
        <v>2191</v>
      </c>
      <c r="AO686" t="s">
        <v>12993</v>
      </c>
      <c r="AP686" t="s">
        <v>12994</v>
      </c>
      <c r="AQ686" t="s">
        <v>74</v>
      </c>
      <c r="AR686" t="s">
        <v>12995</v>
      </c>
      <c r="AS686" t="s">
        <v>12996</v>
      </c>
      <c r="AT686" t="s">
        <v>12997</v>
      </c>
      <c r="AU686">
        <v>2014</v>
      </c>
      <c r="AV686">
        <v>172</v>
      </c>
      <c r="AW686" t="s">
        <v>74</v>
      </c>
      <c r="AX686" t="s">
        <v>74</v>
      </c>
      <c r="AY686" t="s">
        <v>74</v>
      </c>
      <c r="AZ686" t="s">
        <v>74</v>
      </c>
      <c r="BA686" t="s">
        <v>74</v>
      </c>
      <c r="BB686">
        <v>21</v>
      </c>
      <c r="BC686">
        <v>28</v>
      </c>
      <c r="BD686" t="s">
        <v>74</v>
      </c>
      <c r="BE686" t="s">
        <v>12998</v>
      </c>
      <c r="BF686" t="str">
        <f>HYPERLINK("http://dx.doi.org/10.1016/j.cbpb.2014.02.003","http://dx.doi.org/10.1016/j.cbpb.2014.02.003")</f>
        <v>http://dx.doi.org/10.1016/j.cbpb.2014.02.003</v>
      </c>
      <c r="BG686" t="s">
        <v>74</v>
      </c>
      <c r="BH686" t="s">
        <v>74</v>
      </c>
      <c r="BI686">
        <v>8</v>
      </c>
      <c r="BJ686" t="s">
        <v>12999</v>
      </c>
      <c r="BK686" t="s">
        <v>102</v>
      </c>
      <c r="BL686" t="s">
        <v>12999</v>
      </c>
      <c r="BM686" t="s">
        <v>13000</v>
      </c>
      <c r="BN686">
        <v>24607634</v>
      </c>
      <c r="BO686" t="s">
        <v>289</v>
      </c>
      <c r="BP686" t="s">
        <v>74</v>
      </c>
      <c r="BQ686" t="s">
        <v>74</v>
      </c>
      <c r="BR686" t="s">
        <v>105</v>
      </c>
      <c r="BS686" t="s">
        <v>13001</v>
      </c>
      <c r="BT686" t="str">
        <f>HYPERLINK("https%3A%2F%2Fwww.webofscience.com%2Fwos%2Fwoscc%2Ffull-record%2FWOS:000337853800003","View Full Record in Web of Science")</f>
        <v>View Full Record in Web of Science</v>
      </c>
    </row>
    <row r="687" spans="1:72" x14ac:dyDescent="0.15">
      <c r="A687" t="s">
        <v>72</v>
      </c>
      <c r="B687" t="s">
        <v>13002</v>
      </c>
      <c r="C687" t="s">
        <v>74</v>
      </c>
      <c r="D687" t="s">
        <v>74</v>
      </c>
      <c r="E687" t="s">
        <v>74</v>
      </c>
      <c r="F687" t="s">
        <v>13003</v>
      </c>
      <c r="G687" t="s">
        <v>74</v>
      </c>
      <c r="H687" t="s">
        <v>74</v>
      </c>
      <c r="I687" t="s">
        <v>13004</v>
      </c>
      <c r="J687" t="s">
        <v>2947</v>
      </c>
      <c r="K687" t="s">
        <v>74</v>
      </c>
      <c r="L687" t="s">
        <v>74</v>
      </c>
      <c r="M687" t="s">
        <v>78</v>
      </c>
      <c r="N687" t="s">
        <v>79</v>
      </c>
      <c r="O687" t="s">
        <v>74</v>
      </c>
      <c r="P687" t="s">
        <v>74</v>
      </c>
      <c r="Q687" t="s">
        <v>74</v>
      </c>
      <c r="R687" t="s">
        <v>74</v>
      </c>
      <c r="S687" t="s">
        <v>74</v>
      </c>
      <c r="T687" t="s">
        <v>13005</v>
      </c>
      <c r="U687" t="s">
        <v>13006</v>
      </c>
      <c r="V687" t="s">
        <v>13007</v>
      </c>
      <c r="W687" t="s">
        <v>13008</v>
      </c>
      <c r="X687" t="s">
        <v>13009</v>
      </c>
      <c r="Y687" t="s">
        <v>13010</v>
      </c>
      <c r="Z687" t="s">
        <v>13011</v>
      </c>
      <c r="AA687" t="s">
        <v>13012</v>
      </c>
      <c r="AB687" t="s">
        <v>13013</v>
      </c>
      <c r="AC687" t="s">
        <v>13014</v>
      </c>
      <c r="AD687" t="s">
        <v>13015</v>
      </c>
      <c r="AE687" t="s">
        <v>13016</v>
      </c>
      <c r="AF687" t="s">
        <v>74</v>
      </c>
      <c r="AG687">
        <v>58</v>
      </c>
      <c r="AH687">
        <v>41</v>
      </c>
      <c r="AI687">
        <v>42</v>
      </c>
      <c r="AJ687">
        <v>1</v>
      </c>
      <c r="AK687">
        <v>70</v>
      </c>
      <c r="AL687" t="s">
        <v>250</v>
      </c>
      <c r="AM687" t="s">
        <v>251</v>
      </c>
      <c r="AN687" t="s">
        <v>252</v>
      </c>
      <c r="AO687" t="s">
        <v>2956</v>
      </c>
      <c r="AP687" t="s">
        <v>2957</v>
      </c>
      <c r="AQ687" t="s">
        <v>74</v>
      </c>
      <c r="AR687" t="s">
        <v>2958</v>
      </c>
      <c r="AS687" t="s">
        <v>2959</v>
      </c>
      <c r="AT687" t="s">
        <v>11484</v>
      </c>
      <c r="AU687">
        <v>2014</v>
      </c>
      <c r="AV687">
        <v>88</v>
      </c>
      <c r="AW687" t="s">
        <v>74</v>
      </c>
      <c r="AX687" t="s">
        <v>74</v>
      </c>
      <c r="AY687" t="s">
        <v>74</v>
      </c>
      <c r="AZ687" t="s">
        <v>74</v>
      </c>
      <c r="BA687" t="s">
        <v>74</v>
      </c>
      <c r="BB687">
        <v>8</v>
      </c>
      <c r="BC687">
        <v>16</v>
      </c>
      <c r="BD687" t="s">
        <v>74</v>
      </c>
      <c r="BE687" t="s">
        <v>13017</v>
      </c>
      <c r="BF687" t="str">
        <f>HYPERLINK("http://dx.doi.org/10.1016/j.dsr.2014.03.004","http://dx.doi.org/10.1016/j.dsr.2014.03.004")</f>
        <v>http://dx.doi.org/10.1016/j.dsr.2014.03.004</v>
      </c>
      <c r="BG687" t="s">
        <v>74</v>
      </c>
      <c r="BH687" t="s">
        <v>74</v>
      </c>
      <c r="BI687">
        <v>9</v>
      </c>
      <c r="BJ687" t="s">
        <v>152</v>
      </c>
      <c r="BK687" t="s">
        <v>102</v>
      </c>
      <c r="BL687" t="s">
        <v>152</v>
      </c>
      <c r="BM687" t="s">
        <v>12137</v>
      </c>
      <c r="BN687" t="s">
        <v>74</v>
      </c>
      <c r="BO687" t="s">
        <v>289</v>
      </c>
      <c r="BP687" t="s">
        <v>74</v>
      </c>
      <c r="BQ687" t="s">
        <v>74</v>
      </c>
      <c r="BR687" t="s">
        <v>105</v>
      </c>
      <c r="BS687" t="s">
        <v>13018</v>
      </c>
      <c r="BT687" t="str">
        <f>HYPERLINK("https%3A%2F%2Fwww.webofscience.com%2Fwos%2Fwoscc%2Ffull-record%2FWOS:000337658800002","View Full Record in Web of Science")</f>
        <v>View Full Record in Web of Science</v>
      </c>
    </row>
    <row r="688" spans="1:72" x14ac:dyDescent="0.15">
      <c r="A688" t="s">
        <v>72</v>
      </c>
      <c r="B688" t="s">
        <v>13019</v>
      </c>
      <c r="C688" t="s">
        <v>74</v>
      </c>
      <c r="D688" t="s">
        <v>74</v>
      </c>
      <c r="E688" t="s">
        <v>74</v>
      </c>
      <c r="F688" t="s">
        <v>13020</v>
      </c>
      <c r="G688" t="s">
        <v>74</v>
      </c>
      <c r="H688" t="s">
        <v>74</v>
      </c>
      <c r="I688" t="s">
        <v>13021</v>
      </c>
      <c r="J688" t="s">
        <v>13022</v>
      </c>
      <c r="K688" t="s">
        <v>74</v>
      </c>
      <c r="L688" t="s">
        <v>74</v>
      </c>
      <c r="M688" t="s">
        <v>78</v>
      </c>
      <c r="N688" t="s">
        <v>79</v>
      </c>
      <c r="O688" t="s">
        <v>74</v>
      </c>
      <c r="P688" t="s">
        <v>74</v>
      </c>
      <c r="Q688" t="s">
        <v>74</v>
      </c>
      <c r="R688" t="s">
        <v>74</v>
      </c>
      <c r="S688" t="s">
        <v>74</v>
      </c>
      <c r="T688" t="s">
        <v>13023</v>
      </c>
      <c r="U688" t="s">
        <v>13024</v>
      </c>
      <c r="V688" t="s">
        <v>13025</v>
      </c>
      <c r="W688" t="s">
        <v>13026</v>
      </c>
      <c r="X688" t="s">
        <v>1022</v>
      </c>
      <c r="Y688" t="s">
        <v>13027</v>
      </c>
      <c r="Z688" t="s">
        <v>13028</v>
      </c>
      <c r="AA688" t="s">
        <v>74</v>
      </c>
      <c r="AB688" t="s">
        <v>13029</v>
      </c>
      <c r="AC688" t="s">
        <v>13030</v>
      </c>
      <c r="AD688" t="s">
        <v>3836</v>
      </c>
      <c r="AE688" t="s">
        <v>74</v>
      </c>
      <c r="AF688" t="s">
        <v>74</v>
      </c>
      <c r="AG688">
        <v>50</v>
      </c>
      <c r="AH688">
        <v>48</v>
      </c>
      <c r="AI688">
        <v>60</v>
      </c>
      <c r="AJ688">
        <v>4</v>
      </c>
      <c r="AK688">
        <v>99</v>
      </c>
      <c r="AL688" t="s">
        <v>92</v>
      </c>
      <c r="AM688" t="s">
        <v>93</v>
      </c>
      <c r="AN688" t="s">
        <v>94</v>
      </c>
      <c r="AO688" t="s">
        <v>13031</v>
      </c>
      <c r="AP688" t="s">
        <v>13032</v>
      </c>
      <c r="AQ688" t="s">
        <v>74</v>
      </c>
      <c r="AR688" t="s">
        <v>13033</v>
      </c>
      <c r="AS688" t="s">
        <v>13034</v>
      </c>
      <c r="AT688" t="s">
        <v>11484</v>
      </c>
      <c r="AU688">
        <v>2014</v>
      </c>
      <c r="AV688">
        <v>17</v>
      </c>
      <c r="AW688">
        <v>6</v>
      </c>
      <c r="AX688" t="s">
        <v>74</v>
      </c>
      <c r="AY688" t="s">
        <v>74</v>
      </c>
      <c r="AZ688" t="s">
        <v>74</v>
      </c>
      <c r="BA688" t="s">
        <v>74</v>
      </c>
      <c r="BB688">
        <v>651</v>
      </c>
      <c r="BC688">
        <v>661</v>
      </c>
      <c r="BD688" t="s">
        <v>74</v>
      </c>
      <c r="BE688" t="s">
        <v>13035</v>
      </c>
      <c r="BF688" t="str">
        <f>HYPERLINK("http://dx.doi.org/10.1111/ele.12266","http://dx.doi.org/10.1111/ele.12266")</f>
        <v>http://dx.doi.org/10.1111/ele.12266</v>
      </c>
      <c r="BG688" t="s">
        <v>74</v>
      </c>
      <c r="BH688" t="s">
        <v>74</v>
      </c>
      <c r="BI688">
        <v>11</v>
      </c>
      <c r="BJ688" t="s">
        <v>5627</v>
      </c>
      <c r="BK688" t="s">
        <v>102</v>
      </c>
      <c r="BL688" t="s">
        <v>2553</v>
      </c>
      <c r="BM688" t="s">
        <v>13036</v>
      </c>
      <c r="BN688">
        <v>24636521</v>
      </c>
      <c r="BO688" t="s">
        <v>4213</v>
      </c>
      <c r="BP688" t="s">
        <v>74</v>
      </c>
      <c r="BQ688" t="s">
        <v>74</v>
      </c>
      <c r="BR688" t="s">
        <v>105</v>
      </c>
      <c r="BS688" t="s">
        <v>13037</v>
      </c>
      <c r="BT688" t="str">
        <f>HYPERLINK("https%3A%2F%2Fwww.webofscience.com%2Fwos%2Fwoscc%2Ffull-record%2FWOS:000335197400001","View Full Record in Web of Science")</f>
        <v>View Full Record in Web of Science</v>
      </c>
    </row>
    <row r="689" spans="1:72" x14ac:dyDescent="0.15">
      <c r="A689" t="s">
        <v>72</v>
      </c>
      <c r="B689" t="s">
        <v>12875</v>
      </c>
      <c r="C689" t="s">
        <v>74</v>
      </c>
      <c r="D689" t="s">
        <v>74</v>
      </c>
      <c r="E689" t="s">
        <v>74</v>
      </c>
      <c r="F689" t="s">
        <v>12876</v>
      </c>
      <c r="G689" t="s">
        <v>74</v>
      </c>
      <c r="H689" t="s">
        <v>74</v>
      </c>
      <c r="I689" t="s">
        <v>13038</v>
      </c>
      <c r="J689" t="s">
        <v>13039</v>
      </c>
      <c r="K689" t="s">
        <v>74</v>
      </c>
      <c r="L689" t="s">
        <v>74</v>
      </c>
      <c r="M689" t="s">
        <v>78</v>
      </c>
      <c r="N689" t="s">
        <v>79</v>
      </c>
      <c r="O689" t="s">
        <v>74</v>
      </c>
      <c r="P689" t="s">
        <v>74</v>
      </c>
      <c r="Q689" t="s">
        <v>74</v>
      </c>
      <c r="R689" t="s">
        <v>74</v>
      </c>
      <c r="S689" t="s">
        <v>74</v>
      </c>
      <c r="T689" t="s">
        <v>74</v>
      </c>
      <c r="U689" t="s">
        <v>13040</v>
      </c>
      <c r="V689" t="s">
        <v>13041</v>
      </c>
      <c r="W689" t="s">
        <v>13042</v>
      </c>
      <c r="X689" t="s">
        <v>12881</v>
      </c>
      <c r="Y689" t="s">
        <v>13043</v>
      </c>
      <c r="Z689" t="s">
        <v>12883</v>
      </c>
      <c r="AA689" t="s">
        <v>12884</v>
      </c>
      <c r="AB689" t="s">
        <v>12885</v>
      </c>
      <c r="AC689" t="s">
        <v>13044</v>
      </c>
      <c r="AD689" t="s">
        <v>13045</v>
      </c>
      <c r="AE689" t="s">
        <v>13046</v>
      </c>
      <c r="AF689" t="s">
        <v>74</v>
      </c>
      <c r="AG689">
        <v>62</v>
      </c>
      <c r="AH689">
        <v>14</v>
      </c>
      <c r="AI689">
        <v>16</v>
      </c>
      <c r="AJ689">
        <v>0</v>
      </c>
      <c r="AK689">
        <v>19</v>
      </c>
      <c r="AL689" t="s">
        <v>171</v>
      </c>
      <c r="AM689" t="s">
        <v>93</v>
      </c>
      <c r="AN689" t="s">
        <v>94</v>
      </c>
      <c r="AO689" t="s">
        <v>13047</v>
      </c>
      <c r="AP689" t="s">
        <v>13048</v>
      </c>
      <c r="AQ689" t="s">
        <v>74</v>
      </c>
      <c r="AR689" t="s">
        <v>13049</v>
      </c>
      <c r="AS689" t="s">
        <v>13050</v>
      </c>
      <c r="AT689" t="s">
        <v>11484</v>
      </c>
      <c r="AU689">
        <v>2014</v>
      </c>
      <c r="AV689">
        <v>16</v>
      </c>
      <c r="AW689">
        <v>6</v>
      </c>
      <c r="AX689" t="s">
        <v>74</v>
      </c>
      <c r="AY689" t="s">
        <v>74</v>
      </c>
      <c r="AZ689" t="s">
        <v>258</v>
      </c>
      <c r="BA689" t="s">
        <v>74</v>
      </c>
      <c r="BB689">
        <v>1513</v>
      </c>
      <c r="BC689">
        <v>1523</v>
      </c>
      <c r="BD689" t="s">
        <v>74</v>
      </c>
      <c r="BE689" t="s">
        <v>13051</v>
      </c>
      <c r="BF689" t="str">
        <f>HYPERLINK("http://dx.doi.org/10.1111/1462-2920.12258","http://dx.doi.org/10.1111/1462-2920.12258")</f>
        <v>http://dx.doi.org/10.1111/1462-2920.12258</v>
      </c>
      <c r="BG689" t="s">
        <v>74</v>
      </c>
      <c r="BH689" t="s">
        <v>74</v>
      </c>
      <c r="BI689">
        <v>11</v>
      </c>
      <c r="BJ689" t="s">
        <v>1012</v>
      </c>
      <c r="BK689" t="s">
        <v>102</v>
      </c>
      <c r="BL689" t="s">
        <v>1012</v>
      </c>
      <c r="BM689" t="s">
        <v>13052</v>
      </c>
      <c r="BN689">
        <v>24118807</v>
      </c>
      <c r="BO689" t="s">
        <v>74</v>
      </c>
      <c r="BP689" t="s">
        <v>74</v>
      </c>
      <c r="BQ689" t="s">
        <v>74</v>
      </c>
      <c r="BR689" t="s">
        <v>105</v>
      </c>
      <c r="BS689" t="s">
        <v>13053</v>
      </c>
      <c r="BT689" t="str">
        <f>HYPERLINK("https%3A%2F%2Fwww.webofscience.com%2Fwos%2Fwoscc%2Ffull-record%2FWOS:000337512000007","View Full Record in Web of Science")</f>
        <v>View Full Record in Web of Science</v>
      </c>
    </row>
    <row r="690" spans="1:72" x14ac:dyDescent="0.15">
      <c r="A690" t="s">
        <v>72</v>
      </c>
      <c r="B690" t="s">
        <v>13054</v>
      </c>
      <c r="C690" t="s">
        <v>74</v>
      </c>
      <c r="D690" t="s">
        <v>74</v>
      </c>
      <c r="E690" t="s">
        <v>74</v>
      </c>
      <c r="F690" t="s">
        <v>13055</v>
      </c>
      <c r="G690" t="s">
        <v>74</v>
      </c>
      <c r="H690" t="s">
        <v>74</v>
      </c>
      <c r="I690" t="s">
        <v>13056</v>
      </c>
      <c r="J690" t="s">
        <v>13039</v>
      </c>
      <c r="K690" t="s">
        <v>74</v>
      </c>
      <c r="L690" t="s">
        <v>74</v>
      </c>
      <c r="M690" t="s">
        <v>78</v>
      </c>
      <c r="N690" t="s">
        <v>79</v>
      </c>
      <c r="O690" t="s">
        <v>74</v>
      </c>
      <c r="P690" t="s">
        <v>74</v>
      </c>
      <c r="Q690" t="s">
        <v>74</v>
      </c>
      <c r="R690" t="s">
        <v>74</v>
      </c>
      <c r="S690" t="s">
        <v>74</v>
      </c>
      <c r="T690" t="s">
        <v>74</v>
      </c>
      <c r="U690" t="s">
        <v>13057</v>
      </c>
      <c r="V690" t="s">
        <v>13058</v>
      </c>
      <c r="W690" t="s">
        <v>13059</v>
      </c>
      <c r="X690" t="s">
        <v>13060</v>
      </c>
      <c r="Y690" t="s">
        <v>13061</v>
      </c>
      <c r="Z690" t="s">
        <v>13062</v>
      </c>
      <c r="AA690" t="s">
        <v>13063</v>
      </c>
      <c r="AB690" t="s">
        <v>13064</v>
      </c>
      <c r="AC690" t="s">
        <v>13065</v>
      </c>
      <c r="AD690" t="s">
        <v>13066</v>
      </c>
      <c r="AE690" t="s">
        <v>13067</v>
      </c>
      <c r="AF690" t="s">
        <v>74</v>
      </c>
      <c r="AG690">
        <v>57</v>
      </c>
      <c r="AH690">
        <v>32</v>
      </c>
      <c r="AI690">
        <v>34</v>
      </c>
      <c r="AJ690">
        <v>3</v>
      </c>
      <c r="AK690">
        <v>53</v>
      </c>
      <c r="AL690" t="s">
        <v>171</v>
      </c>
      <c r="AM690" t="s">
        <v>93</v>
      </c>
      <c r="AN690" t="s">
        <v>94</v>
      </c>
      <c r="AO690" t="s">
        <v>13047</v>
      </c>
      <c r="AP690" t="s">
        <v>13048</v>
      </c>
      <c r="AQ690" t="s">
        <v>74</v>
      </c>
      <c r="AR690" t="s">
        <v>13049</v>
      </c>
      <c r="AS690" t="s">
        <v>13050</v>
      </c>
      <c r="AT690" t="s">
        <v>11484</v>
      </c>
      <c r="AU690">
        <v>2014</v>
      </c>
      <c r="AV690">
        <v>16</v>
      </c>
      <c r="AW690">
        <v>6</v>
      </c>
      <c r="AX690" t="s">
        <v>74</v>
      </c>
      <c r="AY690" t="s">
        <v>74</v>
      </c>
      <c r="AZ690" t="s">
        <v>258</v>
      </c>
      <c r="BA690" t="s">
        <v>74</v>
      </c>
      <c r="BB690">
        <v>1566</v>
      </c>
      <c r="BC690">
        <v>1578</v>
      </c>
      <c r="BD690" t="s">
        <v>74</v>
      </c>
      <c r="BE690" t="s">
        <v>13068</v>
      </c>
      <c r="BF690" t="str">
        <f>HYPERLINK("http://dx.doi.org/10.1111/1462-2920.12287","http://dx.doi.org/10.1111/1462-2920.12287")</f>
        <v>http://dx.doi.org/10.1111/1462-2920.12287</v>
      </c>
      <c r="BG690" t="s">
        <v>74</v>
      </c>
      <c r="BH690" t="s">
        <v>74</v>
      </c>
      <c r="BI690">
        <v>13</v>
      </c>
      <c r="BJ690" t="s">
        <v>1012</v>
      </c>
      <c r="BK690" t="s">
        <v>102</v>
      </c>
      <c r="BL690" t="s">
        <v>1012</v>
      </c>
      <c r="BM690" t="s">
        <v>13052</v>
      </c>
      <c r="BN690">
        <v>24112809</v>
      </c>
      <c r="BO690" t="s">
        <v>74</v>
      </c>
      <c r="BP690" t="s">
        <v>74</v>
      </c>
      <c r="BQ690" t="s">
        <v>74</v>
      </c>
      <c r="BR690" t="s">
        <v>105</v>
      </c>
      <c r="BS690" t="s">
        <v>13069</v>
      </c>
      <c r="BT690" t="str">
        <f>HYPERLINK("https%3A%2F%2Fwww.webofscience.com%2Fwos%2Fwoscc%2Ffull-record%2FWOS:000337512000011","View Full Record in Web of Science")</f>
        <v>View Full Record in Web of Science</v>
      </c>
    </row>
    <row r="691" spans="1:72" x14ac:dyDescent="0.15">
      <c r="A691" t="s">
        <v>72</v>
      </c>
      <c r="B691" t="s">
        <v>13070</v>
      </c>
      <c r="C691" t="s">
        <v>74</v>
      </c>
      <c r="D691" t="s">
        <v>74</v>
      </c>
      <c r="E691" t="s">
        <v>74</v>
      </c>
      <c r="F691" t="s">
        <v>13071</v>
      </c>
      <c r="G691" t="s">
        <v>74</v>
      </c>
      <c r="H691" t="s">
        <v>74</v>
      </c>
      <c r="I691" t="s">
        <v>13072</v>
      </c>
      <c r="J691" t="s">
        <v>3046</v>
      </c>
      <c r="K691" t="s">
        <v>74</v>
      </c>
      <c r="L691" t="s">
        <v>74</v>
      </c>
      <c r="M691" t="s">
        <v>78</v>
      </c>
      <c r="N691" t="s">
        <v>79</v>
      </c>
      <c r="O691" t="s">
        <v>74</v>
      </c>
      <c r="P691" t="s">
        <v>74</v>
      </c>
      <c r="Q691" t="s">
        <v>74</v>
      </c>
      <c r="R691" t="s">
        <v>74</v>
      </c>
      <c r="S691" t="s">
        <v>74</v>
      </c>
      <c r="T691" t="s">
        <v>13073</v>
      </c>
      <c r="U691" t="s">
        <v>13074</v>
      </c>
      <c r="V691" t="s">
        <v>13075</v>
      </c>
      <c r="W691" t="s">
        <v>13076</v>
      </c>
      <c r="X691" t="s">
        <v>13077</v>
      </c>
      <c r="Y691" t="s">
        <v>3052</v>
      </c>
      <c r="Z691" t="s">
        <v>3053</v>
      </c>
      <c r="AA691" t="s">
        <v>3054</v>
      </c>
      <c r="AB691" t="s">
        <v>13078</v>
      </c>
      <c r="AC691" t="s">
        <v>13079</v>
      </c>
      <c r="AD691" t="s">
        <v>13079</v>
      </c>
      <c r="AE691" t="s">
        <v>13080</v>
      </c>
      <c r="AF691" t="s">
        <v>74</v>
      </c>
      <c r="AG691">
        <v>64</v>
      </c>
      <c r="AH691">
        <v>57</v>
      </c>
      <c r="AI691">
        <v>63</v>
      </c>
      <c r="AJ691">
        <v>1</v>
      </c>
      <c r="AK691">
        <v>97</v>
      </c>
      <c r="AL691" t="s">
        <v>171</v>
      </c>
      <c r="AM691" t="s">
        <v>93</v>
      </c>
      <c r="AN691" t="s">
        <v>94</v>
      </c>
      <c r="AO691" t="s">
        <v>3058</v>
      </c>
      <c r="AP691" t="s">
        <v>3059</v>
      </c>
      <c r="AQ691" t="s">
        <v>74</v>
      </c>
      <c r="AR691" t="s">
        <v>3060</v>
      </c>
      <c r="AS691" t="s">
        <v>3061</v>
      </c>
      <c r="AT691" t="s">
        <v>11484</v>
      </c>
      <c r="AU691">
        <v>2014</v>
      </c>
      <c r="AV691">
        <v>15</v>
      </c>
      <c r="AW691">
        <v>2</v>
      </c>
      <c r="AX691" t="s">
        <v>74</v>
      </c>
      <c r="AY691" t="s">
        <v>74</v>
      </c>
      <c r="AZ691" t="s">
        <v>74</v>
      </c>
      <c r="BA691" t="s">
        <v>74</v>
      </c>
      <c r="BB691">
        <v>231</v>
      </c>
      <c r="BC691">
        <v>241</v>
      </c>
      <c r="BD691" t="s">
        <v>74</v>
      </c>
      <c r="BE691" t="s">
        <v>13081</v>
      </c>
      <c r="BF691" t="str">
        <f>HYPERLINK("http://dx.doi.org/10.1111/faf.12013","http://dx.doi.org/10.1111/faf.12013")</f>
        <v>http://dx.doi.org/10.1111/faf.12013</v>
      </c>
      <c r="BG691" t="s">
        <v>74</v>
      </c>
      <c r="BH691" t="s">
        <v>74</v>
      </c>
      <c r="BI691">
        <v>11</v>
      </c>
      <c r="BJ691" t="s">
        <v>3063</v>
      </c>
      <c r="BK691" t="s">
        <v>102</v>
      </c>
      <c r="BL691" t="s">
        <v>3063</v>
      </c>
      <c r="BM691" t="s">
        <v>13082</v>
      </c>
      <c r="BN691" t="s">
        <v>74</v>
      </c>
      <c r="BO691" t="s">
        <v>74</v>
      </c>
      <c r="BP691" t="s">
        <v>74</v>
      </c>
      <c r="BQ691" t="s">
        <v>74</v>
      </c>
      <c r="BR691" t="s">
        <v>105</v>
      </c>
      <c r="BS691" t="s">
        <v>13083</v>
      </c>
      <c r="BT691" t="str">
        <f>HYPERLINK("https%3A%2F%2Fwww.webofscience.com%2Fwos%2Fwoscc%2Ffull-record%2FWOS:000334679000004","View Full Record in Web of Science")</f>
        <v>View Full Record in Web of Science</v>
      </c>
    </row>
    <row r="692" spans="1:72" x14ac:dyDescent="0.15">
      <c r="A692" t="s">
        <v>72</v>
      </c>
      <c r="B692" t="s">
        <v>13084</v>
      </c>
      <c r="C692" t="s">
        <v>74</v>
      </c>
      <c r="D692" t="s">
        <v>74</v>
      </c>
      <c r="E692" t="s">
        <v>74</v>
      </c>
      <c r="F692" t="s">
        <v>13085</v>
      </c>
      <c r="G692" t="s">
        <v>74</v>
      </c>
      <c r="H692" t="s">
        <v>74</v>
      </c>
      <c r="I692" t="s">
        <v>13086</v>
      </c>
      <c r="J692" t="s">
        <v>5013</v>
      </c>
      <c r="K692" t="s">
        <v>74</v>
      </c>
      <c r="L692" t="s">
        <v>74</v>
      </c>
      <c r="M692" t="s">
        <v>78</v>
      </c>
      <c r="N692" t="s">
        <v>79</v>
      </c>
      <c r="O692" t="s">
        <v>74</v>
      </c>
      <c r="P692" t="s">
        <v>74</v>
      </c>
      <c r="Q692" t="s">
        <v>74</v>
      </c>
      <c r="R692" t="s">
        <v>74</v>
      </c>
      <c r="S692" t="s">
        <v>74</v>
      </c>
      <c r="T692" t="s">
        <v>74</v>
      </c>
      <c r="U692" t="s">
        <v>13087</v>
      </c>
      <c r="V692" t="s">
        <v>13088</v>
      </c>
      <c r="W692" t="s">
        <v>13089</v>
      </c>
      <c r="X692" t="s">
        <v>13090</v>
      </c>
      <c r="Y692" t="s">
        <v>13091</v>
      </c>
      <c r="Z692" t="s">
        <v>13092</v>
      </c>
      <c r="AA692" t="s">
        <v>13093</v>
      </c>
      <c r="AB692" t="s">
        <v>13094</v>
      </c>
      <c r="AC692" t="s">
        <v>13095</v>
      </c>
      <c r="AD692" t="s">
        <v>1851</v>
      </c>
      <c r="AE692" t="s">
        <v>13096</v>
      </c>
      <c r="AF692" t="s">
        <v>74</v>
      </c>
      <c r="AG692">
        <v>99</v>
      </c>
      <c r="AH692">
        <v>28</v>
      </c>
      <c r="AI692">
        <v>31</v>
      </c>
      <c r="AJ692">
        <v>0</v>
      </c>
      <c r="AK692">
        <v>16</v>
      </c>
      <c r="AL692" t="s">
        <v>331</v>
      </c>
      <c r="AM692" t="s">
        <v>332</v>
      </c>
      <c r="AN692" t="s">
        <v>333</v>
      </c>
      <c r="AO692" t="s">
        <v>74</v>
      </c>
      <c r="AP692" t="s">
        <v>5026</v>
      </c>
      <c r="AQ692" t="s">
        <v>74</v>
      </c>
      <c r="AR692" t="s">
        <v>5027</v>
      </c>
      <c r="AS692" t="s">
        <v>5028</v>
      </c>
      <c r="AT692" t="s">
        <v>11484</v>
      </c>
      <c r="AU692">
        <v>2014</v>
      </c>
      <c r="AV692">
        <v>15</v>
      </c>
      <c r="AW692">
        <v>6</v>
      </c>
      <c r="AX692" t="s">
        <v>74</v>
      </c>
      <c r="AY692" t="s">
        <v>74</v>
      </c>
      <c r="AZ692" t="s">
        <v>74</v>
      </c>
      <c r="BA692" t="s">
        <v>74</v>
      </c>
      <c r="BB692">
        <v>2494</v>
      </c>
      <c r="BC692">
        <v>2514</v>
      </c>
      <c r="BD692" t="s">
        <v>74</v>
      </c>
      <c r="BE692" t="s">
        <v>13097</v>
      </c>
      <c r="BF692" t="str">
        <f>HYPERLINK("http://dx.doi.org/10.1002/2014GC005323","http://dx.doi.org/10.1002/2014GC005323")</f>
        <v>http://dx.doi.org/10.1002/2014GC005323</v>
      </c>
      <c r="BG692" t="s">
        <v>74</v>
      </c>
      <c r="BH692" t="s">
        <v>74</v>
      </c>
      <c r="BI692">
        <v>21</v>
      </c>
      <c r="BJ692" t="s">
        <v>425</v>
      </c>
      <c r="BK692" t="s">
        <v>102</v>
      </c>
      <c r="BL692" t="s">
        <v>425</v>
      </c>
      <c r="BM692" t="s">
        <v>13098</v>
      </c>
      <c r="BN692" t="s">
        <v>74</v>
      </c>
      <c r="BO692" t="s">
        <v>1969</v>
      </c>
      <c r="BP692" t="s">
        <v>74</v>
      </c>
      <c r="BQ692" t="s">
        <v>74</v>
      </c>
      <c r="BR692" t="s">
        <v>105</v>
      </c>
      <c r="BS692" t="s">
        <v>13099</v>
      </c>
      <c r="BT692" t="str">
        <f>HYPERLINK("https%3A%2F%2Fwww.webofscience.com%2Fwos%2Fwoscc%2Ffull-record%2FWOS:000340362500027","View Full Record in Web of Science")</f>
        <v>View Full Record in Web of Science</v>
      </c>
    </row>
    <row r="693" spans="1:72" x14ac:dyDescent="0.15">
      <c r="A693" t="s">
        <v>72</v>
      </c>
      <c r="B693" t="s">
        <v>13100</v>
      </c>
      <c r="C693" t="s">
        <v>74</v>
      </c>
      <c r="D693" t="s">
        <v>74</v>
      </c>
      <c r="E693" t="s">
        <v>74</v>
      </c>
      <c r="F693" t="s">
        <v>13101</v>
      </c>
      <c r="G693" t="s">
        <v>74</v>
      </c>
      <c r="H693" t="s">
        <v>74</v>
      </c>
      <c r="I693" t="s">
        <v>13102</v>
      </c>
      <c r="J693" t="s">
        <v>13103</v>
      </c>
      <c r="K693" t="s">
        <v>74</v>
      </c>
      <c r="L693" t="s">
        <v>74</v>
      </c>
      <c r="M693" t="s">
        <v>78</v>
      </c>
      <c r="N693" t="s">
        <v>79</v>
      </c>
      <c r="O693" t="s">
        <v>74</v>
      </c>
      <c r="P693" t="s">
        <v>74</v>
      </c>
      <c r="Q693" t="s">
        <v>74</v>
      </c>
      <c r="R693" t="s">
        <v>74</v>
      </c>
      <c r="S693" t="s">
        <v>74</v>
      </c>
      <c r="T693" t="s">
        <v>74</v>
      </c>
      <c r="U693" t="s">
        <v>13104</v>
      </c>
      <c r="V693" t="s">
        <v>13105</v>
      </c>
      <c r="W693" t="s">
        <v>13106</v>
      </c>
      <c r="X693" t="s">
        <v>13107</v>
      </c>
      <c r="Y693" t="s">
        <v>13108</v>
      </c>
      <c r="Z693" t="s">
        <v>13109</v>
      </c>
      <c r="AA693" t="s">
        <v>13110</v>
      </c>
      <c r="AB693" t="s">
        <v>13111</v>
      </c>
      <c r="AC693" t="s">
        <v>13112</v>
      </c>
      <c r="AD693" t="s">
        <v>13113</v>
      </c>
      <c r="AE693" t="s">
        <v>13114</v>
      </c>
      <c r="AF693" t="s">
        <v>74</v>
      </c>
      <c r="AG693">
        <v>50</v>
      </c>
      <c r="AH693">
        <v>7</v>
      </c>
      <c r="AI693">
        <v>7</v>
      </c>
      <c r="AJ693">
        <v>0</v>
      </c>
      <c r="AK693">
        <v>10</v>
      </c>
      <c r="AL693" t="s">
        <v>1764</v>
      </c>
      <c r="AM693" t="s">
        <v>1765</v>
      </c>
      <c r="AN693" t="s">
        <v>3608</v>
      </c>
      <c r="AO693" t="s">
        <v>13115</v>
      </c>
      <c r="AP693" t="s">
        <v>13116</v>
      </c>
      <c r="AQ693" t="s">
        <v>74</v>
      </c>
      <c r="AR693" t="s">
        <v>13117</v>
      </c>
      <c r="AS693" t="s">
        <v>13118</v>
      </c>
      <c r="AT693" t="s">
        <v>11484</v>
      </c>
      <c r="AU693">
        <v>2014</v>
      </c>
      <c r="AV693">
        <v>96</v>
      </c>
      <c r="AW693">
        <v>2</v>
      </c>
      <c r="AX693" t="s">
        <v>74</v>
      </c>
      <c r="AY693" t="s">
        <v>74</v>
      </c>
      <c r="AZ693" t="s">
        <v>74</v>
      </c>
      <c r="BA693" t="s">
        <v>74</v>
      </c>
      <c r="BB693">
        <v>161</v>
      </c>
      <c r="BC693">
        <v>176</v>
      </c>
      <c r="BD693" t="s">
        <v>74</v>
      </c>
      <c r="BE693" t="s">
        <v>13119</v>
      </c>
      <c r="BF693" t="str">
        <f>HYPERLINK("http://dx.doi.org/10.1111/geoa.12038","http://dx.doi.org/10.1111/geoa.12038")</f>
        <v>http://dx.doi.org/10.1111/geoa.12038</v>
      </c>
      <c r="BG693" t="s">
        <v>74</v>
      </c>
      <c r="BH693" t="s">
        <v>74</v>
      </c>
      <c r="BI693">
        <v>16</v>
      </c>
      <c r="BJ693" t="s">
        <v>13120</v>
      </c>
      <c r="BK693" t="s">
        <v>102</v>
      </c>
      <c r="BL693" t="s">
        <v>1428</v>
      </c>
      <c r="BM693" t="s">
        <v>13121</v>
      </c>
      <c r="BN693" t="s">
        <v>74</v>
      </c>
      <c r="BO693" t="s">
        <v>74</v>
      </c>
      <c r="BP693" t="s">
        <v>74</v>
      </c>
      <c r="BQ693" t="s">
        <v>74</v>
      </c>
      <c r="BR693" t="s">
        <v>105</v>
      </c>
      <c r="BS693" t="s">
        <v>13122</v>
      </c>
      <c r="BT693" t="str">
        <f>HYPERLINK("https%3A%2F%2Fwww.webofscience.com%2Fwos%2Fwoscc%2Ffull-record%2FWOS:000337530500004","View Full Record in Web of Science")</f>
        <v>View Full Record in Web of Science</v>
      </c>
    </row>
    <row r="694" spans="1:72" x14ac:dyDescent="0.15">
      <c r="A694" t="s">
        <v>72</v>
      </c>
      <c r="B694" t="s">
        <v>13123</v>
      </c>
      <c r="C694" t="s">
        <v>74</v>
      </c>
      <c r="D694" t="s">
        <v>74</v>
      </c>
      <c r="E694" t="s">
        <v>74</v>
      </c>
      <c r="F694" t="s">
        <v>13124</v>
      </c>
      <c r="G694" t="s">
        <v>74</v>
      </c>
      <c r="H694" t="s">
        <v>74</v>
      </c>
      <c r="I694" t="s">
        <v>13125</v>
      </c>
      <c r="J694" t="s">
        <v>1586</v>
      </c>
      <c r="K694" t="s">
        <v>74</v>
      </c>
      <c r="L694" t="s">
        <v>74</v>
      </c>
      <c r="M694" t="s">
        <v>78</v>
      </c>
      <c r="N694" t="s">
        <v>79</v>
      </c>
      <c r="O694" t="s">
        <v>74</v>
      </c>
      <c r="P694" t="s">
        <v>74</v>
      </c>
      <c r="Q694" t="s">
        <v>74</v>
      </c>
      <c r="R694" t="s">
        <v>74</v>
      </c>
      <c r="S694" t="s">
        <v>74</v>
      </c>
      <c r="T694" t="s">
        <v>13126</v>
      </c>
      <c r="U694" t="s">
        <v>13127</v>
      </c>
      <c r="V694" t="s">
        <v>13128</v>
      </c>
      <c r="W694" t="s">
        <v>13129</v>
      </c>
      <c r="X694" t="s">
        <v>13130</v>
      </c>
      <c r="Y694" t="s">
        <v>13131</v>
      </c>
      <c r="Z694" t="s">
        <v>13132</v>
      </c>
      <c r="AA694" t="s">
        <v>13133</v>
      </c>
      <c r="AB694" t="s">
        <v>13134</v>
      </c>
      <c r="AC694" t="s">
        <v>13135</v>
      </c>
      <c r="AD694" t="s">
        <v>13136</v>
      </c>
      <c r="AE694" t="s">
        <v>13137</v>
      </c>
      <c r="AF694" t="s">
        <v>74</v>
      </c>
      <c r="AG694">
        <v>43</v>
      </c>
      <c r="AH694">
        <v>36</v>
      </c>
      <c r="AI694">
        <v>37</v>
      </c>
      <c r="AJ694">
        <v>0</v>
      </c>
      <c r="AK694">
        <v>18</v>
      </c>
      <c r="AL694" t="s">
        <v>753</v>
      </c>
      <c r="AM694" t="s">
        <v>124</v>
      </c>
      <c r="AN694" t="s">
        <v>754</v>
      </c>
      <c r="AO694" t="s">
        <v>1597</v>
      </c>
      <c r="AP694" t="s">
        <v>1598</v>
      </c>
      <c r="AQ694" t="s">
        <v>74</v>
      </c>
      <c r="AR694" t="s">
        <v>1586</v>
      </c>
      <c r="AS694" t="s">
        <v>1599</v>
      </c>
      <c r="AT694" t="s">
        <v>13138</v>
      </c>
      <c r="AU694">
        <v>2014</v>
      </c>
      <c r="AV694">
        <v>214</v>
      </c>
      <c r="AW694" t="s">
        <v>74</v>
      </c>
      <c r="AX694" t="s">
        <v>74</v>
      </c>
      <c r="AY694" t="s">
        <v>74</v>
      </c>
      <c r="AZ694" t="s">
        <v>74</v>
      </c>
      <c r="BA694" t="s">
        <v>74</v>
      </c>
      <c r="BB694">
        <v>139</v>
      </c>
      <c r="BC694">
        <v>147</v>
      </c>
      <c r="BD694" t="s">
        <v>74</v>
      </c>
      <c r="BE694" t="s">
        <v>13139</v>
      </c>
      <c r="BF694" t="str">
        <f>HYPERLINK("http://dx.doi.org/10.1016/j.geomorph.2014.01.021","http://dx.doi.org/10.1016/j.geomorph.2014.01.021")</f>
        <v>http://dx.doi.org/10.1016/j.geomorph.2014.01.021</v>
      </c>
      <c r="BG694" t="s">
        <v>74</v>
      </c>
      <c r="BH694" t="s">
        <v>74</v>
      </c>
      <c r="BI694">
        <v>9</v>
      </c>
      <c r="BJ694" t="s">
        <v>1427</v>
      </c>
      <c r="BK694" t="s">
        <v>102</v>
      </c>
      <c r="BL694" t="s">
        <v>1428</v>
      </c>
      <c r="BM694" t="s">
        <v>13140</v>
      </c>
      <c r="BN694" t="s">
        <v>74</v>
      </c>
      <c r="BO694" t="s">
        <v>663</v>
      </c>
      <c r="BP694" t="s">
        <v>74</v>
      </c>
      <c r="BQ694" t="s">
        <v>74</v>
      </c>
      <c r="BR694" t="s">
        <v>105</v>
      </c>
      <c r="BS694" t="s">
        <v>13141</v>
      </c>
      <c r="BT694" t="str">
        <f>HYPERLINK("https%3A%2F%2Fwww.webofscience.com%2Fwos%2Fwoscc%2Ffull-record%2FWOS:000336345700011","View Full Record in Web of Science")</f>
        <v>View Full Record in Web of Science</v>
      </c>
    </row>
    <row r="695" spans="1:72" x14ac:dyDescent="0.15">
      <c r="A695" t="s">
        <v>72</v>
      </c>
      <c r="B695" t="s">
        <v>13142</v>
      </c>
      <c r="C695" t="s">
        <v>74</v>
      </c>
      <c r="D695" t="s">
        <v>74</v>
      </c>
      <c r="E695" t="s">
        <v>74</v>
      </c>
      <c r="F695" t="s">
        <v>13143</v>
      </c>
      <c r="G695" t="s">
        <v>74</v>
      </c>
      <c r="H695" t="s">
        <v>74</v>
      </c>
      <c r="I695" t="s">
        <v>13144</v>
      </c>
      <c r="J695" t="s">
        <v>9539</v>
      </c>
      <c r="K695" t="s">
        <v>74</v>
      </c>
      <c r="L695" t="s">
        <v>74</v>
      </c>
      <c r="M695" t="s">
        <v>78</v>
      </c>
      <c r="N695" t="s">
        <v>79</v>
      </c>
      <c r="O695" t="s">
        <v>74</v>
      </c>
      <c r="P695" t="s">
        <v>74</v>
      </c>
      <c r="Q695" t="s">
        <v>74</v>
      </c>
      <c r="R695" t="s">
        <v>74</v>
      </c>
      <c r="S695" t="s">
        <v>74</v>
      </c>
      <c r="T695" t="s">
        <v>13145</v>
      </c>
      <c r="U695" t="s">
        <v>13146</v>
      </c>
      <c r="V695" t="s">
        <v>13147</v>
      </c>
      <c r="W695" t="s">
        <v>13148</v>
      </c>
      <c r="X695" t="s">
        <v>13149</v>
      </c>
      <c r="Y695" t="s">
        <v>13150</v>
      </c>
      <c r="Z695" t="s">
        <v>13151</v>
      </c>
      <c r="AA695" t="s">
        <v>13152</v>
      </c>
      <c r="AB695" t="s">
        <v>13153</v>
      </c>
      <c r="AC695" t="s">
        <v>13154</v>
      </c>
      <c r="AD695" t="s">
        <v>13155</v>
      </c>
      <c r="AE695" t="s">
        <v>13156</v>
      </c>
      <c r="AF695" t="s">
        <v>74</v>
      </c>
      <c r="AG695">
        <v>67</v>
      </c>
      <c r="AH695">
        <v>122</v>
      </c>
      <c r="AI695">
        <v>129</v>
      </c>
      <c r="AJ695">
        <v>6</v>
      </c>
      <c r="AK695">
        <v>194</v>
      </c>
      <c r="AL695" t="s">
        <v>171</v>
      </c>
      <c r="AM695" t="s">
        <v>93</v>
      </c>
      <c r="AN695" t="s">
        <v>94</v>
      </c>
      <c r="AO695" t="s">
        <v>9552</v>
      </c>
      <c r="AP695" t="s">
        <v>9553</v>
      </c>
      <c r="AQ695" t="s">
        <v>74</v>
      </c>
      <c r="AR695" t="s">
        <v>9554</v>
      </c>
      <c r="AS695" t="s">
        <v>9555</v>
      </c>
      <c r="AT695" t="s">
        <v>11484</v>
      </c>
      <c r="AU695">
        <v>2014</v>
      </c>
      <c r="AV695">
        <v>20</v>
      </c>
      <c r="AW695">
        <v>6</v>
      </c>
      <c r="AX695" t="s">
        <v>74</v>
      </c>
      <c r="AY695" t="s">
        <v>74</v>
      </c>
      <c r="AZ695" t="s">
        <v>74</v>
      </c>
      <c r="BA695" t="s">
        <v>74</v>
      </c>
      <c r="BB695">
        <v>1861</v>
      </c>
      <c r="BC695">
        <v>1872</v>
      </c>
      <c r="BD695" t="s">
        <v>74</v>
      </c>
      <c r="BE695" t="s">
        <v>13157</v>
      </c>
      <c r="BF695" t="str">
        <f>HYPERLINK("http://dx.doi.org/10.1111/gcb.12480","http://dx.doi.org/10.1111/gcb.12480")</f>
        <v>http://dx.doi.org/10.1111/gcb.12480</v>
      </c>
      <c r="BG695" t="s">
        <v>74</v>
      </c>
      <c r="BH695" t="s">
        <v>74</v>
      </c>
      <c r="BI695">
        <v>12</v>
      </c>
      <c r="BJ695" t="s">
        <v>5858</v>
      </c>
      <c r="BK695" t="s">
        <v>102</v>
      </c>
      <c r="BL695" t="s">
        <v>785</v>
      </c>
      <c r="BM695" t="s">
        <v>13158</v>
      </c>
      <c r="BN695">
        <v>24382828</v>
      </c>
      <c r="BO695" t="s">
        <v>13159</v>
      </c>
      <c r="BP695" t="s">
        <v>74</v>
      </c>
      <c r="BQ695" t="s">
        <v>74</v>
      </c>
      <c r="BR695" t="s">
        <v>105</v>
      </c>
      <c r="BS695" t="s">
        <v>13160</v>
      </c>
      <c r="BT695" t="str">
        <f>HYPERLINK("https%3A%2F%2Fwww.webofscience.com%2Fwos%2Fwoscc%2Ffull-record%2FWOS:000336482700014","View Full Record in Web of Science")</f>
        <v>View Full Record in Web of Science</v>
      </c>
    </row>
    <row r="696" spans="1:72" x14ac:dyDescent="0.15">
      <c r="A696" t="s">
        <v>72</v>
      </c>
      <c r="B696" t="s">
        <v>13161</v>
      </c>
      <c r="C696" t="s">
        <v>74</v>
      </c>
      <c r="D696" t="s">
        <v>74</v>
      </c>
      <c r="E696" t="s">
        <v>74</v>
      </c>
      <c r="F696" t="s">
        <v>13162</v>
      </c>
      <c r="G696" t="s">
        <v>74</v>
      </c>
      <c r="H696" t="s">
        <v>74</v>
      </c>
      <c r="I696" t="s">
        <v>13163</v>
      </c>
      <c r="J696" t="s">
        <v>158</v>
      </c>
      <c r="K696" t="s">
        <v>74</v>
      </c>
      <c r="L696" t="s">
        <v>74</v>
      </c>
      <c r="M696" t="s">
        <v>78</v>
      </c>
      <c r="N696" t="s">
        <v>79</v>
      </c>
      <c r="O696" t="s">
        <v>74</v>
      </c>
      <c r="P696" t="s">
        <v>74</v>
      </c>
      <c r="Q696" t="s">
        <v>74</v>
      </c>
      <c r="R696" t="s">
        <v>74</v>
      </c>
      <c r="S696" t="s">
        <v>74</v>
      </c>
      <c r="T696" t="s">
        <v>13164</v>
      </c>
      <c r="U696" t="s">
        <v>13165</v>
      </c>
      <c r="V696" t="s">
        <v>13166</v>
      </c>
      <c r="W696" t="s">
        <v>13167</v>
      </c>
      <c r="X696" t="s">
        <v>13168</v>
      </c>
      <c r="Y696" t="s">
        <v>13169</v>
      </c>
      <c r="Z696" t="s">
        <v>13170</v>
      </c>
      <c r="AA696" t="s">
        <v>13171</v>
      </c>
      <c r="AB696" t="s">
        <v>13172</v>
      </c>
      <c r="AC696" t="s">
        <v>13173</v>
      </c>
      <c r="AD696" t="s">
        <v>13174</v>
      </c>
      <c r="AE696" t="s">
        <v>13175</v>
      </c>
      <c r="AF696" t="s">
        <v>74</v>
      </c>
      <c r="AG696">
        <v>36</v>
      </c>
      <c r="AH696">
        <v>53</v>
      </c>
      <c r="AI696">
        <v>55</v>
      </c>
      <c r="AJ696">
        <v>1</v>
      </c>
      <c r="AK696">
        <v>41</v>
      </c>
      <c r="AL696" t="s">
        <v>171</v>
      </c>
      <c r="AM696" t="s">
        <v>93</v>
      </c>
      <c r="AN696" t="s">
        <v>94</v>
      </c>
      <c r="AO696" t="s">
        <v>172</v>
      </c>
      <c r="AP696" t="s">
        <v>173</v>
      </c>
      <c r="AQ696" t="s">
        <v>74</v>
      </c>
      <c r="AR696" t="s">
        <v>174</v>
      </c>
      <c r="AS696" t="s">
        <v>175</v>
      </c>
      <c r="AT696" t="s">
        <v>11484</v>
      </c>
      <c r="AU696">
        <v>2014</v>
      </c>
      <c r="AV696">
        <v>34</v>
      </c>
      <c r="AW696">
        <v>7</v>
      </c>
      <c r="AX696" t="s">
        <v>74</v>
      </c>
      <c r="AY696" t="s">
        <v>74</v>
      </c>
      <c r="AZ696" t="s">
        <v>74</v>
      </c>
      <c r="BA696" t="s">
        <v>74</v>
      </c>
      <c r="BB696">
        <v>2189</v>
      </c>
      <c r="BC696">
        <v>2204</v>
      </c>
      <c r="BD696" t="s">
        <v>74</v>
      </c>
      <c r="BE696" t="s">
        <v>13176</v>
      </c>
      <c r="BF696" t="str">
        <f>HYPERLINK("http://dx.doi.org/10.1002/joc.3830","http://dx.doi.org/10.1002/joc.3830")</f>
        <v>http://dx.doi.org/10.1002/joc.3830</v>
      </c>
      <c r="BG696" t="s">
        <v>74</v>
      </c>
      <c r="BH696" t="s">
        <v>74</v>
      </c>
      <c r="BI696">
        <v>16</v>
      </c>
      <c r="BJ696" t="s">
        <v>177</v>
      </c>
      <c r="BK696" t="s">
        <v>102</v>
      </c>
      <c r="BL696" t="s">
        <v>177</v>
      </c>
      <c r="BM696" t="s">
        <v>12177</v>
      </c>
      <c r="BN696" t="s">
        <v>74</v>
      </c>
      <c r="BO696" t="s">
        <v>74</v>
      </c>
      <c r="BP696" t="s">
        <v>74</v>
      </c>
      <c r="BQ696" t="s">
        <v>74</v>
      </c>
      <c r="BR696" t="s">
        <v>105</v>
      </c>
      <c r="BS696" t="s">
        <v>13177</v>
      </c>
      <c r="BT696" t="str">
        <f>HYPERLINK("https%3A%2F%2Fwww.webofscience.com%2Fwos%2Fwoscc%2Ffull-record%2FWOS:000337558200006","View Full Record in Web of Science")</f>
        <v>View Full Record in Web of Science</v>
      </c>
    </row>
    <row r="697" spans="1:72" x14ac:dyDescent="0.15">
      <c r="A697" t="s">
        <v>72</v>
      </c>
      <c r="B697" t="s">
        <v>13178</v>
      </c>
      <c r="C697" t="s">
        <v>74</v>
      </c>
      <c r="D697" t="s">
        <v>74</v>
      </c>
      <c r="E697" t="s">
        <v>74</v>
      </c>
      <c r="F697" t="s">
        <v>13179</v>
      </c>
      <c r="G697" t="s">
        <v>74</v>
      </c>
      <c r="H697" t="s">
        <v>74</v>
      </c>
      <c r="I697" t="s">
        <v>13180</v>
      </c>
      <c r="J697" t="s">
        <v>13181</v>
      </c>
      <c r="K697" t="s">
        <v>74</v>
      </c>
      <c r="L697" t="s">
        <v>74</v>
      </c>
      <c r="M697" t="s">
        <v>78</v>
      </c>
      <c r="N697" t="s">
        <v>79</v>
      </c>
      <c r="O697" t="s">
        <v>74</v>
      </c>
      <c r="P697" t="s">
        <v>74</v>
      </c>
      <c r="Q697" t="s">
        <v>74</v>
      </c>
      <c r="R697" t="s">
        <v>74</v>
      </c>
      <c r="S697" t="s">
        <v>74</v>
      </c>
      <c r="T697" t="s">
        <v>13182</v>
      </c>
      <c r="U697" t="s">
        <v>13183</v>
      </c>
      <c r="V697" t="s">
        <v>13184</v>
      </c>
      <c r="W697" t="s">
        <v>13185</v>
      </c>
      <c r="X697" t="s">
        <v>13186</v>
      </c>
      <c r="Y697" t="s">
        <v>13187</v>
      </c>
      <c r="Z697" t="s">
        <v>13188</v>
      </c>
      <c r="AA697" t="s">
        <v>13189</v>
      </c>
      <c r="AB697" t="s">
        <v>13190</v>
      </c>
      <c r="AC697" t="s">
        <v>13191</v>
      </c>
      <c r="AD697" t="s">
        <v>13192</v>
      </c>
      <c r="AE697" t="s">
        <v>13193</v>
      </c>
      <c r="AF697" t="s">
        <v>74</v>
      </c>
      <c r="AG697">
        <v>44</v>
      </c>
      <c r="AH697">
        <v>35</v>
      </c>
      <c r="AI697">
        <v>40</v>
      </c>
      <c r="AJ697">
        <v>0</v>
      </c>
      <c r="AK697">
        <v>52</v>
      </c>
      <c r="AL697" t="s">
        <v>753</v>
      </c>
      <c r="AM697" t="s">
        <v>124</v>
      </c>
      <c r="AN697" t="s">
        <v>754</v>
      </c>
      <c r="AO697" t="s">
        <v>13194</v>
      </c>
      <c r="AP697" t="s">
        <v>13195</v>
      </c>
      <c r="AQ697" t="s">
        <v>74</v>
      </c>
      <c r="AR697" t="s">
        <v>13196</v>
      </c>
      <c r="AS697" t="s">
        <v>13197</v>
      </c>
      <c r="AT697" t="s">
        <v>11484</v>
      </c>
      <c r="AU697">
        <v>2014</v>
      </c>
      <c r="AV697">
        <v>92</v>
      </c>
      <c r="AW697" t="s">
        <v>74</v>
      </c>
      <c r="AX697" t="s">
        <v>74</v>
      </c>
      <c r="AY697" t="s">
        <v>74</v>
      </c>
      <c r="AZ697" t="s">
        <v>74</v>
      </c>
      <c r="BA697" t="s">
        <v>74</v>
      </c>
      <c r="BB697">
        <v>147</v>
      </c>
      <c r="BC697">
        <v>163</v>
      </c>
      <c r="BD697" t="s">
        <v>74</v>
      </c>
      <c r="BE697" t="s">
        <v>13198</v>
      </c>
      <c r="BF697" t="str">
        <f>HYPERLINK("http://dx.doi.org/10.1016/j.isprsjprs.2014.03.010","http://dx.doi.org/10.1016/j.isprsjprs.2014.03.010")</f>
        <v>http://dx.doi.org/10.1016/j.isprsjprs.2014.03.010</v>
      </c>
      <c r="BG697" t="s">
        <v>74</v>
      </c>
      <c r="BH697" t="s">
        <v>74</v>
      </c>
      <c r="BI697">
        <v>17</v>
      </c>
      <c r="BJ697" t="s">
        <v>733</v>
      </c>
      <c r="BK697" t="s">
        <v>102</v>
      </c>
      <c r="BL697" t="s">
        <v>734</v>
      </c>
      <c r="BM697" t="s">
        <v>13199</v>
      </c>
      <c r="BN697" t="s">
        <v>74</v>
      </c>
      <c r="BO697" t="s">
        <v>74</v>
      </c>
      <c r="BP697" t="s">
        <v>74</v>
      </c>
      <c r="BQ697" t="s">
        <v>74</v>
      </c>
      <c r="BR697" t="s">
        <v>105</v>
      </c>
      <c r="BS697" t="s">
        <v>13200</v>
      </c>
      <c r="BT697" t="str">
        <f>HYPERLINK("https%3A%2F%2Fwww.webofscience.com%2Fwos%2Fwoscc%2Ffull-record%2FWOS:000337865800011","View Full Record in Web of Science")</f>
        <v>View Full Record in Web of Science</v>
      </c>
    </row>
    <row r="698" spans="1:72" x14ac:dyDescent="0.15">
      <c r="A698" t="s">
        <v>72</v>
      </c>
      <c r="B698" t="s">
        <v>13201</v>
      </c>
      <c r="C698" t="s">
        <v>74</v>
      </c>
      <c r="D698" t="s">
        <v>74</v>
      </c>
      <c r="E698" t="s">
        <v>74</v>
      </c>
      <c r="F698" t="s">
        <v>13202</v>
      </c>
      <c r="G698" t="s">
        <v>74</v>
      </c>
      <c r="H698" t="s">
        <v>74</v>
      </c>
      <c r="I698" t="s">
        <v>13203</v>
      </c>
      <c r="J698" t="s">
        <v>13204</v>
      </c>
      <c r="K698" t="s">
        <v>74</v>
      </c>
      <c r="L698" t="s">
        <v>74</v>
      </c>
      <c r="M698" t="s">
        <v>78</v>
      </c>
      <c r="N698" t="s">
        <v>79</v>
      </c>
      <c r="O698" t="s">
        <v>74</v>
      </c>
      <c r="P698" t="s">
        <v>74</v>
      </c>
      <c r="Q698" t="s">
        <v>74</v>
      </c>
      <c r="R698" t="s">
        <v>74</v>
      </c>
      <c r="S698" t="s">
        <v>74</v>
      </c>
      <c r="T698" t="s">
        <v>13205</v>
      </c>
      <c r="U698" t="s">
        <v>13206</v>
      </c>
      <c r="V698" t="s">
        <v>13207</v>
      </c>
      <c r="W698" t="s">
        <v>13208</v>
      </c>
      <c r="X698" t="s">
        <v>13209</v>
      </c>
      <c r="Y698" t="s">
        <v>13210</v>
      </c>
      <c r="Z698" t="s">
        <v>13211</v>
      </c>
      <c r="AA698" t="s">
        <v>13212</v>
      </c>
      <c r="AB698" t="s">
        <v>13213</v>
      </c>
      <c r="AC698" t="s">
        <v>13214</v>
      </c>
      <c r="AD698" t="s">
        <v>901</v>
      </c>
      <c r="AE698" t="s">
        <v>13215</v>
      </c>
      <c r="AF698" t="s">
        <v>74</v>
      </c>
      <c r="AG698">
        <v>31</v>
      </c>
      <c r="AH698">
        <v>15</v>
      </c>
      <c r="AI698">
        <v>15</v>
      </c>
      <c r="AJ698">
        <v>0</v>
      </c>
      <c r="AK698">
        <v>4</v>
      </c>
      <c r="AL698" t="s">
        <v>13216</v>
      </c>
      <c r="AM698" t="s">
        <v>550</v>
      </c>
      <c r="AN698" t="s">
        <v>13217</v>
      </c>
      <c r="AO698" t="s">
        <v>13218</v>
      </c>
      <c r="AP698" t="s">
        <v>13219</v>
      </c>
      <c r="AQ698" t="s">
        <v>74</v>
      </c>
      <c r="AR698" t="s">
        <v>13220</v>
      </c>
      <c r="AS698" t="s">
        <v>13221</v>
      </c>
      <c r="AT698" t="s">
        <v>11484</v>
      </c>
      <c r="AU698">
        <v>2014</v>
      </c>
      <c r="AV698">
        <v>31</v>
      </c>
      <c r="AW698">
        <v>2</v>
      </c>
      <c r="AX698" t="s">
        <v>74</v>
      </c>
      <c r="AY698" t="s">
        <v>74</v>
      </c>
      <c r="AZ698" t="s">
        <v>74</v>
      </c>
      <c r="BA698" t="s">
        <v>74</v>
      </c>
      <c r="BB698">
        <v>169</v>
      </c>
      <c r="BC698">
        <v>176</v>
      </c>
      <c r="BD698" t="s">
        <v>74</v>
      </c>
      <c r="BE698" t="s">
        <v>13222</v>
      </c>
      <c r="BF698" t="str">
        <f>HYPERLINK("http://dx.doi.org/10.5140/JASS.2014.31.2.169","http://dx.doi.org/10.5140/JASS.2014.31.2.169")</f>
        <v>http://dx.doi.org/10.5140/JASS.2014.31.2.169</v>
      </c>
      <c r="BG698" t="s">
        <v>74</v>
      </c>
      <c r="BH698" t="s">
        <v>74</v>
      </c>
      <c r="BI698">
        <v>8</v>
      </c>
      <c r="BJ698" t="s">
        <v>339</v>
      </c>
      <c r="BK698" t="s">
        <v>488</v>
      </c>
      <c r="BL698" t="s">
        <v>339</v>
      </c>
      <c r="BM698" t="s">
        <v>13223</v>
      </c>
      <c r="BN698" t="s">
        <v>74</v>
      </c>
      <c r="BO698" t="s">
        <v>1898</v>
      </c>
      <c r="BP698" t="s">
        <v>74</v>
      </c>
      <c r="BQ698" t="s">
        <v>74</v>
      </c>
      <c r="BR698" t="s">
        <v>105</v>
      </c>
      <c r="BS698" t="s">
        <v>13224</v>
      </c>
      <c r="BT698" t="str">
        <f>HYPERLINK("https%3A%2F%2Fwww.webofscience.com%2Fwos%2Fwoscc%2Ffull-record%2FWOS:000417288900008","View Full Record in Web of Science")</f>
        <v>View Full Record in Web of Science</v>
      </c>
    </row>
    <row r="699" spans="1:72" x14ac:dyDescent="0.15">
      <c r="A699" t="s">
        <v>72</v>
      </c>
      <c r="B699" t="s">
        <v>13225</v>
      </c>
      <c r="C699" t="s">
        <v>74</v>
      </c>
      <c r="D699" t="s">
        <v>74</v>
      </c>
      <c r="E699" t="s">
        <v>74</v>
      </c>
      <c r="F699" t="s">
        <v>13226</v>
      </c>
      <c r="G699" t="s">
        <v>74</v>
      </c>
      <c r="H699" t="s">
        <v>74</v>
      </c>
      <c r="I699" t="s">
        <v>13227</v>
      </c>
      <c r="J699" t="s">
        <v>13228</v>
      </c>
      <c r="K699" t="s">
        <v>74</v>
      </c>
      <c r="L699" t="s">
        <v>74</v>
      </c>
      <c r="M699" t="s">
        <v>78</v>
      </c>
      <c r="N699" t="s">
        <v>79</v>
      </c>
      <c r="O699" t="s">
        <v>74</v>
      </c>
      <c r="P699" t="s">
        <v>74</v>
      </c>
      <c r="Q699" t="s">
        <v>74</v>
      </c>
      <c r="R699" t="s">
        <v>74</v>
      </c>
      <c r="S699" t="s">
        <v>74</v>
      </c>
      <c r="T699" t="s">
        <v>13229</v>
      </c>
      <c r="U699" t="s">
        <v>13230</v>
      </c>
      <c r="V699" t="s">
        <v>13231</v>
      </c>
      <c r="W699" t="s">
        <v>13232</v>
      </c>
      <c r="X699" t="s">
        <v>13233</v>
      </c>
      <c r="Y699" t="s">
        <v>13234</v>
      </c>
      <c r="Z699" t="s">
        <v>13235</v>
      </c>
      <c r="AA699" t="s">
        <v>10235</v>
      </c>
      <c r="AB699" t="s">
        <v>13236</v>
      </c>
      <c r="AC699" t="s">
        <v>13237</v>
      </c>
      <c r="AD699" t="s">
        <v>13238</v>
      </c>
      <c r="AE699" t="s">
        <v>13239</v>
      </c>
      <c r="AF699" t="s">
        <v>74</v>
      </c>
      <c r="AG699">
        <v>48</v>
      </c>
      <c r="AH699">
        <v>53</v>
      </c>
      <c r="AI699">
        <v>54</v>
      </c>
      <c r="AJ699">
        <v>1</v>
      </c>
      <c r="AK699">
        <v>48</v>
      </c>
      <c r="AL699" t="s">
        <v>171</v>
      </c>
      <c r="AM699" t="s">
        <v>93</v>
      </c>
      <c r="AN699" t="s">
        <v>94</v>
      </c>
      <c r="AO699" t="s">
        <v>13240</v>
      </c>
      <c r="AP699" t="s">
        <v>13241</v>
      </c>
      <c r="AQ699" t="s">
        <v>74</v>
      </c>
      <c r="AR699" t="s">
        <v>13242</v>
      </c>
      <c r="AS699" t="s">
        <v>13243</v>
      </c>
      <c r="AT699" t="s">
        <v>11484</v>
      </c>
      <c r="AU699">
        <v>2014</v>
      </c>
      <c r="AV699">
        <v>41</v>
      </c>
      <c r="AW699">
        <v>6</v>
      </c>
      <c r="AX699" t="s">
        <v>74</v>
      </c>
      <c r="AY699" t="s">
        <v>74</v>
      </c>
      <c r="AZ699" t="s">
        <v>74</v>
      </c>
      <c r="BA699" t="s">
        <v>74</v>
      </c>
      <c r="BB699">
        <v>1183</v>
      </c>
      <c r="BC699">
        <v>1192</v>
      </c>
      <c r="BD699" t="s">
        <v>74</v>
      </c>
      <c r="BE699" t="s">
        <v>13244</v>
      </c>
      <c r="BF699" t="str">
        <f>HYPERLINK("http://dx.doi.org/10.1111/jbi.12279","http://dx.doi.org/10.1111/jbi.12279")</f>
        <v>http://dx.doi.org/10.1111/jbi.12279</v>
      </c>
      <c r="BG699" t="s">
        <v>74</v>
      </c>
      <c r="BH699" t="s">
        <v>74</v>
      </c>
      <c r="BI699">
        <v>10</v>
      </c>
      <c r="BJ699" t="s">
        <v>101</v>
      </c>
      <c r="BK699" t="s">
        <v>102</v>
      </c>
      <c r="BL699" t="s">
        <v>103</v>
      </c>
      <c r="BM699" t="s">
        <v>13245</v>
      </c>
      <c r="BN699">
        <v>25505357</v>
      </c>
      <c r="BO699" t="s">
        <v>1476</v>
      </c>
      <c r="BP699" t="s">
        <v>74</v>
      </c>
      <c r="BQ699" t="s">
        <v>74</v>
      </c>
      <c r="BR699" t="s">
        <v>105</v>
      </c>
      <c r="BS699" t="s">
        <v>13246</v>
      </c>
      <c r="BT699" t="str">
        <f>HYPERLINK("https%3A%2F%2Fwww.webofscience.com%2Fwos%2Fwoscc%2Ffull-record%2FWOS:000335704500014","View Full Record in Web of Science")</f>
        <v>View Full Record in Web of Science</v>
      </c>
    </row>
    <row r="700" spans="1:72" x14ac:dyDescent="0.15">
      <c r="A700" t="s">
        <v>72</v>
      </c>
      <c r="B700" t="s">
        <v>13247</v>
      </c>
      <c r="C700" t="s">
        <v>74</v>
      </c>
      <c r="D700" t="s">
        <v>74</v>
      </c>
      <c r="E700" t="s">
        <v>74</v>
      </c>
      <c r="F700" t="s">
        <v>13248</v>
      </c>
      <c r="G700" t="s">
        <v>74</v>
      </c>
      <c r="H700" t="s">
        <v>74</v>
      </c>
      <c r="I700" t="s">
        <v>13249</v>
      </c>
      <c r="J700" t="s">
        <v>1951</v>
      </c>
      <c r="K700" t="s">
        <v>74</v>
      </c>
      <c r="L700" t="s">
        <v>74</v>
      </c>
      <c r="M700" t="s">
        <v>78</v>
      </c>
      <c r="N700" t="s">
        <v>79</v>
      </c>
      <c r="O700" t="s">
        <v>74</v>
      </c>
      <c r="P700" t="s">
        <v>74</v>
      </c>
      <c r="Q700" t="s">
        <v>74</v>
      </c>
      <c r="R700" t="s">
        <v>74</v>
      </c>
      <c r="S700" t="s">
        <v>74</v>
      </c>
      <c r="T700" t="s">
        <v>74</v>
      </c>
      <c r="U700" t="s">
        <v>13250</v>
      </c>
      <c r="V700" t="s">
        <v>13251</v>
      </c>
      <c r="W700" t="s">
        <v>13252</v>
      </c>
      <c r="X700" t="s">
        <v>13253</v>
      </c>
      <c r="Y700" t="s">
        <v>13254</v>
      </c>
      <c r="Z700" t="s">
        <v>13255</v>
      </c>
      <c r="AA700" t="s">
        <v>13256</v>
      </c>
      <c r="AB700" t="s">
        <v>13257</v>
      </c>
      <c r="AC700" t="s">
        <v>13258</v>
      </c>
      <c r="AD700" t="s">
        <v>13259</v>
      </c>
      <c r="AE700" t="s">
        <v>13260</v>
      </c>
      <c r="AF700" t="s">
        <v>74</v>
      </c>
      <c r="AG700">
        <v>74</v>
      </c>
      <c r="AH700">
        <v>57</v>
      </c>
      <c r="AI700">
        <v>59</v>
      </c>
      <c r="AJ700">
        <v>0</v>
      </c>
      <c r="AK700">
        <v>21</v>
      </c>
      <c r="AL700" t="s">
        <v>331</v>
      </c>
      <c r="AM700" t="s">
        <v>332</v>
      </c>
      <c r="AN700" t="s">
        <v>333</v>
      </c>
      <c r="AO700" t="s">
        <v>1963</v>
      </c>
      <c r="AP700" t="s">
        <v>1964</v>
      </c>
      <c r="AQ700" t="s">
        <v>74</v>
      </c>
      <c r="AR700" t="s">
        <v>1965</v>
      </c>
      <c r="AS700" t="s">
        <v>1966</v>
      </c>
      <c r="AT700" t="s">
        <v>11484</v>
      </c>
      <c r="AU700">
        <v>2014</v>
      </c>
      <c r="AV700">
        <v>119</v>
      </c>
      <c r="AW700">
        <v>6</v>
      </c>
      <c r="AX700" t="s">
        <v>74</v>
      </c>
      <c r="AY700" t="s">
        <v>74</v>
      </c>
      <c r="AZ700" t="s">
        <v>74</v>
      </c>
      <c r="BA700" t="s">
        <v>74</v>
      </c>
      <c r="BB700">
        <v>3357</v>
      </c>
      <c r="BC700">
        <v>3377</v>
      </c>
      <c r="BD700" t="s">
        <v>74</v>
      </c>
      <c r="BE700" t="s">
        <v>13261</v>
      </c>
      <c r="BF700" t="str">
        <f>HYPERLINK("http://dx.doi.org/10.1002/2013JC009725","http://dx.doi.org/10.1002/2013JC009725")</f>
        <v>http://dx.doi.org/10.1002/2013JC009725</v>
      </c>
      <c r="BG700" t="s">
        <v>74</v>
      </c>
      <c r="BH700" t="s">
        <v>74</v>
      </c>
      <c r="BI700">
        <v>21</v>
      </c>
      <c r="BJ700" t="s">
        <v>152</v>
      </c>
      <c r="BK700" t="s">
        <v>102</v>
      </c>
      <c r="BL700" t="s">
        <v>152</v>
      </c>
      <c r="BM700" t="s">
        <v>11593</v>
      </c>
      <c r="BN700" t="s">
        <v>74</v>
      </c>
      <c r="BO700" t="s">
        <v>13262</v>
      </c>
      <c r="BP700" t="s">
        <v>74</v>
      </c>
      <c r="BQ700" t="s">
        <v>74</v>
      </c>
      <c r="BR700" t="s">
        <v>105</v>
      </c>
      <c r="BS700" t="s">
        <v>13263</v>
      </c>
      <c r="BT700" t="str">
        <f>HYPERLINK("https%3A%2F%2Fwww.webofscience.com%2Fwos%2Fwoscc%2Ffull-record%2FWOS:000340414800008","View Full Record in Web of Science")</f>
        <v>View Full Record in Web of Science</v>
      </c>
    </row>
    <row r="701" spans="1:72" x14ac:dyDescent="0.15">
      <c r="A701" t="s">
        <v>72</v>
      </c>
      <c r="B701" t="s">
        <v>13264</v>
      </c>
      <c r="C701" t="s">
        <v>74</v>
      </c>
      <c r="D701" t="s">
        <v>74</v>
      </c>
      <c r="E701" t="s">
        <v>74</v>
      </c>
      <c r="F701" t="s">
        <v>13265</v>
      </c>
      <c r="G701" t="s">
        <v>74</v>
      </c>
      <c r="H701" t="s">
        <v>74</v>
      </c>
      <c r="I701" t="s">
        <v>13266</v>
      </c>
      <c r="J701" t="s">
        <v>318</v>
      </c>
      <c r="K701" t="s">
        <v>74</v>
      </c>
      <c r="L701" t="s">
        <v>74</v>
      </c>
      <c r="M701" t="s">
        <v>78</v>
      </c>
      <c r="N701" t="s">
        <v>79</v>
      </c>
      <c r="O701" t="s">
        <v>74</v>
      </c>
      <c r="P701" t="s">
        <v>74</v>
      </c>
      <c r="Q701" t="s">
        <v>74</v>
      </c>
      <c r="R701" t="s">
        <v>74</v>
      </c>
      <c r="S701" t="s">
        <v>74</v>
      </c>
      <c r="T701" t="s">
        <v>74</v>
      </c>
      <c r="U701" t="s">
        <v>13267</v>
      </c>
      <c r="V701" t="s">
        <v>13268</v>
      </c>
      <c r="W701" t="s">
        <v>13269</v>
      </c>
      <c r="X701" t="s">
        <v>13270</v>
      </c>
      <c r="Y701" t="s">
        <v>13271</v>
      </c>
      <c r="Z701" t="s">
        <v>13272</v>
      </c>
      <c r="AA701" t="s">
        <v>74</v>
      </c>
      <c r="AB701" t="s">
        <v>74</v>
      </c>
      <c r="AC701" t="s">
        <v>13273</v>
      </c>
      <c r="AD701" t="s">
        <v>13274</v>
      </c>
      <c r="AE701" t="s">
        <v>13275</v>
      </c>
      <c r="AF701" t="s">
        <v>74</v>
      </c>
      <c r="AG701">
        <v>26</v>
      </c>
      <c r="AH701">
        <v>15</v>
      </c>
      <c r="AI701">
        <v>18</v>
      </c>
      <c r="AJ701">
        <v>1</v>
      </c>
      <c r="AK701">
        <v>9</v>
      </c>
      <c r="AL701" t="s">
        <v>331</v>
      </c>
      <c r="AM701" t="s">
        <v>332</v>
      </c>
      <c r="AN701" t="s">
        <v>333</v>
      </c>
      <c r="AO701" t="s">
        <v>334</v>
      </c>
      <c r="AP701" t="s">
        <v>335</v>
      </c>
      <c r="AQ701" t="s">
        <v>74</v>
      </c>
      <c r="AR701" t="s">
        <v>336</v>
      </c>
      <c r="AS701" t="s">
        <v>337</v>
      </c>
      <c r="AT701" t="s">
        <v>11484</v>
      </c>
      <c r="AU701">
        <v>2014</v>
      </c>
      <c r="AV701">
        <v>119</v>
      </c>
      <c r="AW701">
        <v>6</v>
      </c>
      <c r="AX701" t="s">
        <v>74</v>
      </c>
      <c r="AY701" t="s">
        <v>74</v>
      </c>
      <c r="AZ701" t="s">
        <v>74</v>
      </c>
      <c r="BA701" t="s">
        <v>74</v>
      </c>
      <c r="BB701">
        <v>4819</v>
      </c>
      <c r="BC701">
        <v>4840</v>
      </c>
      <c r="BD701" t="s">
        <v>74</v>
      </c>
      <c r="BE701" t="s">
        <v>13276</v>
      </c>
      <c r="BF701" t="str">
        <f>HYPERLINK("http://dx.doi.org/10.1002/2013JA019377","http://dx.doi.org/10.1002/2013JA019377")</f>
        <v>http://dx.doi.org/10.1002/2013JA019377</v>
      </c>
      <c r="BG701" t="s">
        <v>74</v>
      </c>
      <c r="BH701" t="s">
        <v>74</v>
      </c>
      <c r="BI701">
        <v>22</v>
      </c>
      <c r="BJ701" t="s">
        <v>339</v>
      </c>
      <c r="BK701" t="s">
        <v>102</v>
      </c>
      <c r="BL701" t="s">
        <v>339</v>
      </c>
      <c r="BM701" t="s">
        <v>11764</v>
      </c>
      <c r="BN701" t="s">
        <v>74</v>
      </c>
      <c r="BO701" t="s">
        <v>179</v>
      </c>
      <c r="BP701" t="s">
        <v>74</v>
      </c>
      <c r="BQ701" t="s">
        <v>74</v>
      </c>
      <c r="BR701" t="s">
        <v>105</v>
      </c>
      <c r="BS701" t="s">
        <v>13277</v>
      </c>
      <c r="BT701" t="str">
        <f>HYPERLINK("https%3A%2F%2Fwww.webofscience.com%2Fwos%2Fwoscc%2Ffull-record%2FWOS:000339710300048","View Full Record in Web of Science")</f>
        <v>View Full Record in Web of Science</v>
      </c>
    </row>
    <row r="702" spans="1:72" x14ac:dyDescent="0.15">
      <c r="A702" t="s">
        <v>72</v>
      </c>
      <c r="B702" t="s">
        <v>13278</v>
      </c>
      <c r="C702" t="s">
        <v>74</v>
      </c>
      <c r="D702" t="s">
        <v>74</v>
      </c>
      <c r="E702" t="s">
        <v>74</v>
      </c>
      <c r="F702" t="s">
        <v>13279</v>
      </c>
      <c r="G702" t="s">
        <v>74</v>
      </c>
      <c r="H702" t="s">
        <v>74</v>
      </c>
      <c r="I702" t="s">
        <v>13280</v>
      </c>
      <c r="J702" t="s">
        <v>4414</v>
      </c>
      <c r="K702" t="s">
        <v>74</v>
      </c>
      <c r="L702" t="s">
        <v>74</v>
      </c>
      <c r="M702" t="s">
        <v>78</v>
      </c>
      <c r="N702" t="s">
        <v>79</v>
      </c>
      <c r="O702" t="s">
        <v>74</v>
      </c>
      <c r="P702" t="s">
        <v>74</v>
      </c>
      <c r="Q702" t="s">
        <v>74</v>
      </c>
      <c r="R702" t="s">
        <v>74</v>
      </c>
      <c r="S702" t="s">
        <v>74</v>
      </c>
      <c r="T702" t="s">
        <v>13281</v>
      </c>
      <c r="U702" t="s">
        <v>13282</v>
      </c>
      <c r="V702" t="s">
        <v>13283</v>
      </c>
      <c r="W702" t="s">
        <v>13284</v>
      </c>
      <c r="X702" t="s">
        <v>13285</v>
      </c>
      <c r="Y702" t="s">
        <v>13286</v>
      </c>
      <c r="Z702" t="s">
        <v>13287</v>
      </c>
      <c r="AA702" t="s">
        <v>13288</v>
      </c>
      <c r="AB702" t="s">
        <v>13289</v>
      </c>
      <c r="AC702" t="s">
        <v>13290</v>
      </c>
      <c r="AD702" t="s">
        <v>13291</v>
      </c>
      <c r="AE702" t="s">
        <v>13292</v>
      </c>
      <c r="AF702" t="s">
        <v>74</v>
      </c>
      <c r="AG702">
        <v>58</v>
      </c>
      <c r="AH702">
        <v>13</v>
      </c>
      <c r="AI702">
        <v>14</v>
      </c>
      <c r="AJ702">
        <v>0</v>
      </c>
      <c r="AK702">
        <v>50</v>
      </c>
      <c r="AL702" t="s">
        <v>753</v>
      </c>
      <c r="AM702" t="s">
        <v>124</v>
      </c>
      <c r="AN702" t="s">
        <v>754</v>
      </c>
      <c r="AO702" t="s">
        <v>4427</v>
      </c>
      <c r="AP702" t="s">
        <v>4428</v>
      </c>
      <c r="AQ702" t="s">
        <v>74</v>
      </c>
      <c r="AR702" t="s">
        <v>4429</v>
      </c>
      <c r="AS702" t="s">
        <v>4430</v>
      </c>
      <c r="AT702" t="s">
        <v>11484</v>
      </c>
      <c r="AU702">
        <v>2014</v>
      </c>
      <c r="AV702">
        <v>134</v>
      </c>
      <c r="AW702" t="s">
        <v>74</v>
      </c>
      <c r="AX702" t="s">
        <v>74</v>
      </c>
      <c r="AY702" t="s">
        <v>74</v>
      </c>
      <c r="AZ702" t="s">
        <v>74</v>
      </c>
      <c r="BA702" t="s">
        <v>74</v>
      </c>
      <c r="BB702">
        <v>57</v>
      </c>
      <c r="BC702">
        <v>68</v>
      </c>
      <c r="BD702" t="s">
        <v>74</v>
      </c>
      <c r="BE702" t="s">
        <v>13293</v>
      </c>
      <c r="BF702" t="str">
        <f>HYPERLINK("http://dx.doi.org/10.1016/j.jmarsys.2014.03.004","http://dx.doi.org/10.1016/j.jmarsys.2014.03.004")</f>
        <v>http://dx.doi.org/10.1016/j.jmarsys.2014.03.004</v>
      </c>
      <c r="BG702" t="s">
        <v>74</v>
      </c>
      <c r="BH702" t="s">
        <v>74</v>
      </c>
      <c r="BI702">
        <v>12</v>
      </c>
      <c r="BJ702" t="s">
        <v>4432</v>
      </c>
      <c r="BK702" t="s">
        <v>102</v>
      </c>
      <c r="BL702" t="s">
        <v>4433</v>
      </c>
      <c r="BM702" t="s">
        <v>13294</v>
      </c>
      <c r="BN702" t="s">
        <v>74</v>
      </c>
      <c r="BO702" t="s">
        <v>74</v>
      </c>
      <c r="BP702" t="s">
        <v>74</v>
      </c>
      <c r="BQ702" t="s">
        <v>74</v>
      </c>
      <c r="BR702" t="s">
        <v>105</v>
      </c>
      <c r="BS702" t="s">
        <v>13295</v>
      </c>
      <c r="BT702" t="str">
        <f>HYPERLINK("https%3A%2F%2Fwww.webofscience.com%2Fwos%2Fwoscc%2Ffull-record%2FWOS:000336349200006","View Full Record in Web of Science")</f>
        <v>View Full Record in Web of Science</v>
      </c>
    </row>
    <row r="703" spans="1:72" x14ac:dyDescent="0.15">
      <c r="A703" t="s">
        <v>72</v>
      </c>
      <c r="B703" t="s">
        <v>13296</v>
      </c>
      <c r="C703" t="s">
        <v>74</v>
      </c>
      <c r="D703" t="s">
        <v>74</v>
      </c>
      <c r="E703" t="s">
        <v>74</v>
      </c>
      <c r="F703" t="s">
        <v>13297</v>
      </c>
      <c r="G703" t="s">
        <v>74</v>
      </c>
      <c r="H703" t="s">
        <v>74</v>
      </c>
      <c r="I703" t="s">
        <v>13298</v>
      </c>
      <c r="J703" t="s">
        <v>13299</v>
      </c>
      <c r="K703" t="s">
        <v>74</v>
      </c>
      <c r="L703" t="s">
        <v>74</v>
      </c>
      <c r="M703" t="s">
        <v>78</v>
      </c>
      <c r="N703" t="s">
        <v>79</v>
      </c>
      <c r="O703" t="s">
        <v>74</v>
      </c>
      <c r="P703" t="s">
        <v>74</v>
      </c>
      <c r="Q703" t="s">
        <v>74</v>
      </c>
      <c r="R703" t="s">
        <v>74</v>
      </c>
      <c r="S703" t="s">
        <v>74</v>
      </c>
      <c r="T703" t="s">
        <v>13300</v>
      </c>
      <c r="U703" t="s">
        <v>13301</v>
      </c>
      <c r="V703" t="s">
        <v>13302</v>
      </c>
      <c r="W703" t="s">
        <v>13303</v>
      </c>
      <c r="X703" t="s">
        <v>13304</v>
      </c>
      <c r="Y703" t="s">
        <v>13305</v>
      </c>
      <c r="Z703" t="s">
        <v>13306</v>
      </c>
      <c r="AA703" t="s">
        <v>13307</v>
      </c>
      <c r="AB703" t="s">
        <v>13308</v>
      </c>
      <c r="AC703" t="s">
        <v>13309</v>
      </c>
      <c r="AD703" t="s">
        <v>13310</v>
      </c>
      <c r="AE703" t="s">
        <v>13311</v>
      </c>
      <c r="AF703" t="s">
        <v>74</v>
      </c>
      <c r="AG703">
        <v>57</v>
      </c>
      <c r="AH703">
        <v>6</v>
      </c>
      <c r="AI703">
        <v>6</v>
      </c>
      <c r="AJ703">
        <v>0</v>
      </c>
      <c r="AK703">
        <v>24</v>
      </c>
      <c r="AL703" t="s">
        <v>224</v>
      </c>
      <c r="AM703" t="s">
        <v>576</v>
      </c>
      <c r="AN703" t="s">
        <v>577</v>
      </c>
      <c r="AO703" t="s">
        <v>13312</v>
      </c>
      <c r="AP703" t="s">
        <v>13313</v>
      </c>
      <c r="AQ703" t="s">
        <v>74</v>
      </c>
      <c r="AR703" t="s">
        <v>13314</v>
      </c>
      <c r="AS703" t="s">
        <v>13315</v>
      </c>
      <c r="AT703" t="s">
        <v>11484</v>
      </c>
      <c r="AU703">
        <v>2014</v>
      </c>
      <c r="AV703">
        <v>20</v>
      </c>
      <c r="AW703">
        <v>6</v>
      </c>
      <c r="AX703" t="s">
        <v>74</v>
      </c>
      <c r="AY703" t="s">
        <v>74</v>
      </c>
      <c r="AZ703" t="s">
        <v>74</v>
      </c>
      <c r="BA703" t="s">
        <v>74</v>
      </c>
      <c r="BB703" t="s">
        <v>74</v>
      </c>
      <c r="BC703" t="s">
        <v>74</v>
      </c>
      <c r="BD703">
        <v>2232</v>
      </c>
      <c r="BE703" t="s">
        <v>13316</v>
      </c>
      <c r="BF703" t="str">
        <f>HYPERLINK("http://dx.doi.org/10.1007/s00894-014-2232-6","http://dx.doi.org/10.1007/s00894-014-2232-6")</f>
        <v>http://dx.doi.org/10.1007/s00894-014-2232-6</v>
      </c>
      <c r="BG703" t="s">
        <v>74</v>
      </c>
      <c r="BH703" t="s">
        <v>74</v>
      </c>
      <c r="BI703">
        <v>19</v>
      </c>
      <c r="BJ703" t="s">
        <v>13317</v>
      </c>
      <c r="BK703" t="s">
        <v>102</v>
      </c>
      <c r="BL703" t="s">
        <v>13318</v>
      </c>
      <c r="BM703" t="s">
        <v>13319</v>
      </c>
      <c r="BN703">
        <v>24844391</v>
      </c>
      <c r="BO703" t="s">
        <v>74</v>
      </c>
      <c r="BP703" t="s">
        <v>74</v>
      </c>
      <c r="BQ703" t="s">
        <v>74</v>
      </c>
      <c r="BR703" t="s">
        <v>105</v>
      </c>
      <c r="BS703" t="s">
        <v>13320</v>
      </c>
      <c r="BT703" t="str">
        <f>HYPERLINK("https%3A%2F%2Fwww.webofscience.com%2Fwos%2Fwoscc%2Ffull-record%2FWOS:000338632200047","View Full Record in Web of Science")</f>
        <v>View Full Record in Web of Science</v>
      </c>
    </row>
    <row r="704" spans="1:72" x14ac:dyDescent="0.15">
      <c r="A704" t="s">
        <v>72</v>
      </c>
      <c r="B704" t="s">
        <v>13321</v>
      </c>
      <c r="C704" t="s">
        <v>74</v>
      </c>
      <c r="D704" t="s">
        <v>74</v>
      </c>
      <c r="E704" t="s">
        <v>74</v>
      </c>
      <c r="F704" t="s">
        <v>13322</v>
      </c>
      <c r="G704" t="s">
        <v>74</v>
      </c>
      <c r="H704" t="s">
        <v>74</v>
      </c>
      <c r="I704" t="s">
        <v>13323</v>
      </c>
      <c r="J704" t="s">
        <v>432</v>
      </c>
      <c r="K704" t="s">
        <v>74</v>
      </c>
      <c r="L704" t="s">
        <v>74</v>
      </c>
      <c r="M704" t="s">
        <v>78</v>
      </c>
      <c r="N704" t="s">
        <v>79</v>
      </c>
      <c r="O704" t="s">
        <v>74</v>
      </c>
      <c r="P704" t="s">
        <v>74</v>
      </c>
      <c r="Q704" t="s">
        <v>74</v>
      </c>
      <c r="R704" t="s">
        <v>74</v>
      </c>
      <c r="S704" t="s">
        <v>74</v>
      </c>
      <c r="T704" t="s">
        <v>74</v>
      </c>
      <c r="U704" t="s">
        <v>13324</v>
      </c>
      <c r="V704" t="s">
        <v>13325</v>
      </c>
      <c r="W704" t="s">
        <v>13326</v>
      </c>
      <c r="X704" t="s">
        <v>13327</v>
      </c>
      <c r="Y704" t="s">
        <v>13328</v>
      </c>
      <c r="Z704" t="s">
        <v>13329</v>
      </c>
      <c r="AA704" t="s">
        <v>13330</v>
      </c>
      <c r="AB704" t="s">
        <v>13331</v>
      </c>
      <c r="AC704" t="s">
        <v>13332</v>
      </c>
      <c r="AD704" t="s">
        <v>13333</v>
      </c>
      <c r="AE704" t="s">
        <v>13334</v>
      </c>
      <c r="AF704" t="s">
        <v>74</v>
      </c>
      <c r="AG704">
        <v>72</v>
      </c>
      <c r="AH704">
        <v>39</v>
      </c>
      <c r="AI704">
        <v>42</v>
      </c>
      <c r="AJ704">
        <v>0</v>
      </c>
      <c r="AK704">
        <v>18</v>
      </c>
      <c r="AL704" t="s">
        <v>280</v>
      </c>
      <c r="AM704" t="s">
        <v>281</v>
      </c>
      <c r="AN704" t="s">
        <v>282</v>
      </c>
      <c r="AO704" t="s">
        <v>444</v>
      </c>
      <c r="AP704" t="s">
        <v>445</v>
      </c>
      <c r="AQ704" t="s">
        <v>74</v>
      </c>
      <c r="AR704" t="s">
        <v>446</v>
      </c>
      <c r="AS704" t="s">
        <v>447</v>
      </c>
      <c r="AT704" t="s">
        <v>11484</v>
      </c>
      <c r="AU704">
        <v>2014</v>
      </c>
      <c r="AV704">
        <v>44</v>
      </c>
      <c r="AW704">
        <v>6</v>
      </c>
      <c r="AX704" t="s">
        <v>74</v>
      </c>
      <c r="AY704" t="s">
        <v>74</v>
      </c>
      <c r="AZ704" t="s">
        <v>74</v>
      </c>
      <c r="BA704" t="s">
        <v>74</v>
      </c>
      <c r="BB704">
        <v>1523</v>
      </c>
      <c r="BC704">
        <v>1540</v>
      </c>
      <c r="BD704" t="s">
        <v>74</v>
      </c>
      <c r="BE704" t="s">
        <v>13335</v>
      </c>
      <c r="BF704" t="str">
        <f>HYPERLINK("http://dx.doi.org/10.1175/JPO-D-13-0130.1","http://dx.doi.org/10.1175/JPO-D-13-0130.1")</f>
        <v>http://dx.doi.org/10.1175/JPO-D-13-0130.1</v>
      </c>
      <c r="BG704" t="s">
        <v>74</v>
      </c>
      <c r="BH704" t="s">
        <v>74</v>
      </c>
      <c r="BI704">
        <v>18</v>
      </c>
      <c r="BJ704" t="s">
        <v>152</v>
      </c>
      <c r="BK704" t="s">
        <v>102</v>
      </c>
      <c r="BL704" t="s">
        <v>152</v>
      </c>
      <c r="BM704" t="s">
        <v>12309</v>
      </c>
      <c r="BN704" t="s">
        <v>74</v>
      </c>
      <c r="BO704" t="s">
        <v>2037</v>
      </c>
      <c r="BP704" t="s">
        <v>74</v>
      </c>
      <c r="BQ704" t="s">
        <v>74</v>
      </c>
      <c r="BR704" t="s">
        <v>105</v>
      </c>
      <c r="BS704" t="s">
        <v>13336</v>
      </c>
      <c r="BT704" t="str">
        <f>HYPERLINK("https%3A%2F%2Fwww.webofscience.com%2Fwos%2Fwoscc%2Ffull-record%2FWOS:000336888000002","View Full Record in Web of Science")</f>
        <v>View Full Record in Web of Science</v>
      </c>
    </row>
    <row r="705" spans="1:72" x14ac:dyDescent="0.15">
      <c r="A705" t="s">
        <v>72</v>
      </c>
      <c r="B705" t="s">
        <v>13337</v>
      </c>
      <c r="C705" t="s">
        <v>74</v>
      </c>
      <c r="D705" t="s">
        <v>74</v>
      </c>
      <c r="E705" t="s">
        <v>74</v>
      </c>
      <c r="F705" t="s">
        <v>13338</v>
      </c>
      <c r="G705" t="s">
        <v>74</v>
      </c>
      <c r="H705" t="s">
        <v>74</v>
      </c>
      <c r="I705" t="s">
        <v>13339</v>
      </c>
      <c r="J705" t="s">
        <v>472</v>
      </c>
      <c r="K705" t="s">
        <v>74</v>
      </c>
      <c r="L705" t="s">
        <v>74</v>
      </c>
      <c r="M705" t="s">
        <v>78</v>
      </c>
      <c r="N705" t="s">
        <v>79</v>
      </c>
      <c r="O705" t="s">
        <v>74</v>
      </c>
      <c r="P705" t="s">
        <v>74</v>
      </c>
      <c r="Q705" t="s">
        <v>74</v>
      </c>
      <c r="R705" t="s">
        <v>74</v>
      </c>
      <c r="S705" t="s">
        <v>74</v>
      </c>
      <c r="T705" t="s">
        <v>74</v>
      </c>
      <c r="U705" t="s">
        <v>13340</v>
      </c>
      <c r="V705" t="s">
        <v>13341</v>
      </c>
      <c r="W705" t="s">
        <v>74</v>
      </c>
      <c r="X705" t="s">
        <v>74</v>
      </c>
      <c r="Y705" t="s">
        <v>13342</v>
      </c>
      <c r="Z705" t="s">
        <v>13343</v>
      </c>
      <c r="AA705" t="s">
        <v>74</v>
      </c>
      <c r="AB705" t="s">
        <v>74</v>
      </c>
      <c r="AC705" t="s">
        <v>74</v>
      </c>
      <c r="AD705" t="s">
        <v>74</v>
      </c>
      <c r="AE705" t="s">
        <v>74</v>
      </c>
      <c r="AF705" t="s">
        <v>74</v>
      </c>
      <c r="AG705">
        <v>9</v>
      </c>
      <c r="AH705">
        <v>0</v>
      </c>
      <c r="AI705">
        <v>0</v>
      </c>
      <c r="AJ705">
        <v>0</v>
      </c>
      <c r="AK705">
        <v>0</v>
      </c>
      <c r="AL705" t="s">
        <v>480</v>
      </c>
      <c r="AM705" t="s">
        <v>481</v>
      </c>
      <c r="AN705" t="s">
        <v>482</v>
      </c>
      <c r="AO705" t="s">
        <v>483</v>
      </c>
      <c r="AP705" t="s">
        <v>484</v>
      </c>
      <c r="AQ705" t="s">
        <v>74</v>
      </c>
      <c r="AR705" t="s">
        <v>485</v>
      </c>
      <c r="AS705" t="s">
        <v>486</v>
      </c>
      <c r="AT705" t="s">
        <v>11484</v>
      </c>
      <c r="AU705">
        <v>2014</v>
      </c>
      <c r="AV705">
        <v>8</v>
      </c>
      <c r="AW705">
        <v>3</v>
      </c>
      <c r="AX705" t="s">
        <v>74</v>
      </c>
      <c r="AY705" t="s">
        <v>74</v>
      </c>
      <c r="AZ705" t="s">
        <v>74</v>
      </c>
      <c r="BA705" t="s">
        <v>74</v>
      </c>
      <c r="BB705">
        <v>1981</v>
      </c>
      <c r="BC705">
        <v>1984</v>
      </c>
      <c r="BD705" t="s">
        <v>74</v>
      </c>
      <c r="BE705" t="s">
        <v>74</v>
      </c>
      <c r="BF705" t="s">
        <v>74</v>
      </c>
      <c r="BG705" t="s">
        <v>74</v>
      </c>
      <c r="BH705" t="s">
        <v>74</v>
      </c>
      <c r="BI705">
        <v>4</v>
      </c>
      <c r="BJ705" t="s">
        <v>487</v>
      </c>
      <c r="BK705" t="s">
        <v>488</v>
      </c>
      <c r="BL705" t="s">
        <v>487</v>
      </c>
      <c r="BM705" t="s">
        <v>13344</v>
      </c>
      <c r="BN705" t="s">
        <v>74</v>
      </c>
      <c r="BO705" t="s">
        <v>74</v>
      </c>
      <c r="BP705" t="s">
        <v>74</v>
      </c>
      <c r="BQ705" t="s">
        <v>74</v>
      </c>
      <c r="BR705" t="s">
        <v>105</v>
      </c>
      <c r="BS705" t="s">
        <v>13345</v>
      </c>
      <c r="BT705" t="str">
        <f>HYPERLINK("https%3A%2F%2Fwww.webofscience.com%2Fwos%2Fwoscc%2Ffull-record%2FWOS:000339645400027","View Full Record in Web of Science")</f>
        <v>View Full Record in Web of Science</v>
      </c>
    </row>
    <row r="706" spans="1:72" x14ac:dyDescent="0.15">
      <c r="A706" t="s">
        <v>72</v>
      </c>
      <c r="B706" t="s">
        <v>13346</v>
      </c>
      <c r="C706" t="s">
        <v>74</v>
      </c>
      <c r="D706" t="s">
        <v>74</v>
      </c>
      <c r="E706" t="s">
        <v>74</v>
      </c>
      <c r="F706" t="s">
        <v>13347</v>
      </c>
      <c r="G706" t="s">
        <v>74</v>
      </c>
      <c r="H706" t="s">
        <v>74</v>
      </c>
      <c r="I706" t="s">
        <v>13348</v>
      </c>
      <c r="J706" t="s">
        <v>13349</v>
      </c>
      <c r="K706" t="s">
        <v>74</v>
      </c>
      <c r="L706" t="s">
        <v>74</v>
      </c>
      <c r="M706" t="s">
        <v>78</v>
      </c>
      <c r="N706" t="s">
        <v>79</v>
      </c>
      <c r="O706" t="s">
        <v>74</v>
      </c>
      <c r="P706" t="s">
        <v>74</v>
      </c>
      <c r="Q706" t="s">
        <v>74</v>
      </c>
      <c r="R706" t="s">
        <v>74</v>
      </c>
      <c r="S706" t="s">
        <v>74</v>
      </c>
      <c r="T706" t="s">
        <v>13350</v>
      </c>
      <c r="U706" t="s">
        <v>13351</v>
      </c>
      <c r="V706" t="s">
        <v>13352</v>
      </c>
      <c r="W706" t="s">
        <v>13353</v>
      </c>
      <c r="X706" t="s">
        <v>13354</v>
      </c>
      <c r="Y706" t="s">
        <v>13355</v>
      </c>
      <c r="Z706" t="s">
        <v>13356</v>
      </c>
      <c r="AA706" t="s">
        <v>13357</v>
      </c>
      <c r="AB706" t="s">
        <v>13358</v>
      </c>
      <c r="AC706" t="s">
        <v>13359</v>
      </c>
      <c r="AD706" t="s">
        <v>13360</v>
      </c>
      <c r="AE706" t="s">
        <v>13361</v>
      </c>
      <c r="AF706" t="s">
        <v>74</v>
      </c>
      <c r="AG706">
        <v>26</v>
      </c>
      <c r="AH706">
        <v>21</v>
      </c>
      <c r="AI706">
        <v>22</v>
      </c>
      <c r="AJ706">
        <v>0</v>
      </c>
      <c r="AK706">
        <v>23</v>
      </c>
      <c r="AL706" t="s">
        <v>171</v>
      </c>
      <c r="AM706" t="s">
        <v>93</v>
      </c>
      <c r="AN706" t="s">
        <v>94</v>
      </c>
      <c r="AO706" t="s">
        <v>13362</v>
      </c>
      <c r="AP706" t="s">
        <v>13363</v>
      </c>
      <c r="AQ706" t="s">
        <v>74</v>
      </c>
      <c r="AR706" t="s">
        <v>13364</v>
      </c>
      <c r="AS706" t="s">
        <v>13365</v>
      </c>
      <c r="AT706" t="s">
        <v>11484</v>
      </c>
      <c r="AU706">
        <v>2014</v>
      </c>
      <c r="AV706">
        <v>12</v>
      </c>
      <c r="AW706">
        <v>6</v>
      </c>
      <c r="AX706" t="s">
        <v>74</v>
      </c>
      <c r="AY706" t="s">
        <v>74</v>
      </c>
      <c r="AZ706" t="s">
        <v>74</v>
      </c>
      <c r="BA706" t="s">
        <v>74</v>
      </c>
      <c r="BB706">
        <v>902</v>
      </c>
      <c r="BC706">
        <v>909</v>
      </c>
      <c r="BD706" t="s">
        <v>74</v>
      </c>
      <c r="BE706" t="s">
        <v>13366</v>
      </c>
      <c r="BF706" t="str">
        <f>HYPERLINK("http://dx.doi.org/10.1111/jth.12564","http://dx.doi.org/10.1111/jth.12564")</f>
        <v>http://dx.doi.org/10.1111/jth.12564</v>
      </c>
      <c r="BG706" t="s">
        <v>74</v>
      </c>
      <c r="BH706" t="s">
        <v>74</v>
      </c>
      <c r="BI706">
        <v>8</v>
      </c>
      <c r="BJ706" t="s">
        <v>13367</v>
      </c>
      <c r="BK706" t="s">
        <v>102</v>
      </c>
      <c r="BL706" t="s">
        <v>13368</v>
      </c>
      <c r="BM706" t="s">
        <v>13369</v>
      </c>
      <c r="BN706">
        <v>24641328</v>
      </c>
      <c r="BO706" t="s">
        <v>289</v>
      </c>
      <c r="BP706" t="s">
        <v>74</v>
      </c>
      <c r="BQ706" t="s">
        <v>74</v>
      </c>
      <c r="BR706" t="s">
        <v>105</v>
      </c>
      <c r="BS706" t="s">
        <v>13370</v>
      </c>
      <c r="BT706" t="str">
        <f>HYPERLINK("https%3A%2F%2Fwww.webofscience.com%2Fwos%2Fwoscc%2Ffull-record%2FWOS:000337691200015","View Full Record in Web of Science")</f>
        <v>View Full Record in Web of Science</v>
      </c>
    </row>
    <row r="707" spans="1:72" x14ac:dyDescent="0.15">
      <c r="A707" t="s">
        <v>72</v>
      </c>
      <c r="B707" t="s">
        <v>13371</v>
      </c>
      <c r="C707" t="s">
        <v>74</v>
      </c>
      <c r="D707" t="s">
        <v>74</v>
      </c>
      <c r="E707" t="s">
        <v>74</v>
      </c>
      <c r="F707" t="s">
        <v>13372</v>
      </c>
      <c r="G707" t="s">
        <v>74</v>
      </c>
      <c r="H707" t="s">
        <v>74</v>
      </c>
      <c r="I707" t="s">
        <v>13373</v>
      </c>
      <c r="J707" t="s">
        <v>13374</v>
      </c>
      <c r="K707" t="s">
        <v>74</v>
      </c>
      <c r="L707" t="s">
        <v>74</v>
      </c>
      <c r="M707" t="s">
        <v>78</v>
      </c>
      <c r="N707" t="s">
        <v>79</v>
      </c>
      <c r="O707" t="s">
        <v>74</v>
      </c>
      <c r="P707" t="s">
        <v>74</v>
      </c>
      <c r="Q707" t="s">
        <v>74</v>
      </c>
      <c r="R707" t="s">
        <v>74</v>
      </c>
      <c r="S707" t="s">
        <v>74</v>
      </c>
      <c r="T707" t="s">
        <v>74</v>
      </c>
      <c r="U707" t="s">
        <v>13375</v>
      </c>
      <c r="V707" t="s">
        <v>13376</v>
      </c>
      <c r="W707" t="s">
        <v>13377</v>
      </c>
      <c r="X707" t="s">
        <v>13378</v>
      </c>
      <c r="Y707" t="s">
        <v>13379</v>
      </c>
      <c r="Z707" t="s">
        <v>13380</v>
      </c>
      <c r="AA707" t="s">
        <v>13381</v>
      </c>
      <c r="AB707" t="s">
        <v>13382</v>
      </c>
      <c r="AC707" t="s">
        <v>13383</v>
      </c>
      <c r="AD707" t="s">
        <v>13384</v>
      </c>
      <c r="AE707" t="s">
        <v>13385</v>
      </c>
      <c r="AF707" t="s">
        <v>74</v>
      </c>
      <c r="AG707">
        <v>66</v>
      </c>
      <c r="AH707">
        <v>45</v>
      </c>
      <c r="AI707">
        <v>49</v>
      </c>
      <c r="AJ707">
        <v>2</v>
      </c>
      <c r="AK707">
        <v>44</v>
      </c>
      <c r="AL707" t="s">
        <v>171</v>
      </c>
      <c r="AM707" t="s">
        <v>93</v>
      </c>
      <c r="AN707" t="s">
        <v>94</v>
      </c>
      <c r="AO707" t="s">
        <v>13386</v>
      </c>
      <c r="AP707" t="s">
        <v>74</v>
      </c>
      <c r="AQ707" t="s">
        <v>74</v>
      </c>
      <c r="AR707" t="s">
        <v>13387</v>
      </c>
      <c r="AS707" t="s">
        <v>13388</v>
      </c>
      <c r="AT707" t="s">
        <v>11484</v>
      </c>
      <c r="AU707">
        <v>2014</v>
      </c>
      <c r="AV707">
        <v>12</v>
      </c>
      <c r="AW707" t="s">
        <v>74</v>
      </c>
      <c r="AX707" t="s">
        <v>74</v>
      </c>
      <c r="AY707" t="s">
        <v>74</v>
      </c>
      <c r="AZ707" t="s">
        <v>74</v>
      </c>
      <c r="BA707" t="s">
        <v>74</v>
      </c>
      <c r="BB707">
        <v>373</v>
      </c>
      <c r="BC707">
        <v>389</v>
      </c>
      <c r="BD707" t="s">
        <v>74</v>
      </c>
      <c r="BE707" t="s">
        <v>13389</v>
      </c>
      <c r="BF707" t="str">
        <f>HYPERLINK("http://dx.doi.org/10.4319/lom.2014.12.373","http://dx.doi.org/10.4319/lom.2014.12.373")</f>
        <v>http://dx.doi.org/10.4319/lom.2014.12.373</v>
      </c>
      <c r="BG707" t="s">
        <v>74</v>
      </c>
      <c r="BH707" t="s">
        <v>74</v>
      </c>
      <c r="BI707">
        <v>17</v>
      </c>
      <c r="BJ707" t="s">
        <v>8868</v>
      </c>
      <c r="BK707" t="s">
        <v>102</v>
      </c>
      <c r="BL707" t="s">
        <v>2511</v>
      </c>
      <c r="BM707" t="s">
        <v>13390</v>
      </c>
      <c r="BN707" t="s">
        <v>74</v>
      </c>
      <c r="BO707" t="s">
        <v>179</v>
      </c>
      <c r="BP707" t="s">
        <v>74</v>
      </c>
      <c r="BQ707" t="s">
        <v>74</v>
      </c>
      <c r="BR707" t="s">
        <v>105</v>
      </c>
      <c r="BS707" t="s">
        <v>13391</v>
      </c>
      <c r="BT707" t="str">
        <f>HYPERLINK("https%3A%2F%2Fwww.webofscience.com%2Fwos%2Fwoscc%2Ffull-record%2FWOS:000339548800004","View Full Record in Web of Science")</f>
        <v>View Full Record in Web of Science</v>
      </c>
    </row>
    <row r="708" spans="1:72" x14ac:dyDescent="0.15">
      <c r="A708" t="s">
        <v>72</v>
      </c>
      <c r="B708" t="s">
        <v>13392</v>
      </c>
      <c r="C708" t="s">
        <v>74</v>
      </c>
      <c r="D708" t="s">
        <v>74</v>
      </c>
      <c r="E708" t="s">
        <v>74</v>
      </c>
      <c r="F708" t="s">
        <v>13393</v>
      </c>
      <c r="G708" t="s">
        <v>74</v>
      </c>
      <c r="H708" t="s">
        <v>74</v>
      </c>
      <c r="I708" t="s">
        <v>13394</v>
      </c>
      <c r="J708" t="s">
        <v>5914</v>
      </c>
      <c r="K708" t="s">
        <v>74</v>
      </c>
      <c r="L708" t="s">
        <v>74</v>
      </c>
      <c r="M708" t="s">
        <v>78</v>
      </c>
      <c r="N708" t="s">
        <v>79</v>
      </c>
      <c r="O708" t="s">
        <v>74</v>
      </c>
      <c r="P708" t="s">
        <v>74</v>
      </c>
      <c r="Q708" t="s">
        <v>74</v>
      </c>
      <c r="R708" t="s">
        <v>74</v>
      </c>
      <c r="S708" t="s">
        <v>74</v>
      </c>
      <c r="T708" t="s">
        <v>74</v>
      </c>
      <c r="U708" t="s">
        <v>13395</v>
      </c>
      <c r="V708" t="s">
        <v>13396</v>
      </c>
      <c r="W708" t="s">
        <v>13397</v>
      </c>
      <c r="X708" t="s">
        <v>13398</v>
      </c>
      <c r="Y708" t="s">
        <v>13399</v>
      </c>
      <c r="Z708" t="s">
        <v>13400</v>
      </c>
      <c r="AA708" t="s">
        <v>13401</v>
      </c>
      <c r="AB708" t="s">
        <v>13402</v>
      </c>
      <c r="AC708" t="s">
        <v>13403</v>
      </c>
      <c r="AD708" t="s">
        <v>13404</v>
      </c>
      <c r="AE708" t="s">
        <v>13405</v>
      </c>
      <c r="AF708" t="s">
        <v>74</v>
      </c>
      <c r="AG708">
        <v>98</v>
      </c>
      <c r="AH708">
        <v>20</v>
      </c>
      <c r="AI708">
        <v>26</v>
      </c>
      <c r="AJ708">
        <v>1</v>
      </c>
      <c r="AK708">
        <v>27</v>
      </c>
      <c r="AL708" t="s">
        <v>304</v>
      </c>
      <c r="AM708" t="s">
        <v>305</v>
      </c>
      <c r="AN708" t="s">
        <v>306</v>
      </c>
      <c r="AO708" t="s">
        <v>5926</v>
      </c>
      <c r="AP708" t="s">
        <v>5927</v>
      </c>
      <c r="AQ708" t="s">
        <v>74</v>
      </c>
      <c r="AR708" t="s">
        <v>5928</v>
      </c>
      <c r="AS708" t="s">
        <v>5929</v>
      </c>
      <c r="AT708" t="s">
        <v>11484</v>
      </c>
      <c r="AU708">
        <v>2014</v>
      </c>
      <c r="AV708">
        <v>161</v>
      </c>
      <c r="AW708">
        <v>6</v>
      </c>
      <c r="AX708" t="s">
        <v>74</v>
      </c>
      <c r="AY708" t="s">
        <v>74</v>
      </c>
      <c r="AZ708" t="s">
        <v>74</v>
      </c>
      <c r="BA708" t="s">
        <v>74</v>
      </c>
      <c r="BB708">
        <v>1361</v>
      </c>
      <c r="BC708">
        <v>1374</v>
      </c>
      <c r="BD708" t="s">
        <v>74</v>
      </c>
      <c r="BE708" t="s">
        <v>13406</v>
      </c>
      <c r="BF708" t="str">
        <f>HYPERLINK("http://dx.doi.org/10.1007/s00227-014-2424-8","http://dx.doi.org/10.1007/s00227-014-2424-8")</f>
        <v>http://dx.doi.org/10.1007/s00227-014-2424-8</v>
      </c>
      <c r="BG708" t="s">
        <v>74</v>
      </c>
      <c r="BH708" t="s">
        <v>74</v>
      </c>
      <c r="BI708">
        <v>14</v>
      </c>
      <c r="BJ708" t="s">
        <v>130</v>
      </c>
      <c r="BK708" t="s">
        <v>102</v>
      </c>
      <c r="BL708" t="s">
        <v>130</v>
      </c>
      <c r="BM708" t="s">
        <v>13407</v>
      </c>
      <c r="BN708" t="s">
        <v>74</v>
      </c>
      <c r="BO708" t="s">
        <v>74</v>
      </c>
      <c r="BP708" t="s">
        <v>74</v>
      </c>
      <c r="BQ708" t="s">
        <v>74</v>
      </c>
      <c r="BR708" t="s">
        <v>105</v>
      </c>
      <c r="BS708" t="s">
        <v>13408</v>
      </c>
      <c r="BT708" t="str">
        <f>HYPERLINK("https%3A%2F%2Fwww.webofscience.com%2Fwos%2Fwoscc%2Ffull-record%2FWOS:000336806700013","View Full Record in Web of Science")</f>
        <v>View Full Record in Web of Science</v>
      </c>
    </row>
    <row r="709" spans="1:72" x14ac:dyDescent="0.15">
      <c r="A709" t="s">
        <v>72</v>
      </c>
      <c r="B709" t="s">
        <v>13409</v>
      </c>
      <c r="C709" t="s">
        <v>74</v>
      </c>
      <c r="D709" t="s">
        <v>74</v>
      </c>
      <c r="E709" t="s">
        <v>74</v>
      </c>
      <c r="F709" t="s">
        <v>13410</v>
      </c>
      <c r="G709" t="s">
        <v>74</v>
      </c>
      <c r="H709" t="s">
        <v>74</v>
      </c>
      <c r="I709" t="s">
        <v>13411</v>
      </c>
      <c r="J709" t="s">
        <v>13412</v>
      </c>
      <c r="K709" t="s">
        <v>74</v>
      </c>
      <c r="L709" t="s">
        <v>74</v>
      </c>
      <c r="M709" t="s">
        <v>78</v>
      </c>
      <c r="N709" t="s">
        <v>79</v>
      </c>
      <c r="O709" t="s">
        <v>74</v>
      </c>
      <c r="P709" t="s">
        <v>74</v>
      </c>
      <c r="Q709" t="s">
        <v>74</v>
      </c>
      <c r="R709" t="s">
        <v>74</v>
      </c>
      <c r="S709" t="s">
        <v>74</v>
      </c>
      <c r="T709" t="s">
        <v>13413</v>
      </c>
      <c r="U709" t="s">
        <v>13414</v>
      </c>
      <c r="V709" t="s">
        <v>13415</v>
      </c>
      <c r="W709" t="s">
        <v>13416</v>
      </c>
      <c r="X709" t="s">
        <v>13417</v>
      </c>
      <c r="Y709" t="s">
        <v>13418</v>
      </c>
      <c r="Z709" t="s">
        <v>13419</v>
      </c>
      <c r="AA709" t="s">
        <v>13420</v>
      </c>
      <c r="AB709" t="s">
        <v>13421</v>
      </c>
      <c r="AC709" t="s">
        <v>13422</v>
      </c>
      <c r="AD709" t="s">
        <v>13423</v>
      </c>
      <c r="AE709" t="s">
        <v>13424</v>
      </c>
      <c r="AF709" t="s">
        <v>74</v>
      </c>
      <c r="AG709">
        <v>14</v>
      </c>
      <c r="AH709">
        <v>34</v>
      </c>
      <c r="AI709">
        <v>35</v>
      </c>
      <c r="AJ709">
        <v>0</v>
      </c>
      <c r="AK709">
        <v>34</v>
      </c>
      <c r="AL709" t="s">
        <v>123</v>
      </c>
      <c r="AM709" t="s">
        <v>124</v>
      </c>
      <c r="AN709" t="s">
        <v>125</v>
      </c>
      <c r="AO709" t="s">
        <v>13425</v>
      </c>
      <c r="AP709" t="s">
        <v>13426</v>
      </c>
      <c r="AQ709" t="s">
        <v>74</v>
      </c>
      <c r="AR709" t="s">
        <v>13427</v>
      </c>
      <c r="AS709" t="s">
        <v>13428</v>
      </c>
      <c r="AT709" t="s">
        <v>11484</v>
      </c>
      <c r="AU709">
        <v>2014</v>
      </c>
      <c r="AV709">
        <v>15</v>
      </c>
      <c r="AW709" t="s">
        <v>74</v>
      </c>
      <c r="AX709" t="s">
        <v>74</v>
      </c>
      <c r="AY709" t="s">
        <v>74</v>
      </c>
      <c r="AZ709" t="s">
        <v>74</v>
      </c>
      <c r="BA709" t="s">
        <v>74</v>
      </c>
      <c r="BB709">
        <v>3</v>
      </c>
      <c r="BC709">
        <v>4</v>
      </c>
      <c r="BD709" t="s">
        <v>74</v>
      </c>
      <c r="BE709" t="s">
        <v>13429</v>
      </c>
      <c r="BF709" t="str">
        <f>HYPERLINK("http://dx.doi.org/10.1016/j.margen.2014.03.006","http://dx.doi.org/10.1016/j.margen.2014.03.006")</f>
        <v>http://dx.doi.org/10.1016/j.margen.2014.03.006</v>
      </c>
      <c r="BG709" t="s">
        <v>74</v>
      </c>
      <c r="BH709" t="s">
        <v>74</v>
      </c>
      <c r="BI709">
        <v>2</v>
      </c>
      <c r="BJ709" t="s">
        <v>13430</v>
      </c>
      <c r="BK709" t="s">
        <v>102</v>
      </c>
      <c r="BL709" t="s">
        <v>13430</v>
      </c>
      <c r="BM709" t="s">
        <v>13431</v>
      </c>
      <c r="BN709">
        <v>24731930</v>
      </c>
      <c r="BO709" t="s">
        <v>262</v>
      </c>
      <c r="BP709" t="s">
        <v>74</v>
      </c>
      <c r="BQ709" t="s">
        <v>74</v>
      </c>
      <c r="BR709" t="s">
        <v>105</v>
      </c>
      <c r="BS709" t="s">
        <v>13432</v>
      </c>
      <c r="BT709" t="str">
        <f>HYPERLINK("https%3A%2F%2Fwww.webofscience.com%2Fwos%2Fwoscc%2Ffull-record%2FWOS:000338606500002","View Full Record in Web of Science")</f>
        <v>View Full Record in Web of Science</v>
      </c>
    </row>
    <row r="710" spans="1:72" x14ac:dyDescent="0.15">
      <c r="A710" t="s">
        <v>72</v>
      </c>
      <c r="B710" t="s">
        <v>13433</v>
      </c>
      <c r="C710" t="s">
        <v>74</v>
      </c>
      <c r="D710" t="s">
        <v>74</v>
      </c>
      <c r="E710" t="s">
        <v>74</v>
      </c>
      <c r="F710" t="s">
        <v>13434</v>
      </c>
      <c r="G710" t="s">
        <v>74</v>
      </c>
      <c r="H710" t="s">
        <v>74</v>
      </c>
      <c r="I710" t="s">
        <v>13435</v>
      </c>
      <c r="J710" t="s">
        <v>2883</v>
      </c>
      <c r="K710" t="s">
        <v>74</v>
      </c>
      <c r="L710" t="s">
        <v>74</v>
      </c>
      <c r="M710" t="s">
        <v>78</v>
      </c>
      <c r="N710" t="s">
        <v>185</v>
      </c>
      <c r="O710" t="s">
        <v>74</v>
      </c>
      <c r="P710" t="s">
        <v>74</v>
      </c>
      <c r="Q710" t="s">
        <v>74</v>
      </c>
      <c r="R710" t="s">
        <v>74</v>
      </c>
      <c r="S710" t="s">
        <v>74</v>
      </c>
      <c r="T710" t="s">
        <v>13436</v>
      </c>
      <c r="U710" t="s">
        <v>13437</v>
      </c>
      <c r="V710" t="s">
        <v>13438</v>
      </c>
      <c r="W710" t="s">
        <v>13439</v>
      </c>
      <c r="X710" t="s">
        <v>13440</v>
      </c>
      <c r="Y710" t="s">
        <v>13441</v>
      </c>
      <c r="Z710" t="s">
        <v>13442</v>
      </c>
      <c r="AA710" t="s">
        <v>13443</v>
      </c>
      <c r="AB710" t="s">
        <v>13444</v>
      </c>
      <c r="AC710" t="s">
        <v>13445</v>
      </c>
      <c r="AD710" t="s">
        <v>13446</v>
      </c>
      <c r="AE710" t="s">
        <v>13447</v>
      </c>
      <c r="AF710" t="s">
        <v>74</v>
      </c>
      <c r="AG710">
        <v>513</v>
      </c>
      <c r="AH710">
        <v>534</v>
      </c>
      <c r="AI710">
        <v>606</v>
      </c>
      <c r="AJ710">
        <v>10</v>
      </c>
      <c r="AK710">
        <v>161</v>
      </c>
      <c r="AL710" t="s">
        <v>753</v>
      </c>
      <c r="AM710" t="s">
        <v>124</v>
      </c>
      <c r="AN710" t="s">
        <v>754</v>
      </c>
      <c r="AO710" t="s">
        <v>2896</v>
      </c>
      <c r="AP710" t="s">
        <v>2897</v>
      </c>
      <c r="AQ710" t="s">
        <v>74</v>
      </c>
      <c r="AR710" t="s">
        <v>2898</v>
      </c>
      <c r="AS710" t="s">
        <v>2899</v>
      </c>
      <c r="AT710" t="s">
        <v>13138</v>
      </c>
      <c r="AU710">
        <v>2014</v>
      </c>
      <c r="AV710">
        <v>352</v>
      </c>
      <c r="AW710" t="s">
        <v>74</v>
      </c>
      <c r="AX710" t="s">
        <v>74</v>
      </c>
      <c r="AY710" t="s">
        <v>74</v>
      </c>
      <c r="AZ710" t="s">
        <v>258</v>
      </c>
      <c r="BA710" t="s">
        <v>74</v>
      </c>
      <c r="BB710">
        <v>111</v>
      </c>
      <c r="BC710">
        <v>154</v>
      </c>
      <c r="BD710" t="s">
        <v>74</v>
      </c>
      <c r="BE710" t="s">
        <v>13448</v>
      </c>
      <c r="BF710" t="str">
        <f>HYPERLINK("http://dx.doi.org/10.1016/j.margeo.2014.03.011","http://dx.doi.org/10.1016/j.margeo.2014.03.011")</f>
        <v>http://dx.doi.org/10.1016/j.margeo.2014.03.011</v>
      </c>
      <c r="BG710" t="s">
        <v>74</v>
      </c>
      <c r="BH710" t="s">
        <v>74</v>
      </c>
      <c r="BI710">
        <v>44</v>
      </c>
      <c r="BJ710" t="s">
        <v>2901</v>
      </c>
      <c r="BK710" t="s">
        <v>102</v>
      </c>
      <c r="BL710" t="s">
        <v>2902</v>
      </c>
      <c r="BM710" t="s">
        <v>13449</v>
      </c>
      <c r="BN710" t="s">
        <v>74</v>
      </c>
      <c r="BO710" t="s">
        <v>2647</v>
      </c>
      <c r="BP710" t="s">
        <v>3371</v>
      </c>
      <c r="BQ710" t="s">
        <v>3372</v>
      </c>
      <c r="BR710" t="s">
        <v>105</v>
      </c>
      <c r="BS710" t="s">
        <v>13450</v>
      </c>
      <c r="BT710" t="str">
        <f>HYPERLINK("https%3A%2F%2Fwww.webofscience.com%2Fwos%2Fwoscc%2Ffull-record%2FWOS:000338802700008","View Full Record in Web of Science")</f>
        <v>View Full Record in Web of Science</v>
      </c>
    </row>
    <row r="711" spans="1:72" x14ac:dyDescent="0.15">
      <c r="A711" t="s">
        <v>72</v>
      </c>
      <c r="B711" t="s">
        <v>13451</v>
      </c>
      <c r="C711" t="s">
        <v>74</v>
      </c>
      <c r="D711" t="s">
        <v>74</v>
      </c>
      <c r="E711" t="s">
        <v>74</v>
      </c>
      <c r="F711" t="s">
        <v>13452</v>
      </c>
      <c r="G711" t="s">
        <v>74</v>
      </c>
      <c r="H711" t="s">
        <v>74</v>
      </c>
      <c r="I711" t="s">
        <v>13453</v>
      </c>
      <c r="J711" t="s">
        <v>6280</v>
      </c>
      <c r="K711" t="s">
        <v>74</v>
      </c>
      <c r="L711" t="s">
        <v>74</v>
      </c>
      <c r="M711" t="s">
        <v>78</v>
      </c>
      <c r="N711" t="s">
        <v>79</v>
      </c>
      <c r="O711" t="s">
        <v>74</v>
      </c>
      <c r="P711" t="s">
        <v>74</v>
      </c>
      <c r="Q711" t="s">
        <v>74</v>
      </c>
      <c r="R711" t="s">
        <v>74</v>
      </c>
      <c r="S711" t="s">
        <v>74</v>
      </c>
      <c r="T711" t="s">
        <v>13454</v>
      </c>
      <c r="U711" t="s">
        <v>13455</v>
      </c>
      <c r="V711" t="s">
        <v>13456</v>
      </c>
      <c r="W711" t="s">
        <v>13457</v>
      </c>
      <c r="X711" t="s">
        <v>13458</v>
      </c>
      <c r="Y711" t="s">
        <v>13459</v>
      </c>
      <c r="Z711" t="s">
        <v>13460</v>
      </c>
      <c r="AA711" t="s">
        <v>13461</v>
      </c>
      <c r="AB711" t="s">
        <v>13462</v>
      </c>
      <c r="AC711" t="s">
        <v>13463</v>
      </c>
      <c r="AD711" t="s">
        <v>13464</v>
      </c>
      <c r="AE711" t="s">
        <v>13465</v>
      </c>
      <c r="AF711" t="s">
        <v>74</v>
      </c>
      <c r="AG711">
        <v>93</v>
      </c>
      <c r="AH711">
        <v>67</v>
      </c>
      <c r="AI711">
        <v>72</v>
      </c>
      <c r="AJ711">
        <v>4</v>
      </c>
      <c r="AK711">
        <v>66</v>
      </c>
      <c r="AL711" t="s">
        <v>171</v>
      </c>
      <c r="AM711" t="s">
        <v>93</v>
      </c>
      <c r="AN711" t="s">
        <v>94</v>
      </c>
      <c r="AO711" t="s">
        <v>6292</v>
      </c>
      <c r="AP711" t="s">
        <v>6293</v>
      </c>
      <c r="AQ711" t="s">
        <v>74</v>
      </c>
      <c r="AR711" t="s">
        <v>6294</v>
      </c>
      <c r="AS711" t="s">
        <v>6295</v>
      </c>
      <c r="AT711" t="s">
        <v>11484</v>
      </c>
      <c r="AU711">
        <v>2014</v>
      </c>
      <c r="AV711">
        <v>23</v>
      </c>
      <c r="AW711">
        <v>12</v>
      </c>
      <c r="AX711" t="s">
        <v>74</v>
      </c>
      <c r="AY711" t="s">
        <v>74</v>
      </c>
      <c r="AZ711" t="s">
        <v>74</v>
      </c>
      <c r="BA711" t="s">
        <v>74</v>
      </c>
      <c r="BB711">
        <v>3113</v>
      </c>
      <c r="BC711">
        <v>3126</v>
      </c>
      <c r="BD711" t="s">
        <v>74</v>
      </c>
      <c r="BE711" t="s">
        <v>13466</v>
      </c>
      <c r="BF711" t="str">
        <f>HYPERLINK("http://dx.doi.org/10.1111/mec.12801","http://dx.doi.org/10.1111/mec.12801")</f>
        <v>http://dx.doi.org/10.1111/mec.12801</v>
      </c>
      <c r="BG711" t="s">
        <v>74</v>
      </c>
      <c r="BH711" t="s">
        <v>74</v>
      </c>
      <c r="BI711">
        <v>14</v>
      </c>
      <c r="BJ711" t="s">
        <v>3983</v>
      </c>
      <c r="BK711" t="s">
        <v>102</v>
      </c>
      <c r="BL711" t="s">
        <v>3984</v>
      </c>
      <c r="BM711" t="s">
        <v>13467</v>
      </c>
      <c r="BN711">
        <v>24845644</v>
      </c>
      <c r="BO711" t="s">
        <v>74</v>
      </c>
      <c r="BP711" t="s">
        <v>74</v>
      </c>
      <c r="BQ711" t="s">
        <v>74</v>
      </c>
      <c r="BR711" t="s">
        <v>105</v>
      </c>
      <c r="BS711" t="s">
        <v>13468</v>
      </c>
      <c r="BT711" t="str">
        <f>HYPERLINK("https%3A%2F%2Fwww.webofscience.com%2Fwos%2Fwoscc%2Ffull-record%2FWOS:000337610600017","View Full Record in Web of Science")</f>
        <v>View Full Record in Web of Science</v>
      </c>
    </row>
    <row r="712" spans="1:72" x14ac:dyDescent="0.15">
      <c r="A712" t="s">
        <v>72</v>
      </c>
      <c r="B712" t="s">
        <v>13469</v>
      </c>
      <c r="C712" t="s">
        <v>74</v>
      </c>
      <c r="D712" t="s">
        <v>74</v>
      </c>
      <c r="E712" t="s">
        <v>74</v>
      </c>
      <c r="F712" t="s">
        <v>13470</v>
      </c>
      <c r="G712" t="s">
        <v>74</v>
      </c>
      <c r="H712" t="s">
        <v>74</v>
      </c>
      <c r="I712" t="s">
        <v>13471</v>
      </c>
      <c r="J712" t="s">
        <v>641</v>
      </c>
      <c r="K712" t="s">
        <v>74</v>
      </c>
      <c r="L712" t="s">
        <v>74</v>
      </c>
      <c r="M712" t="s">
        <v>78</v>
      </c>
      <c r="N712" t="s">
        <v>79</v>
      </c>
      <c r="O712" t="s">
        <v>74</v>
      </c>
      <c r="P712" t="s">
        <v>74</v>
      </c>
      <c r="Q712" t="s">
        <v>74</v>
      </c>
      <c r="R712" t="s">
        <v>74</v>
      </c>
      <c r="S712" t="s">
        <v>74</v>
      </c>
      <c r="T712" t="s">
        <v>74</v>
      </c>
      <c r="U712" t="s">
        <v>13472</v>
      </c>
      <c r="V712" t="s">
        <v>13473</v>
      </c>
      <c r="W712" t="s">
        <v>13474</v>
      </c>
      <c r="X712" t="s">
        <v>13475</v>
      </c>
      <c r="Y712" t="s">
        <v>13476</v>
      </c>
      <c r="Z712" t="s">
        <v>13477</v>
      </c>
      <c r="AA712" t="s">
        <v>13478</v>
      </c>
      <c r="AB712" t="s">
        <v>13479</v>
      </c>
      <c r="AC712" t="s">
        <v>13480</v>
      </c>
      <c r="AD712" t="s">
        <v>13481</v>
      </c>
      <c r="AE712" t="s">
        <v>13482</v>
      </c>
      <c r="AF712" t="s">
        <v>74</v>
      </c>
      <c r="AG712">
        <v>64</v>
      </c>
      <c r="AH712">
        <v>57</v>
      </c>
      <c r="AI712">
        <v>59</v>
      </c>
      <c r="AJ712">
        <v>0</v>
      </c>
      <c r="AK712">
        <v>36</v>
      </c>
      <c r="AL712" t="s">
        <v>653</v>
      </c>
      <c r="AM712" t="s">
        <v>654</v>
      </c>
      <c r="AN712" t="s">
        <v>655</v>
      </c>
      <c r="AO712" t="s">
        <v>656</v>
      </c>
      <c r="AP712" t="s">
        <v>74</v>
      </c>
      <c r="AQ712" t="s">
        <v>74</v>
      </c>
      <c r="AR712" t="s">
        <v>657</v>
      </c>
      <c r="AS712" t="s">
        <v>658</v>
      </c>
      <c r="AT712" t="s">
        <v>11484</v>
      </c>
      <c r="AU712">
        <v>2014</v>
      </c>
      <c r="AV712">
        <v>5</v>
      </c>
      <c r="AW712" t="s">
        <v>74</v>
      </c>
      <c r="AX712" t="s">
        <v>74</v>
      </c>
      <c r="AY712" t="s">
        <v>74</v>
      </c>
      <c r="AZ712" t="s">
        <v>74</v>
      </c>
      <c r="BA712" t="s">
        <v>74</v>
      </c>
      <c r="BB712" t="s">
        <v>74</v>
      </c>
      <c r="BC712" t="s">
        <v>74</v>
      </c>
      <c r="BD712">
        <v>4102</v>
      </c>
      <c r="BE712" t="s">
        <v>13483</v>
      </c>
      <c r="BF712" t="str">
        <f>HYPERLINK("http://dx.doi.org/10.1038/ncomms5102","http://dx.doi.org/10.1038/ncomms5102")</f>
        <v>http://dx.doi.org/10.1038/ncomms5102</v>
      </c>
      <c r="BG712" t="s">
        <v>74</v>
      </c>
      <c r="BH712" t="s">
        <v>74</v>
      </c>
      <c r="BI712">
        <v>7</v>
      </c>
      <c r="BJ712" t="s">
        <v>660</v>
      </c>
      <c r="BK712" t="s">
        <v>102</v>
      </c>
      <c r="BL712" t="s">
        <v>661</v>
      </c>
      <c r="BM712" t="s">
        <v>13484</v>
      </c>
      <c r="BN712">
        <v>24937320</v>
      </c>
      <c r="BO712" t="s">
        <v>13485</v>
      </c>
      <c r="BP712" t="s">
        <v>74</v>
      </c>
      <c r="BQ712" t="s">
        <v>74</v>
      </c>
      <c r="BR712" t="s">
        <v>105</v>
      </c>
      <c r="BS712" t="s">
        <v>13486</v>
      </c>
      <c r="BT712" t="str">
        <f>HYPERLINK("https%3A%2F%2Fwww.webofscience.com%2Fwos%2Fwoscc%2Ffull-record%2FWOS:000338838200016","View Full Record in Web of Science")</f>
        <v>View Full Record in Web of Science</v>
      </c>
    </row>
    <row r="713" spans="1:72" x14ac:dyDescent="0.15">
      <c r="A713" t="s">
        <v>72</v>
      </c>
      <c r="B713" t="s">
        <v>13487</v>
      </c>
      <c r="C713" t="s">
        <v>74</v>
      </c>
      <c r="D713" t="s">
        <v>74</v>
      </c>
      <c r="E713" t="s">
        <v>74</v>
      </c>
      <c r="F713" t="s">
        <v>13488</v>
      </c>
      <c r="G713" t="s">
        <v>74</v>
      </c>
      <c r="H713" t="s">
        <v>74</v>
      </c>
      <c r="I713" t="s">
        <v>13489</v>
      </c>
      <c r="J713" t="s">
        <v>692</v>
      </c>
      <c r="K713" t="s">
        <v>74</v>
      </c>
      <c r="L713" t="s">
        <v>74</v>
      </c>
      <c r="M713" t="s">
        <v>78</v>
      </c>
      <c r="N713" t="s">
        <v>79</v>
      </c>
      <c r="O713" t="s">
        <v>74</v>
      </c>
      <c r="P713" t="s">
        <v>74</v>
      </c>
      <c r="Q713" t="s">
        <v>74</v>
      </c>
      <c r="R713" t="s">
        <v>74</v>
      </c>
      <c r="S713" t="s">
        <v>74</v>
      </c>
      <c r="T713" t="s">
        <v>13490</v>
      </c>
      <c r="U713" t="s">
        <v>13491</v>
      </c>
      <c r="V713" t="s">
        <v>13492</v>
      </c>
      <c r="W713" t="s">
        <v>13493</v>
      </c>
      <c r="X713" t="s">
        <v>13494</v>
      </c>
      <c r="Y713" t="s">
        <v>13495</v>
      </c>
      <c r="Z713" t="s">
        <v>13496</v>
      </c>
      <c r="AA713" t="s">
        <v>13497</v>
      </c>
      <c r="AB713" t="s">
        <v>13498</v>
      </c>
      <c r="AC713" t="s">
        <v>13499</v>
      </c>
      <c r="AD713" t="s">
        <v>13500</v>
      </c>
      <c r="AE713" t="s">
        <v>13501</v>
      </c>
      <c r="AF713" t="s">
        <v>74</v>
      </c>
      <c r="AG713">
        <v>144</v>
      </c>
      <c r="AH713">
        <v>98</v>
      </c>
      <c r="AI713">
        <v>106</v>
      </c>
      <c r="AJ713">
        <v>0</v>
      </c>
      <c r="AK713">
        <v>49</v>
      </c>
      <c r="AL713" t="s">
        <v>601</v>
      </c>
      <c r="AM713" t="s">
        <v>251</v>
      </c>
      <c r="AN713" t="s">
        <v>602</v>
      </c>
      <c r="AO713" t="s">
        <v>705</v>
      </c>
      <c r="AP713" t="s">
        <v>706</v>
      </c>
      <c r="AQ713" t="s">
        <v>74</v>
      </c>
      <c r="AR713" t="s">
        <v>707</v>
      </c>
      <c r="AS713" t="s">
        <v>708</v>
      </c>
      <c r="AT713" t="s">
        <v>11484</v>
      </c>
      <c r="AU713">
        <v>2014</v>
      </c>
      <c r="AV713">
        <v>78</v>
      </c>
      <c r="AW713" t="s">
        <v>74</v>
      </c>
      <c r="AX713" t="s">
        <v>74</v>
      </c>
      <c r="AY713" t="s">
        <v>74</v>
      </c>
      <c r="AZ713" t="s">
        <v>74</v>
      </c>
      <c r="BA713" t="s">
        <v>74</v>
      </c>
      <c r="BB713">
        <v>35</v>
      </c>
      <c r="BC713">
        <v>89</v>
      </c>
      <c r="BD713" t="s">
        <v>74</v>
      </c>
      <c r="BE713" t="s">
        <v>13502</v>
      </c>
      <c r="BF713" t="str">
        <f>HYPERLINK("http://dx.doi.org/10.1016/j.ocemod.2014.03.004","http://dx.doi.org/10.1016/j.ocemod.2014.03.004")</f>
        <v>http://dx.doi.org/10.1016/j.ocemod.2014.03.004</v>
      </c>
      <c r="BG713" t="s">
        <v>74</v>
      </c>
      <c r="BH713" t="s">
        <v>74</v>
      </c>
      <c r="BI713">
        <v>55</v>
      </c>
      <c r="BJ713" t="s">
        <v>710</v>
      </c>
      <c r="BK713" t="s">
        <v>102</v>
      </c>
      <c r="BL713" t="s">
        <v>710</v>
      </c>
      <c r="BM713" t="s">
        <v>13503</v>
      </c>
      <c r="BN713" t="s">
        <v>74</v>
      </c>
      <c r="BO713" t="s">
        <v>13504</v>
      </c>
      <c r="BP713" t="s">
        <v>74</v>
      </c>
      <c r="BQ713" t="s">
        <v>74</v>
      </c>
      <c r="BR713" t="s">
        <v>105</v>
      </c>
      <c r="BS713" t="s">
        <v>13505</v>
      </c>
      <c r="BT713" t="str">
        <f>HYPERLINK("https%3A%2F%2Fwww.webofscience.com%2Fwos%2Fwoscc%2Ffull-record%2FWOS:000336516100003","View Full Record in Web of Science")</f>
        <v>View Full Record in Web of Science</v>
      </c>
    </row>
    <row r="714" spans="1:72" x14ac:dyDescent="0.15">
      <c r="A714" t="s">
        <v>72</v>
      </c>
      <c r="B714" t="s">
        <v>13506</v>
      </c>
      <c r="C714" t="s">
        <v>74</v>
      </c>
      <c r="D714" t="s">
        <v>74</v>
      </c>
      <c r="E714" t="s">
        <v>74</v>
      </c>
      <c r="F714" t="s">
        <v>13507</v>
      </c>
      <c r="G714" t="s">
        <v>74</v>
      </c>
      <c r="H714" t="s">
        <v>74</v>
      </c>
      <c r="I714" t="s">
        <v>13508</v>
      </c>
      <c r="J714" t="s">
        <v>13509</v>
      </c>
      <c r="K714" t="s">
        <v>74</v>
      </c>
      <c r="L714" t="s">
        <v>74</v>
      </c>
      <c r="M714" t="s">
        <v>78</v>
      </c>
      <c r="N714" t="s">
        <v>79</v>
      </c>
      <c r="O714" t="s">
        <v>74</v>
      </c>
      <c r="P714" t="s">
        <v>74</v>
      </c>
      <c r="Q714" t="s">
        <v>74</v>
      </c>
      <c r="R714" t="s">
        <v>74</v>
      </c>
      <c r="S714" t="s">
        <v>74</v>
      </c>
      <c r="T714" t="s">
        <v>74</v>
      </c>
      <c r="U714" t="s">
        <v>13510</v>
      </c>
      <c r="V714" t="s">
        <v>13511</v>
      </c>
      <c r="W714" t="s">
        <v>13512</v>
      </c>
      <c r="X714" t="s">
        <v>13513</v>
      </c>
      <c r="Y714" t="s">
        <v>13514</v>
      </c>
      <c r="Z714" t="s">
        <v>13515</v>
      </c>
      <c r="AA714" t="s">
        <v>13516</v>
      </c>
      <c r="AB714" t="s">
        <v>13517</v>
      </c>
      <c r="AC714" t="s">
        <v>13518</v>
      </c>
      <c r="AD714" t="s">
        <v>678</v>
      </c>
      <c r="AE714" t="s">
        <v>74</v>
      </c>
      <c r="AF714" t="s">
        <v>74</v>
      </c>
      <c r="AG714">
        <v>46</v>
      </c>
      <c r="AH714">
        <v>128</v>
      </c>
      <c r="AI714">
        <v>133</v>
      </c>
      <c r="AJ714">
        <v>9</v>
      </c>
      <c r="AK714">
        <v>57</v>
      </c>
      <c r="AL714" t="s">
        <v>13519</v>
      </c>
      <c r="AM714" t="s">
        <v>13520</v>
      </c>
      <c r="AN714" t="s">
        <v>13521</v>
      </c>
      <c r="AO714" t="s">
        <v>13522</v>
      </c>
      <c r="AP714" t="s">
        <v>74</v>
      </c>
      <c r="AQ714" t="s">
        <v>74</v>
      </c>
      <c r="AR714" t="s">
        <v>13509</v>
      </c>
      <c r="AS714" t="s">
        <v>152</v>
      </c>
      <c r="AT714" t="s">
        <v>11484</v>
      </c>
      <c r="AU714">
        <v>2014</v>
      </c>
      <c r="AV714">
        <v>27</v>
      </c>
      <c r="AW714">
        <v>2</v>
      </c>
      <c r="AX714" t="s">
        <v>74</v>
      </c>
      <c r="AY714" t="s">
        <v>74</v>
      </c>
      <c r="AZ714" t="s">
        <v>258</v>
      </c>
      <c r="BA714" t="s">
        <v>74</v>
      </c>
      <c r="BB714">
        <v>58</v>
      </c>
      <c r="BC714">
        <v>67</v>
      </c>
      <c r="BD714" t="s">
        <v>74</v>
      </c>
      <c r="BE714" t="s">
        <v>13523</v>
      </c>
      <c r="BF714" t="str">
        <f>HYPERLINK("http://dx.doi.org/10.5670/oceanog.2014.40","http://dx.doi.org/10.5670/oceanog.2014.40")</f>
        <v>http://dx.doi.org/10.5670/oceanog.2014.40</v>
      </c>
      <c r="BG714" t="s">
        <v>74</v>
      </c>
      <c r="BH714" t="s">
        <v>74</v>
      </c>
      <c r="BI714">
        <v>10</v>
      </c>
      <c r="BJ714" t="s">
        <v>152</v>
      </c>
      <c r="BK714" t="s">
        <v>102</v>
      </c>
      <c r="BL714" t="s">
        <v>152</v>
      </c>
      <c r="BM714" t="s">
        <v>13524</v>
      </c>
      <c r="BN714" t="s">
        <v>74</v>
      </c>
      <c r="BO714" t="s">
        <v>13525</v>
      </c>
      <c r="BP714" t="s">
        <v>74</v>
      </c>
      <c r="BQ714" t="s">
        <v>74</v>
      </c>
      <c r="BR714" t="s">
        <v>105</v>
      </c>
      <c r="BS714" t="s">
        <v>13526</v>
      </c>
      <c r="BT714" t="str">
        <f>HYPERLINK("https%3A%2F%2Fwww.webofscience.com%2Fwos%2Fwoscc%2Ffull-record%2FWOS:000338758400010","View Full Record in Web of Science")</f>
        <v>View Full Record in Web of Science</v>
      </c>
    </row>
    <row r="715" spans="1:72" x14ac:dyDescent="0.15">
      <c r="A715" t="s">
        <v>72</v>
      </c>
      <c r="B715" t="s">
        <v>13527</v>
      </c>
      <c r="C715" t="s">
        <v>74</v>
      </c>
      <c r="D715" t="s">
        <v>74</v>
      </c>
      <c r="E715" t="s">
        <v>74</v>
      </c>
      <c r="F715" t="s">
        <v>13528</v>
      </c>
      <c r="G715" t="s">
        <v>74</v>
      </c>
      <c r="H715" t="s">
        <v>74</v>
      </c>
      <c r="I715" t="s">
        <v>13529</v>
      </c>
      <c r="J715" t="s">
        <v>13530</v>
      </c>
      <c r="K715" t="s">
        <v>74</v>
      </c>
      <c r="L715" t="s">
        <v>74</v>
      </c>
      <c r="M715" t="s">
        <v>78</v>
      </c>
      <c r="N715" t="s">
        <v>79</v>
      </c>
      <c r="O715" t="s">
        <v>74</v>
      </c>
      <c r="P715" t="s">
        <v>74</v>
      </c>
      <c r="Q715" t="s">
        <v>74</v>
      </c>
      <c r="R715" t="s">
        <v>74</v>
      </c>
      <c r="S715" t="s">
        <v>74</v>
      </c>
      <c r="T715" t="s">
        <v>13531</v>
      </c>
      <c r="U715" t="s">
        <v>13532</v>
      </c>
      <c r="V715" t="s">
        <v>13533</v>
      </c>
      <c r="W715" t="s">
        <v>13534</v>
      </c>
      <c r="X715" t="s">
        <v>13535</v>
      </c>
      <c r="Y715" t="s">
        <v>13536</v>
      </c>
      <c r="Z715" t="s">
        <v>13537</v>
      </c>
      <c r="AA715" t="s">
        <v>13538</v>
      </c>
      <c r="AB715" t="s">
        <v>13539</v>
      </c>
      <c r="AC715" t="s">
        <v>74</v>
      </c>
      <c r="AD715" t="s">
        <v>74</v>
      </c>
      <c r="AE715" t="s">
        <v>74</v>
      </c>
      <c r="AF715" t="s">
        <v>74</v>
      </c>
      <c r="AG715">
        <v>35</v>
      </c>
      <c r="AH715">
        <v>10</v>
      </c>
      <c r="AI715">
        <v>11</v>
      </c>
      <c r="AJ715">
        <v>0</v>
      </c>
      <c r="AK715">
        <v>22</v>
      </c>
      <c r="AL715" t="s">
        <v>13540</v>
      </c>
      <c r="AM715" t="s">
        <v>980</v>
      </c>
      <c r="AN715" t="s">
        <v>13541</v>
      </c>
      <c r="AO715" t="s">
        <v>13542</v>
      </c>
      <c r="AP715" t="s">
        <v>13543</v>
      </c>
      <c r="AQ715" t="s">
        <v>74</v>
      </c>
      <c r="AR715" t="s">
        <v>13544</v>
      </c>
      <c r="AS715" t="s">
        <v>13545</v>
      </c>
      <c r="AT715" t="s">
        <v>11484</v>
      </c>
      <c r="AU715">
        <v>2014</v>
      </c>
      <c r="AV715">
        <v>43</v>
      </c>
      <c r="AW715">
        <v>2</v>
      </c>
      <c r="AX715" t="s">
        <v>74</v>
      </c>
      <c r="AY715" t="s">
        <v>74</v>
      </c>
      <c r="AZ715" t="s">
        <v>74</v>
      </c>
      <c r="BA715" t="s">
        <v>74</v>
      </c>
      <c r="BB715">
        <v>147</v>
      </c>
      <c r="BC715">
        <v>153</v>
      </c>
      <c r="BD715" t="s">
        <v>74</v>
      </c>
      <c r="BE715" t="s">
        <v>13546</v>
      </c>
      <c r="BF715" t="str">
        <f>HYPERLINK("http://dx.doi.org/10.2478/s13545-014-0127-x","http://dx.doi.org/10.2478/s13545-014-0127-x")</f>
        <v>http://dx.doi.org/10.2478/s13545-014-0127-x</v>
      </c>
      <c r="BG715" t="s">
        <v>74</v>
      </c>
      <c r="BH715" t="s">
        <v>74</v>
      </c>
      <c r="BI715">
        <v>7</v>
      </c>
      <c r="BJ715" t="s">
        <v>2511</v>
      </c>
      <c r="BK715" t="s">
        <v>102</v>
      </c>
      <c r="BL715" t="s">
        <v>2511</v>
      </c>
      <c r="BM715" t="s">
        <v>13547</v>
      </c>
      <c r="BN715" t="s">
        <v>74</v>
      </c>
      <c r="BO715" t="s">
        <v>12122</v>
      </c>
      <c r="BP715" t="s">
        <v>74</v>
      </c>
      <c r="BQ715" t="s">
        <v>74</v>
      </c>
      <c r="BR715" t="s">
        <v>105</v>
      </c>
      <c r="BS715" t="s">
        <v>13548</v>
      </c>
      <c r="BT715" t="str">
        <f>HYPERLINK("https%3A%2F%2Fwww.webofscience.com%2Fwos%2Fwoscc%2Ffull-record%2FWOS:000338501900005","View Full Record in Web of Science")</f>
        <v>View Full Record in Web of Science</v>
      </c>
    </row>
    <row r="716" spans="1:72" x14ac:dyDescent="0.15">
      <c r="A716" t="s">
        <v>72</v>
      </c>
      <c r="B716" t="s">
        <v>13549</v>
      </c>
      <c r="C716" t="s">
        <v>74</v>
      </c>
      <c r="D716" t="s">
        <v>74</v>
      </c>
      <c r="E716" t="s">
        <v>74</v>
      </c>
      <c r="F716" t="s">
        <v>13550</v>
      </c>
      <c r="G716" t="s">
        <v>74</v>
      </c>
      <c r="H716" t="s">
        <v>74</v>
      </c>
      <c r="I716" t="s">
        <v>13551</v>
      </c>
      <c r="J716" t="s">
        <v>1386</v>
      </c>
      <c r="K716" t="s">
        <v>74</v>
      </c>
      <c r="L716" t="s">
        <v>74</v>
      </c>
      <c r="M716" t="s">
        <v>78</v>
      </c>
      <c r="N716" t="s">
        <v>79</v>
      </c>
      <c r="O716" t="s">
        <v>74</v>
      </c>
      <c r="P716" t="s">
        <v>74</v>
      </c>
      <c r="Q716" t="s">
        <v>74</v>
      </c>
      <c r="R716" t="s">
        <v>74</v>
      </c>
      <c r="S716" t="s">
        <v>74</v>
      </c>
      <c r="T716" t="s">
        <v>13552</v>
      </c>
      <c r="U716" t="s">
        <v>13553</v>
      </c>
      <c r="V716" t="s">
        <v>13554</v>
      </c>
      <c r="W716" t="s">
        <v>13555</v>
      </c>
      <c r="X716" t="s">
        <v>13556</v>
      </c>
      <c r="Y716" t="s">
        <v>13557</v>
      </c>
      <c r="Z716" t="s">
        <v>13558</v>
      </c>
      <c r="AA716" t="s">
        <v>13559</v>
      </c>
      <c r="AB716" t="s">
        <v>13560</v>
      </c>
      <c r="AC716" t="s">
        <v>13561</v>
      </c>
      <c r="AD716" t="s">
        <v>13562</v>
      </c>
      <c r="AE716" t="s">
        <v>13563</v>
      </c>
      <c r="AF716" t="s">
        <v>74</v>
      </c>
      <c r="AG716">
        <v>127</v>
      </c>
      <c r="AH716">
        <v>34</v>
      </c>
      <c r="AI716">
        <v>42</v>
      </c>
      <c r="AJ716">
        <v>0</v>
      </c>
      <c r="AK716">
        <v>42</v>
      </c>
      <c r="AL716" t="s">
        <v>753</v>
      </c>
      <c r="AM716" t="s">
        <v>124</v>
      </c>
      <c r="AN716" t="s">
        <v>754</v>
      </c>
      <c r="AO716" t="s">
        <v>1397</v>
      </c>
      <c r="AP716" t="s">
        <v>1398</v>
      </c>
      <c r="AQ716" t="s">
        <v>74</v>
      </c>
      <c r="AR716" t="s">
        <v>1399</v>
      </c>
      <c r="AS716" t="s">
        <v>1400</v>
      </c>
      <c r="AT716" t="s">
        <v>13138</v>
      </c>
      <c r="AU716">
        <v>2014</v>
      </c>
      <c r="AV716">
        <v>403</v>
      </c>
      <c r="AW716" t="s">
        <v>74</v>
      </c>
      <c r="AX716" t="s">
        <v>74</v>
      </c>
      <c r="AY716" t="s">
        <v>74</v>
      </c>
      <c r="AZ716" t="s">
        <v>74</v>
      </c>
      <c r="BA716" t="s">
        <v>74</v>
      </c>
      <c r="BB716">
        <v>66</v>
      </c>
      <c r="BC716">
        <v>79</v>
      </c>
      <c r="BD716" t="s">
        <v>74</v>
      </c>
      <c r="BE716" t="s">
        <v>13564</v>
      </c>
      <c r="BF716" t="str">
        <f>HYPERLINK("http://dx.doi.org/10.1016/j.palaeo.2014.03.028","http://dx.doi.org/10.1016/j.palaeo.2014.03.028")</f>
        <v>http://dx.doi.org/10.1016/j.palaeo.2014.03.028</v>
      </c>
      <c r="BG716" t="s">
        <v>74</v>
      </c>
      <c r="BH716" t="s">
        <v>74</v>
      </c>
      <c r="BI716">
        <v>14</v>
      </c>
      <c r="BJ716" t="s">
        <v>1402</v>
      </c>
      <c r="BK716" t="s">
        <v>102</v>
      </c>
      <c r="BL716" t="s">
        <v>1403</v>
      </c>
      <c r="BM716" t="s">
        <v>13565</v>
      </c>
      <c r="BN716" t="s">
        <v>74</v>
      </c>
      <c r="BO716" t="s">
        <v>74</v>
      </c>
      <c r="BP716" t="s">
        <v>74</v>
      </c>
      <c r="BQ716" t="s">
        <v>74</v>
      </c>
      <c r="BR716" t="s">
        <v>105</v>
      </c>
      <c r="BS716" t="s">
        <v>13566</v>
      </c>
      <c r="BT716" t="str">
        <f>HYPERLINK("https%3A%2F%2Fwww.webofscience.com%2Fwos%2Fwoscc%2Ffull-record%2FWOS:000336473600006","View Full Record in Web of Science")</f>
        <v>View Full Record in Web of Science</v>
      </c>
    </row>
    <row r="717" spans="1:72" x14ac:dyDescent="0.15">
      <c r="A717" t="s">
        <v>72</v>
      </c>
      <c r="B717" t="s">
        <v>13567</v>
      </c>
      <c r="C717" t="s">
        <v>74</v>
      </c>
      <c r="D717" t="s">
        <v>74</v>
      </c>
      <c r="E717" t="s">
        <v>74</v>
      </c>
      <c r="F717" t="s">
        <v>13568</v>
      </c>
      <c r="G717" t="s">
        <v>74</v>
      </c>
      <c r="H717" t="s">
        <v>74</v>
      </c>
      <c r="I717" t="s">
        <v>13569</v>
      </c>
      <c r="J717" t="s">
        <v>4008</v>
      </c>
      <c r="K717" t="s">
        <v>74</v>
      </c>
      <c r="L717" t="s">
        <v>74</v>
      </c>
      <c r="M717" t="s">
        <v>78</v>
      </c>
      <c r="N717" t="s">
        <v>79</v>
      </c>
      <c r="O717" t="s">
        <v>74</v>
      </c>
      <c r="P717" t="s">
        <v>74</v>
      </c>
      <c r="Q717" t="s">
        <v>74</v>
      </c>
      <c r="R717" t="s">
        <v>74</v>
      </c>
      <c r="S717" t="s">
        <v>74</v>
      </c>
      <c r="T717" t="s">
        <v>74</v>
      </c>
      <c r="U717" t="s">
        <v>13570</v>
      </c>
      <c r="V717" t="s">
        <v>13571</v>
      </c>
      <c r="W717" t="s">
        <v>13572</v>
      </c>
      <c r="X717" t="s">
        <v>13573</v>
      </c>
      <c r="Y717" t="s">
        <v>13574</v>
      </c>
      <c r="Z717" t="s">
        <v>13575</v>
      </c>
      <c r="AA717" t="s">
        <v>13576</v>
      </c>
      <c r="AB717" t="s">
        <v>13577</v>
      </c>
      <c r="AC717" t="s">
        <v>13578</v>
      </c>
      <c r="AD717" t="s">
        <v>13579</v>
      </c>
      <c r="AE717" t="s">
        <v>13580</v>
      </c>
      <c r="AF717" t="s">
        <v>74</v>
      </c>
      <c r="AG717">
        <v>135</v>
      </c>
      <c r="AH717">
        <v>60</v>
      </c>
      <c r="AI717">
        <v>63</v>
      </c>
      <c r="AJ717">
        <v>1</v>
      </c>
      <c r="AK717">
        <v>47</v>
      </c>
      <c r="AL717" t="s">
        <v>331</v>
      </c>
      <c r="AM717" t="s">
        <v>332</v>
      </c>
      <c r="AN717" t="s">
        <v>333</v>
      </c>
      <c r="AO717" t="s">
        <v>4021</v>
      </c>
      <c r="AP717" t="s">
        <v>4022</v>
      </c>
      <c r="AQ717" t="s">
        <v>74</v>
      </c>
      <c r="AR717" t="s">
        <v>4008</v>
      </c>
      <c r="AS717" t="s">
        <v>4023</v>
      </c>
      <c r="AT717" t="s">
        <v>11484</v>
      </c>
      <c r="AU717">
        <v>2014</v>
      </c>
      <c r="AV717">
        <v>29</v>
      </c>
      <c r="AW717">
        <v>6</v>
      </c>
      <c r="AX717" t="s">
        <v>74</v>
      </c>
      <c r="AY717" t="s">
        <v>74</v>
      </c>
      <c r="AZ717" t="s">
        <v>74</v>
      </c>
      <c r="BA717" t="s">
        <v>74</v>
      </c>
      <c r="BB717">
        <v>489</v>
      </c>
      <c r="BC717">
        <v>507</v>
      </c>
      <c r="BD717" t="s">
        <v>74</v>
      </c>
      <c r="BE717" t="s">
        <v>13581</v>
      </c>
      <c r="BF717" t="str">
        <f>HYPERLINK("http://dx.doi.org/10.1002/2014PA002623","http://dx.doi.org/10.1002/2014PA002623")</f>
        <v>http://dx.doi.org/10.1002/2014PA002623</v>
      </c>
      <c r="BG717" t="s">
        <v>74</v>
      </c>
      <c r="BH717" t="s">
        <v>74</v>
      </c>
      <c r="BI717">
        <v>19</v>
      </c>
      <c r="BJ717" t="s">
        <v>4025</v>
      </c>
      <c r="BK717" t="s">
        <v>102</v>
      </c>
      <c r="BL717" t="s">
        <v>4026</v>
      </c>
      <c r="BM717" t="s">
        <v>11559</v>
      </c>
      <c r="BN717" t="s">
        <v>74</v>
      </c>
      <c r="BO717" t="s">
        <v>13582</v>
      </c>
      <c r="BP717" t="s">
        <v>74</v>
      </c>
      <c r="BQ717" t="s">
        <v>74</v>
      </c>
      <c r="BR717" t="s">
        <v>105</v>
      </c>
      <c r="BS717" t="s">
        <v>13583</v>
      </c>
      <c r="BT717" t="str">
        <f>HYPERLINK("https%3A%2F%2Fwww.webofscience.com%2Fwos%2Fwoscc%2Ffull-record%2FWOS:000340661100002","View Full Record in Web of Science")</f>
        <v>View Full Record in Web of Science</v>
      </c>
    </row>
    <row r="718" spans="1:72" x14ac:dyDescent="0.15">
      <c r="A718" t="s">
        <v>72</v>
      </c>
      <c r="B718" t="s">
        <v>13584</v>
      </c>
      <c r="C718" t="s">
        <v>74</v>
      </c>
      <c r="D718" t="s">
        <v>74</v>
      </c>
      <c r="E718" t="s">
        <v>74</v>
      </c>
      <c r="F718" t="s">
        <v>13585</v>
      </c>
      <c r="G718" t="s">
        <v>74</v>
      </c>
      <c r="H718" t="s">
        <v>74</v>
      </c>
      <c r="I718" t="s">
        <v>13586</v>
      </c>
      <c r="J718" t="s">
        <v>4008</v>
      </c>
      <c r="K718" t="s">
        <v>74</v>
      </c>
      <c r="L718" t="s">
        <v>74</v>
      </c>
      <c r="M718" t="s">
        <v>78</v>
      </c>
      <c r="N718" t="s">
        <v>79</v>
      </c>
      <c r="O718" t="s">
        <v>74</v>
      </c>
      <c r="P718" t="s">
        <v>74</v>
      </c>
      <c r="Q718" t="s">
        <v>74</v>
      </c>
      <c r="R718" t="s">
        <v>74</v>
      </c>
      <c r="S718" t="s">
        <v>74</v>
      </c>
      <c r="T718" t="s">
        <v>74</v>
      </c>
      <c r="U718" t="s">
        <v>13587</v>
      </c>
      <c r="V718" t="s">
        <v>13588</v>
      </c>
      <c r="W718" t="s">
        <v>13589</v>
      </c>
      <c r="X718" t="s">
        <v>13590</v>
      </c>
      <c r="Y718" t="s">
        <v>13591</v>
      </c>
      <c r="Z718" t="s">
        <v>13592</v>
      </c>
      <c r="AA718" t="s">
        <v>13593</v>
      </c>
      <c r="AB718" t="s">
        <v>13594</v>
      </c>
      <c r="AC718" t="s">
        <v>13595</v>
      </c>
      <c r="AD718" t="s">
        <v>13596</v>
      </c>
      <c r="AE718" t="s">
        <v>13597</v>
      </c>
      <c r="AF718" t="s">
        <v>74</v>
      </c>
      <c r="AG718">
        <v>89</v>
      </c>
      <c r="AH718">
        <v>30</v>
      </c>
      <c r="AI718">
        <v>32</v>
      </c>
      <c r="AJ718">
        <v>1</v>
      </c>
      <c r="AK718">
        <v>25</v>
      </c>
      <c r="AL718" t="s">
        <v>331</v>
      </c>
      <c r="AM718" t="s">
        <v>332</v>
      </c>
      <c r="AN718" t="s">
        <v>333</v>
      </c>
      <c r="AO718" t="s">
        <v>4021</v>
      </c>
      <c r="AP718" t="s">
        <v>4022</v>
      </c>
      <c r="AQ718" t="s">
        <v>74</v>
      </c>
      <c r="AR718" t="s">
        <v>4008</v>
      </c>
      <c r="AS718" t="s">
        <v>4023</v>
      </c>
      <c r="AT718" t="s">
        <v>11484</v>
      </c>
      <c r="AU718">
        <v>2014</v>
      </c>
      <c r="AV718">
        <v>29</v>
      </c>
      <c r="AW718">
        <v>6</v>
      </c>
      <c r="AX718" t="s">
        <v>74</v>
      </c>
      <c r="AY718" t="s">
        <v>74</v>
      </c>
      <c r="AZ718" t="s">
        <v>74</v>
      </c>
      <c r="BA718" t="s">
        <v>74</v>
      </c>
      <c r="BB718">
        <v>533</v>
      </c>
      <c r="BC718">
        <v>548</v>
      </c>
      <c r="BD718" t="s">
        <v>74</v>
      </c>
      <c r="BE718" t="s">
        <v>13598</v>
      </c>
      <c r="BF718" t="str">
        <f>HYPERLINK("http://dx.doi.org/10.1002/2014PA002625","http://dx.doi.org/10.1002/2014PA002625")</f>
        <v>http://dx.doi.org/10.1002/2014PA002625</v>
      </c>
      <c r="BG718" t="s">
        <v>74</v>
      </c>
      <c r="BH718" t="s">
        <v>74</v>
      </c>
      <c r="BI718">
        <v>16</v>
      </c>
      <c r="BJ718" t="s">
        <v>4025</v>
      </c>
      <c r="BK718" t="s">
        <v>102</v>
      </c>
      <c r="BL718" t="s">
        <v>4026</v>
      </c>
      <c r="BM718" t="s">
        <v>11559</v>
      </c>
      <c r="BN718" t="s">
        <v>74</v>
      </c>
      <c r="BO718" t="s">
        <v>4603</v>
      </c>
      <c r="BP718" t="s">
        <v>74</v>
      </c>
      <c r="BQ718" t="s">
        <v>74</v>
      </c>
      <c r="BR718" t="s">
        <v>105</v>
      </c>
      <c r="BS718" t="s">
        <v>13599</v>
      </c>
      <c r="BT718" t="str">
        <f>HYPERLINK("https%3A%2F%2Fwww.webofscience.com%2Fwos%2Fwoscc%2Ffull-record%2FWOS:000340661100005","View Full Record in Web of Science")</f>
        <v>View Full Record in Web of Science</v>
      </c>
    </row>
    <row r="719" spans="1:72" x14ac:dyDescent="0.15">
      <c r="A719" t="s">
        <v>72</v>
      </c>
      <c r="B719" t="s">
        <v>13600</v>
      </c>
      <c r="C719" t="s">
        <v>74</v>
      </c>
      <c r="D719" t="s">
        <v>74</v>
      </c>
      <c r="E719" t="s">
        <v>74</v>
      </c>
      <c r="F719" t="s">
        <v>13601</v>
      </c>
      <c r="G719" t="s">
        <v>74</v>
      </c>
      <c r="H719" t="s">
        <v>74</v>
      </c>
      <c r="I719" t="s">
        <v>13602</v>
      </c>
      <c r="J719" t="s">
        <v>4008</v>
      </c>
      <c r="K719" t="s">
        <v>74</v>
      </c>
      <c r="L719" t="s">
        <v>74</v>
      </c>
      <c r="M719" t="s">
        <v>78</v>
      </c>
      <c r="N719" t="s">
        <v>79</v>
      </c>
      <c r="O719" t="s">
        <v>74</v>
      </c>
      <c r="P719" t="s">
        <v>74</v>
      </c>
      <c r="Q719" t="s">
        <v>74</v>
      </c>
      <c r="R719" t="s">
        <v>74</v>
      </c>
      <c r="S719" t="s">
        <v>74</v>
      </c>
      <c r="T719" t="s">
        <v>74</v>
      </c>
      <c r="U719" t="s">
        <v>13603</v>
      </c>
      <c r="V719" t="s">
        <v>13604</v>
      </c>
      <c r="W719" t="s">
        <v>13605</v>
      </c>
      <c r="X719" t="s">
        <v>13606</v>
      </c>
      <c r="Y719" t="s">
        <v>13607</v>
      </c>
      <c r="Z719" t="s">
        <v>13608</v>
      </c>
      <c r="AA719" t="s">
        <v>13609</v>
      </c>
      <c r="AB719" t="s">
        <v>74</v>
      </c>
      <c r="AC719" t="s">
        <v>13610</v>
      </c>
      <c r="AD719" t="s">
        <v>3150</v>
      </c>
      <c r="AE719" t="s">
        <v>13611</v>
      </c>
      <c r="AF719" t="s">
        <v>74</v>
      </c>
      <c r="AG719">
        <v>116</v>
      </c>
      <c r="AH719">
        <v>38</v>
      </c>
      <c r="AI719">
        <v>41</v>
      </c>
      <c r="AJ719">
        <v>0</v>
      </c>
      <c r="AK719">
        <v>24</v>
      </c>
      <c r="AL719" t="s">
        <v>331</v>
      </c>
      <c r="AM719" t="s">
        <v>332</v>
      </c>
      <c r="AN719" t="s">
        <v>333</v>
      </c>
      <c r="AO719" t="s">
        <v>4021</v>
      </c>
      <c r="AP719" t="s">
        <v>4022</v>
      </c>
      <c r="AQ719" t="s">
        <v>74</v>
      </c>
      <c r="AR719" t="s">
        <v>4008</v>
      </c>
      <c r="AS719" t="s">
        <v>4023</v>
      </c>
      <c r="AT719" t="s">
        <v>11484</v>
      </c>
      <c r="AU719">
        <v>2014</v>
      </c>
      <c r="AV719">
        <v>29</v>
      </c>
      <c r="AW719">
        <v>6</v>
      </c>
      <c r="AX719" t="s">
        <v>74</v>
      </c>
      <c r="AY719" t="s">
        <v>74</v>
      </c>
      <c r="AZ719" t="s">
        <v>74</v>
      </c>
      <c r="BA719" t="s">
        <v>74</v>
      </c>
      <c r="BB719">
        <v>628</v>
      </c>
      <c r="BC719">
        <v>644</v>
      </c>
      <c r="BD719" t="s">
        <v>74</v>
      </c>
      <c r="BE719" t="s">
        <v>13612</v>
      </c>
      <c r="BF719" t="str">
        <f>HYPERLINK("http://dx.doi.org/10.1002/2014PA002648","http://dx.doi.org/10.1002/2014PA002648")</f>
        <v>http://dx.doi.org/10.1002/2014PA002648</v>
      </c>
      <c r="BG719" t="s">
        <v>74</v>
      </c>
      <c r="BH719" t="s">
        <v>74</v>
      </c>
      <c r="BI719">
        <v>17</v>
      </c>
      <c r="BJ719" t="s">
        <v>4025</v>
      </c>
      <c r="BK719" t="s">
        <v>102</v>
      </c>
      <c r="BL719" t="s">
        <v>4026</v>
      </c>
      <c r="BM719" t="s">
        <v>11559</v>
      </c>
      <c r="BN719" t="s">
        <v>74</v>
      </c>
      <c r="BO719" t="s">
        <v>74</v>
      </c>
      <c r="BP719" t="s">
        <v>74</v>
      </c>
      <c r="BQ719" t="s">
        <v>74</v>
      </c>
      <c r="BR719" t="s">
        <v>105</v>
      </c>
      <c r="BS719" t="s">
        <v>13613</v>
      </c>
      <c r="BT719" t="str">
        <f>HYPERLINK("https%3A%2F%2Fwww.webofscience.com%2Fwos%2Fwoscc%2Ffull-record%2FWOS:000340661100011","View Full Record in Web of Science")</f>
        <v>View Full Record in Web of Science</v>
      </c>
    </row>
    <row r="720" spans="1:72" x14ac:dyDescent="0.15">
      <c r="A720" t="s">
        <v>72</v>
      </c>
      <c r="B720" t="s">
        <v>13614</v>
      </c>
      <c r="C720" t="s">
        <v>74</v>
      </c>
      <c r="D720" t="s">
        <v>74</v>
      </c>
      <c r="E720" t="s">
        <v>74</v>
      </c>
      <c r="F720" t="s">
        <v>13615</v>
      </c>
      <c r="G720" t="s">
        <v>74</v>
      </c>
      <c r="H720" t="s">
        <v>74</v>
      </c>
      <c r="I720" t="s">
        <v>13616</v>
      </c>
      <c r="J720" t="s">
        <v>13617</v>
      </c>
      <c r="K720" t="s">
        <v>74</v>
      </c>
      <c r="L720" t="s">
        <v>74</v>
      </c>
      <c r="M720" t="s">
        <v>78</v>
      </c>
      <c r="N720" t="s">
        <v>79</v>
      </c>
      <c r="O720" t="s">
        <v>74</v>
      </c>
      <c r="P720" t="s">
        <v>74</v>
      </c>
      <c r="Q720" t="s">
        <v>74</v>
      </c>
      <c r="R720" t="s">
        <v>74</v>
      </c>
      <c r="S720" t="s">
        <v>74</v>
      </c>
      <c r="T720" t="s">
        <v>74</v>
      </c>
      <c r="U720" t="s">
        <v>13618</v>
      </c>
      <c r="V720" t="s">
        <v>13619</v>
      </c>
      <c r="W720" t="s">
        <v>13620</v>
      </c>
      <c r="X720" t="s">
        <v>13621</v>
      </c>
      <c r="Y720" t="s">
        <v>13622</v>
      </c>
      <c r="Z720" t="s">
        <v>13623</v>
      </c>
      <c r="AA720" t="s">
        <v>13624</v>
      </c>
      <c r="AB720" t="s">
        <v>13625</v>
      </c>
      <c r="AC720" t="s">
        <v>74</v>
      </c>
      <c r="AD720" t="s">
        <v>74</v>
      </c>
      <c r="AE720" t="s">
        <v>74</v>
      </c>
      <c r="AF720" t="s">
        <v>74</v>
      </c>
      <c r="AG720">
        <v>35</v>
      </c>
      <c r="AH720">
        <v>82</v>
      </c>
      <c r="AI720">
        <v>84</v>
      </c>
      <c r="AJ720">
        <v>1</v>
      </c>
      <c r="AK720">
        <v>54</v>
      </c>
      <c r="AL720" t="s">
        <v>1090</v>
      </c>
      <c r="AM720" t="s">
        <v>1091</v>
      </c>
      <c r="AN720" t="s">
        <v>1092</v>
      </c>
      <c r="AO720" t="s">
        <v>13626</v>
      </c>
      <c r="AP720" t="s">
        <v>13627</v>
      </c>
      <c r="AQ720" t="s">
        <v>74</v>
      </c>
      <c r="AR720" t="s">
        <v>13628</v>
      </c>
      <c r="AS720" t="s">
        <v>13629</v>
      </c>
      <c r="AT720" t="s">
        <v>11484</v>
      </c>
      <c r="AU720">
        <v>2014</v>
      </c>
      <c r="AV720">
        <v>12</v>
      </c>
      <c r="AW720">
        <v>6</v>
      </c>
      <c r="AX720" t="s">
        <v>74</v>
      </c>
      <c r="AY720" t="s">
        <v>74</v>
      </c>
      <c r="AZ720" t="s">
        <v>74</v>
      </c>
      <c r="BA720" t="s">
        <v>74</v>
      </c>
      <c r="BB720" t="s">
        <v>74</v>
      </c>
      <c r="BC720" t="s">
        <v>74</v>
      </c>
      <c r="BD720" t="s">
        <v>13630</v>
      </c>
      <c r="BE720" t="s">
        <v>13631</v>
      </c>
      <c r="BF720" t="str">
        <f>HYPERLINK("http://dx.doi.org/10.1371/journal.pbio.1001888","http://dx.doi.org/10.1371/journal.pbio.1001888")</f>
        <v>http://dx.doi.org/10.1371/journal.pbio.1001888</v>
      </c>
      <c r="BG720" t="s">
        <v>74</v>
      </c>
      <c r="BH720" t="s">
        <v>74</v>
      </c>
      <c r="BI720">
        <v>5</v>
      </c>
      <c r="BJ720" t="s">
        <v>13632</v>
      </c>
      <c r="BK720" t="s">
        <v>102</v>
      </c>
      <c r="BL720" t="s">
        <v>13633</v>
      </c>
      <c r="BM720" t="s">
        <v>13634</v>
      </c>
      <c r="BN720">
        <v>24936869</v>
      </c>
      <c r="BO720" t="s">
        <v>4836</v>
      </c>
      <c r="BP720" t="s">
        <v>74</v>
      </c>
      <c r="BQ720" t="s">
        <v>74</v>
      </c>
      <c r="BR720" t="s">
        <v>105</v>
      </c>
      <c r="BS720" t="s">
        <v>13635</v>
      </c>
      <c r="BT720" t="str">
        <f>HYPERLINK("https%3A%2F%2Fwww.webofscience.com%2Fwos%2Fwoscc%2Ffull-record%2FWOS:000337972900015","View Full Record in Web of Science")</f>
        <v>View Full Record in Web of Science</v>
      </c>
    </row>
    <row r="721" spans="1:72" x14ac:dyDescent="0.15">
      <c r="A721" t="s">
        <v>72</v>
      </c>
      <c r="B721" t="s">
        <v>13636</v>
      </c>
      <c r="C721" t="s">
        <v>74</v>
      </c>
      <c r="D721" t="s">
        <v>74</v>
      </c>
      <c r="E721" t="s">
        <v>74</v>
      </c>
      <c r="F721" t="s">
        <v>13637</v>
      </c>
      <c r="G721" t="s">
        <v>74</v>
      </c>
      <c r="H721" t="s">
        <v>74</v>
      </c>
      <c r="I721" t="s">
        <v>13638</v>
      </c>
      <c r="J721" t="s">
        <v>765</v>
      </c>
      <c r="K721" t="s">
        <v>74</v>
      </c>
      <c r="L721" t="s">
        <v>74</v>
      </c>
      <c r="M721" t="s">
        <v>78</v>
      </c>
      <c r="N721" t="s">
        <v>79</v>
      </c>
      <c r="O721" t="s">
        <v>74</v>
      </c>
      <c r="P721" t="s">
        <v>74</v>
      </c>
      <c r="Q721" t="s">
        <v>74</v>
      </c>
      <c r="R721" t="s">
        <v>74</v>
      </c>
      <c r="S721" t="s">
        <v>74</v>
      </c>
      <c r="T721" t="s">
        <v>13639</v>
      </c>
      <c r="U721" t="s">
        <v>13640</v>
      </c>
      <c r="V721" t="s">
        <v>13641</v>
      </c>
      <c r="W721" t="s">
        <v>13642</v>
      </c>
      <c r="X721" t="s">
        <v>1022</v>
      </c>
      <c r="Y721" t="s">
        <v>13643</v>
      </c>
      <c r="Z721" t="s">
        <v>13644</v>
      </c>
      <c r="AA721" t="s">
        <v>13645</v>
      </c>
      <c r="AB721" t="s">
        <v>13646</v>
      </c>
      <c r="AC721" t="s">
        <v>10237</v>
      </c>
      <c r="AD721" t="s">
        <v>678</v>
      </c>
      <c r="AE721" t="s">
        <v>74</v>
      </c>
      <c r="AF721" t="s">
        <v>74</v>
      </c>
      <c r="AG721">
        <v>75</v>
      </c>
      <c r="AH721">
        <v>30</v>
      </c>
      <c r="AI721">
        <v>35</v>
      </c>
      <c r="AJ721">
        <v>7</v>
      </c>
      <c r="AK721">
        <v>45</v>
      </c>
      <c r="AL721" t="s">
        <v>224</v>
      </c>
      <c r="AM721" t="s">
        <v>576</v>
      </c>
      <c r="AN721" t="s">
        <v>778</v>
      </c>
      <c r="AO721" t="s">
        <v>779</v>
      </c>
      <c r="AP721" t="s">
        <v>780</v>
      </c>
      <c r="AQ721" t="s">
        <v>74</v>
      </c>
      <c r="AR721" t="s">
        <v>781</v>
      </c>
      <c r="AS721" t="s">
        <v>782</v>
      </c>
      <c r="AT721" t="s">
        <v>11484</v>
      </c>
      <c r="AU721">
        <v>2014</v>
      </c>
      <c r="AV721">
        <v>37</v>
      </c>
      <c r="AW721">
        <v>6</v>
      </c>
      <c r="AX721" t="s">
        <v>74</v>
      </c>
      <c r="AY721" t="s">
        <v>74</v>
      </c>
      <c r="AZ721" t="s">
        <v>74</v>
      </c>
      <c r="BA721" t="s">
        <v>74</v>
      </c>
      <c r="BB721">
        <v>789</v>
      </c>
      <c r="BC721">
        <v>807</v>
      </c>
      <c r="BD721" t="s">
        <v>74</v>
      </c>
      <c r="BE721" t="s">
        <v>13647</v>
      </c>
      <c r="BF721" t="str">
        <f>HYPERLINK("http://dx.doi.org/10.1007/s00300-014-1480-3","http://dx.doi.org/10.1007/s00300-014-1480-3")</f>
        <v>http://dx.doi.org/10.1007/s00300-014-1480-3</v>
      </c>
      <c r="BG721" t="s">
        <v>74</v>
      </c>
      <c r="BH721" t="s">
        <v>74</v>
      </c>
      <c r="BI721">
        <v>19</v>
      </c>
      <c r="BJ721" t="s">
        <v>784</v>
      </c>
      <c r="BK721" t="s">
        <v>102</v>
      </c>
      <c r="BL721" t="s">
        <v>785</v>
      </c>
      <c r="BM721" t="s">
        <v>11957</v>
      </c>
      <c r="BN721" t="s">
        <v>74</v>
      </c>
      <c r="BO721" t="s">
        <v>359</v>
      </c>
      <c r="BP721" t="s">
        <v>74</v>
      </c>
      <c r="BQ721" t="s">
        <v>74</v>
      </c>
      <c r="BR721" t="s">
        <v>105</v>
      </c>
      <c r="BS721" t="s">
        <v>13648</v>
      </c>
      <c r="BT721" t="str">
        <f>HYPERLINK("https%3A%2F%2Fwww.webofscience.com%2Fwos%2Fwoscc%2Ffull-record%2FWOS:000338278200005","View Full Record in Web of Science")</f>
        <v>View Full Record in Web of Science</v>
      </c>
    </row>
    <row r="722" spans="1:72" x14ac:dyDescent="0.15">
      <c r="A722" t="s">
        <v>72</v>
      </c>
      <c r="B722" t="s">
        <v>13649</v>
      </c>
      <c r="C722" t="s">
        <v>74</v>
      </c>
      <c r="D722" t="s">
        <v>74</v>
      </c>
      <c r="E722" t="s">
        <v>74</v>
      </c>
      <c r="F722" t="s">
        <v>13650</v>
      </c>
      <c r="G722" t="s">
        <v>74</v>
      </c>
      <c r="H722" t="s">
        <v>74</v>
      </c>
      <c r="I722" t="s">
        <v>13651</v>
      </c>
      <c r="J722" t="s">
        <v>765</v>
      </c>
      <c r="K722" t="s">
        <v>74</v>
      </c>
      <c r="L722" t="s">
        <v>74</v>
      </c>
      <c r="M722" t="s">
        <v>78</v>
      </c>
      <c r="N722" t="s">
        <v>79</v>
      </c>
      <c r="O722" t="s">
        <v>74</v>
      </c>
      <c r="P722" t="s">
        <v>74</v>
      </c>
      <c r="Q722" t="s">
        <v>74</v>
      </c>
      <c r="R722" t="s">
        <v>74</v>
      </c>
      <c r="S722" t="s">
        <v>74</v>
      </c>
      <c r="T722" t="s">
        <v>13652</v>
      </c>
      <c r="U722" t="s">
        <v>13653</v>
      </c>
      <c r="V722" t="s">
        <v>13654</v>
      </c>
      <c r="W722" t="s">
        <v>13655</v>
      </c>
      <c r="X722" t="s">
        <v>13656</v>
      </c>
      <c r="Y722" t="s">
        <v>13657</v>
      </c>
      <c r="Z722" t="s">
        <v>13658</v>
      </c>
      <c r="AA722" t="s">
        <v>13659</v>
      </c>
      <c r="AB722" t="s">
        <v>13660</v>
      </c>
      <c r="AC722" t="s">
        <v>13661</v>
      </c>
      <c r="AD722" t="s">
        <v>13662</v>
      </c>
      <c r="AE722" t="s">
        <v>13663</v>
      </c>
      <c r="AF722" t="s">
        <v>74</v>
      </c>
      <c r="AG722">
        <v>68</v>
      </c>
      <c r="AH722">
        <v>11</v>
      </c>
      <c r="AI722">
        <v>13</v>
      </c>
      <c r="AJ722">
        <v>1</v>
      </c>
      <c r="AK722">
        <v>26</v>
      </c>
      <c r="AL722" t="s">
        <v>224</v>
      </c>
      <c r="AM722" t="s">
        <v>576</v>
      </c>
      <c r="AN722" t="s">
        <v>778</v>
      </c>
      <c r="AO722" t="s">
        <v>779</v>
      </c>
      <c r="AP722" t="s">
        <v>780</v>
      </c>
      <c r="AQ722" t="s">
        <v>74</v>
      </c>
      <c r="AR722" t="s">
        <v>781</v>
      </c>
      <c r="AS722" t="s">
        <v>782</v>
      </c>
      <c r="AT722" t="s">
        <v>11484</v>
      </c>
      <c r="AU722">
        <v>2014</v>
      </c>
      <c r="AV722">
        <v>37</v>
      </c>
      <c r="AW722">
        <v>6</v>
      </c>
      <c r="AX722" t="s">
        <v>74</v>
      </c>
      <c r="AY722" t="s">
        <v>74</v>
      </c>
      <c r="AZ722" t="s">
        <v>74</v>
      </c>
      <c r="BA722" t="s">
        <v>74</v>
      </c>
      <c r="BB722">
        <v>859</v>
      </c>
      <c r="BC722">
        <v>877</v>
      </c>
      <c r="BD722" t="s">
        <v>74</v>
      </c>
      <c r="BE722" t="s">
        <v>13664</v>
      </c>
      <c r="BF722" t="str">
        <f>HYPERLINK("http://dx.doi.org/10.1007/s00300-014-1487-9","http://dx.doi.org/10.1007/s00300-014-1487-9")</f>
        <v>http://dx.doi.org/10.1007/s00300-014-1487-9</v>
      </c>
      <c r="BG722" t="s">
        <v>74</v>
      </c>
      <c r="BH722" t="s">
        <v>74</v>
      </c>
      <c r="BI722">
        <v>19</v>
      </c>
      <c r="BJ722" t="s">
        <v>784</v>
      </c>
      <c r="BK722" t="s">
        <v>102</v>
      </c>
      <c r="BL722" t="s">
        <v>785</v>
      </c>
      <c r="BM722" t="s">
        <v>11957</v>
      </c>
      <c r="BN722" t="s">
        <v>74</v>
      </c>
      <c r="BO722" t="s">
        <v>74</v>
      </c>
      <c r="BP722" t="s">
        <v>74</v>
      </c>
      <c r="BQ722" t="s">
        <v>74</v>
      </c>
      <c r="BR722" t="s">
        <v>105</v>
      </c>
      <c r="BS722" t="s">
        <v>13665</v>
      </c>
      <c r="BT722" t="str">
        <f>HYPERLINK("https%3A%2F%2Fwww.webofscience.com%2Fwos%2Fwoscc%2Ffull-record%2FWOS:000338278200010","View Full Record in Web of Science")</f>
        <v>View Full Record in Web of Science</v>
      </c>
    </row>
    <row r="723" spans="1:72" x14ac:dyDescent="0.15">
      <c r="A723" t="s">
        <v>72</v>
      </c>
      <c r="B723" t="s">
        <v>13666</v>
      </c>
      <c r="C723" t="s">
        <v>74</v>
      </c>
      <c r="D723" t="s">
        <v>74</v>
      </c>
      <c r="E723" t="s">
        <v>74</v>
      </c>
      <c r="F723" t="s">
        <v>13667</v>
      </c>
      <c r="G723" t="s">
        <v>74</v>
      </c>
      <c r="H723" t="s">
        <v>74</v>
      </c>
      <c r="I723" t="s">
        <v>13668</v>
      </c>
      <c r="J723" t="s">
        <v>765</v>
      </c>
      <c r="K723" t="s">
        <v>74</v>
      </c>
      <c r="L723" t="s">
        <v>74</v>
      </c>
      <c r="M723" t="s">
        <v>78</v>
      </c>
      <c r="N723" t="s">
        <v>79</v>
      </c>
      <c r="O723" t="s">
        <v>74</v>
      </c>
      <c r="P723" t="s">
        <v>74</v>
      </c>
      <c r="Q723" t="s">
        <v>74</v>
      </c>
      <c r="R723" t="s">
        <v>74</v>
      </c>
      <c r="S723" t="s">
        <v>74</v>
      </c>
      <c r="T723" t="s">
        <v>13669</v>
      </c>
      <c r="U723" t="s">
        <v>13670</v>
      </c>
      <c r="V723" t="s">
        <v>13671</v>
      </c>
      <c r="W723" t="s">
        <v>13672</v>
      </c>
      <c r="X723" t="s">
        <v>13673</v>
      </c>
      <c r="Y723" t="s">
        <v>13674</v>
      </c>
      <c r="Z723" t="s">
        <v>13675</v>
      </c>
      <c r="AA723" t="s">
        <v>13676</v>
      </c>
      <c r="AB723" t="s">
        <v>13677</v>
      </c>
      <c r="AC723" t="s">
        <v>13678</v>
      </c>
      <c r="AD723" t="s">
        <v>13679</v>
      </c>
      <c r="AE723" t="s">
        <v>13680</v>
      </c>
      <c r="AF723" t="s">
        <v>74</v>
      </c>
      <c r="AG723">
        <v>33</v>
      </c>
      <c r="AH723">
        <v>13</v>
      </c>
      <c r="AI723">
        <v>13</v>
      </c>
      <c r="AJ723">
        <v>1</v>
      </c>
      <c r="AK723">
        <v>31</v>
      </c>
      <c r="AL723" t="s">
        <v>224</v>
      </c>
      <c r="AM723" t="s">
        <v>576</v>
      </c>
      <c r="AN723" t="s">
        <v>778</v>
      </c>
      <c r="AO723" t="s">
        <v>779</v>
      </c>
      <c r="AP723" t="s">
        <v>780</v>
      </c>
      <c r="AQ723" t="s">
        <v>74</v>
      </c>
      <c r="AR723" t="s">
        <v>781</v>
      </c>
      <c r="AS723" t="s">
        <v>782</v>
      </c>
      <c r="AT723" t="s">
        <v>11484</v>
      </c>
      <c r="AU723">
        <v>2014</v>
      </c>
      <c r="AV723">
        <v>37</v>
      </c>
      <c r="AW723">
        <v>6</v>
      </c>
      <c r="AX723" t="s">
        <v>74</v>
      </c>
      <c r="AY723" t="s">
        <v>74</v>
      </c>
      <c r="AZ723" t="s">
        <v>74</v>
      </c>
      <c r="BA723" t="s">
        <v>74</v>
      </c>
      <c r="BB723">
        <v>897</v>
      </c>
      <c r="BC723">
        <v>901</v>
      </c>
      <c r="BD723" t="s">
        <v>74</v>
      </c>
      <c r="BE723" t="s">
        <v>13681</v>
      </c>
      <c r="BF723" t="str">
        <f>HYPERLINK("http://dx.doi.org/10.1007/s00300-014-1483-0","http://dx.doi.org/10.1007/s00300-014-1483-0")</f>
        <v>http://dx.doi.org/10.1007/s00300-014-1483-0</v>
      </c>
      <c r="BG723" t="s">
        <v>74</v>
      </c>
      <c r="BH723" t="s">
        <v>74</v>
      </c>
      <c r="BI723">
        <v>5</v>
      </c>
      <c r="BJ723" t="s">
        <v>784</v>
      </c>
      <c r="BK723" t="s">
        <v>102</v>
      </c>
      <c r="BL723" t="s">
        <v>785</v>
      </c>
      <c r="BM723" t="s">
        <v>11957</v>
      </c>
      <c r="BN723" t="s">
        <v>74</v>
      </c>
      <c r="BO723" t="s">
        <v>3920</v>
      </c>
      <c r="BP723" t="s">
        <v>74</v>
      </c>
      <c r="BQ723" t="s">
        <v>74</v>
      </c>
      <c r="BR723" t="s">
        <v>105</v>
      </c>
      <c r="BS723" t="s">
        <v>13682</v>
      </c>
      <c r="BT723" t="str">
        <f>HYPERLINK("https%3A%2F%2Fwww.webofscience.com%2Fwos%2Fwoscc%2Ffull-record%2FWOS:000338278200013","View Full Record in Web of Science")</f>
        <v>View Full Record in Web of Science</v>
      </c>
    </row>
    <row r="724" spans="1:72" x14ac:dyDescent="0.15">
      <c r="A724" t="s">
        <v>72</v>
      </c>
      <c r="B724" t="s">
        <v>13683</v>
      </c>
      <c r="C724" t="s">
        <v>74</v>
      </c>
      <c r="D724" t="s">
        <v>74</v>
      </c>
      <c r="E724" t="s">
        <v>74</v>
      </c>
      <c r="F724" t="s">
        <v>13684</v>
      </c>
      <c r="G724" t="s">
        <v>74</v>
      </c>
      <c r="H724" t="s">
        <v>74</v>
      </c>
      <c r="I724" t="s">
        <v>13685</v>
      </c>
      <c r="J724" t="s">
        <v>12079</v>
      </c>
      <c r="K724" t="s">
        <v>74</v>
      </c>
      <c r="L724" t="s">
        <v>74</v>
      </c>
      <c r="M724" t="s">
        <v>78</v>
      </c>
      <c r="N724" t="s">
        <v>79</v>
      </c>
      <c r="O724" t="s">
        <v>74</v>
      </c>
      <c r="P724" t="s">
        <v>74</v>
      </c>
      <c r="Q724" t="s">
        <v>74</v>
      </c>
      <c r="R724" t="s">
        <v>74</v>
      </c>
      <c r="S724" t="s">
        <v>74</v>
      </c>
      <c r="T724" t="s">
        <v>74</v>
      </c>
      <c r="U724" t="s">
        <v>13686</v>
      </c>
      <c r="V724" t="s">
        <v>13687</v>
      </c>
      <c r="W724" t="s">
        <v>13688</v>
      </c>
      <c r="X724" t="s">
        <v>13689</v>
      </c>
      <c r="Y724" t="s">
        <v>13690</v>
      </c>
      <c r="Z724" t="s">
        <v>13691</v>
      </c>
      <c r="AA724" t="s">
        <v>13692</v>
      </c>
      <c r="AB724" t="s">
        <v>13693</v>
      </c>
      <c r="AC724" t="s">
        <v>13694</v>
      </c>
      <c r="AD724" t="s">
        <v>13695</v>
      </c>
      <c r="AE724" t="s">
        <v>74</v>
      </c>
      <c r="AF724" t="s">
        <v>74</v>
      </c>
      <c r="AG724">
        <v>173</v>
      </c>
      <c r="AH724">
        <v>358</v>
      </c>
      <c r="AI724">
        <v>393</v>
      </c>
      <c r="AJ724">
        <v>23</v>
      </c>
      <c r="AK724">
        <v>310</v>
      </c>
      <c r="AL724" t="s">
        <v>2353</v>
      </c>
      <c r="AM724" t="s">
        <v>576</v>
      </c>
      <c r="AN724" t="s">
        <v>2354</v>
      </c>
      <c r="AO724" t="s">
        <v>12083</v>
      </c>
      <c r="AP724" t="s">
        <v>12084</v>
      </c>
      <c r="AQ724" t="s">
        <v>74</v>
      </c>
      <c r="AR724" t="s">
        <v>12085</v>
      </c>
      <c r="AS724" t="s">
        <v>12086</v>
      </c>
      <c r="AT724" t="s">
        <v>11484</v>
      </c>
      <c r="AU724">
        <v>2014</v>
      </c>
      <c r="AV724">
        <v>50</v>
      </c>
      <c r="AW724">
        <v>3</v>
      </c>
      <c r="AX724" t="s">
        <v>74</v>
      </c>
      <c r="AY724" t="s">
        <v>74</v>
      </c>
      <c r="AZ724" t="s">
        <v>74</v>
      </c>
      <c r="BA724" t="s">
        <v>74</v>
      </c>
      <c r="BB724">
        <v>237</v>
      </c>
      <c r="BC724">
        <v>259</v>
      </c>
      <c r="BD724" t="s">
        <v>74</v>
      </c>
      <c r="BE724" t="s">
        <v>13696</v>
      </c>
      <c r="BF724" t="str">
        <f>HYPERLINK("http://dx.doi.org/10.1017/S0032247413000296","http://dx.doi.org/10.1017/S0032247413000296")</f>
        <v>http://dx.doi.org/10.1017/S0032247413000296</v>
      </c>
      <c r="BG724" t="s">
        <v>74</v>
      </c>
      <c r="BH724" t="s">
        <v>74</v>
      </c>
      <c r="BI724">
        <v>23</v>
      </c>
      <c r="BJ724" t="s">
        <v>2552</v>
      </c>
      <c r="BK724" t="s">
        <v>102</v>
      </c>
      <c r="BL724" t="s">
        <v>2553</v>
      </c>
      <c r="BM724" t="s">
        <v>12088</v>
      </c>
      <c r="BN724" t="s">
        <v>74</v>
      </c>
      <c r="BO724" t="s">
        <v>3920</v>
      </c>
      <c r="BP724" t="s">
        <v>3371</v>
      </c>
      <c r="BQ724" t="s">
        <v>3372</v>
      </c>
      <c r="BR724" t="s">
        <v>105</v>
      </c>
      <c r="BS724" t="s">
        <v>13697</v>
      </c>
      <c r="BT724" t="str">
        <f>HYPERLINK("https%3A%2F%2Fwww.webofscience.com%2Fwos%2Fwoscc%2Ffull-record%2FWOS:000337752900002","View Full Record in Web of Science")</f>
        <v>View Full Record in Web of Science</v>
      </c>
    </row>
    <row r="725" spans="1:72" x14ac:dyDescent="0.15">
      <c r="A725" t="s">
        <v>72</v>
      </c>
      <c r="B725" t="s">
        <v>13698</v>
      </c>
      <c r="C725" t="s">
        <v>74</v>
      </c>
      <c r="D725" t="s">
        <v>74</v>
      </c>
      <c r="E725" t="s">
        <v>74</v>
      </c>
      <c r="F725" t="s">
        <v>13699</v>
      </c>
      <c r="G725" t="s">
        <v>74</v>
      </c>
      <c r="H725" t="s">
        <v>74</v>
      </c>
      <c r="I725" t="s">
        <v>13700</v>
      </c>
      <c r="J725" t="s">
        <v>13701</v>
      </c>
      <c r="K725" t="s">
        <v>74</v>
      </c>
      <c r="L725" t="s">
        <v>74</v>
      </c>
      <c r="M725" t="s">
        <v>78</v>
      </c>
      <c r="N725" t="s">
        <v>79</v>
      </c>
      <c r="O725" t="s">
        <v>74</v>
      </c>
      <c r="P725" t="s">
        <v>74</v>
      </c>
      <c r="Q725" t="s">
        <v>74</v>
      </c>
      <c r="R725" t="s">
        <v>74</v>
      </c>
      <c r="S725" t="s">
        <v>74</v>
      </c>
      <c r="T725" t="s">
        <v>13702</v>
      </c>
      <c r="U725" t="s">
        <v>13703</v>
      </c>
      <c r="V725" t="s">
        <v>13704</v>
      </c>
      <c r="W725" t="s">
        <v>13705</v>
      </c>
      <c r="X725" t="s">
        <v>2323</v>
      </c>
      <c r="Y725" t="s">
        <v>13706</v>
      </c>
      <c r="Z725" t="s">
        <v>13707</v>
      </c>
      <c r="AA725" t="s">
        <v>2326</v>
      </c>
      <c r="AB725" t="s">
        <v>74</v>
      </c>
      <c r="AC725" t="s">
        <v>13708</v>
      </c>
      <c r="AD725" t="s">
        <v>13709</v>
      </c>
      <c r="AE725" t="s">
        <v>13710</v>
      </c>
      <c r="AF725" t="s">
        <v>74</v>
      </c>
      <c r="AG725">
        <v>32</v>
      </c>
      <c r="AH725">
        <v>19</v>
      </c>
      <c r="AI725">
        <v>20</v>
      </c>
      <c r="AJ725">
        <v>1</v>
      </c>
      <c r="AK725">
        <v>23</v>
      </c>
      <c r="AL725" t="s">
        <v>601</v>
      </c>
      <c r="AM725" t="s">
        <v>251</v>
      </c>
      <c r="AN725" t="s">
        <v>602</v>
      </c>
      <c r="AO725" t="s">
        <v>13711</v>
      </c>
      <c r="AP725" t="s">
        <v>13712</v>
      </c>
      <c r="AQ725" t="s">
        <v>74</v>
      </c>
      <c r="AR725" t="s">
        <v>13713</v>
      </c>
      <c r="AS725" t="s">
        <v>13714</v>
      </c>
      <c r="AT725" t="s">
        <v>11484</v>
      </c>
      <c r="AU725">
        <v>2014</v>
      </c>
      <c r="AV725">
        <v>49</v>
      </c>
      <c r="AW725">
        <v>6</v>
      </c>
      <c r="AX725" t="s">
        <v>74</v>
      </c>
      <c r="AY725" t="s">
        <v>74</v>
      </c>
      <c r="AZ725" t="s">
        <v>74</v>
      </c>
      <c r="BA725" t="s">
        <v>74</v>
      </c>
      <c r="BB725">
        <v>936</v>
      </c>
      <c r="BC725">
        <v>947</v>
      </c>
      <c r="BD725" t="s">
        <v>74</v>
      </c>
      <c r="BE725" t="s">
        <v>13715</v>
      </c>
      <c r="BF725" t="str">
        <f>HYPERLINK("http://dx.doi.org/10.1016/j.procbio.2014.03.019","http://dx.doi.org/10.1016/j.procbio.2014.03.019")</f>
        <v>http://dx.doi.org/10.1016/j.procbio.2014.03.019</v>
      </c>
      <c r="BG725" t="s">
        <v>74</v>
      </c>
      <c r="BH725" t="s">
        <v>74</v>
      </c>
      <c r="BI725">
        <v>12</v>
      </c>
      <c r="BJ725" t="s">
        <v>13716</v>
      </c>
      <c r="BK725" t="s">
        <v>102</v>
      </c>
      <c r="BL725" t="s">
        <v>13717</v>
      </c>
      <c r="BM725" t="s">
        <v>13718</v>
      </c>
      <c r="BN725" t="s">
        <v>74</v>
      </c>
      <c r="BO725" t="s">
        <v>74</v>
      </c>
      <c r="BP725" t="s">
        <v>74</v>
      </c>
      <c r="BQ725" t="s">
        <v>74</v>
      </c>
      <c r="BR725" t="s">
        <v>105</v>
      </c>
      <c r="BS725" t="s">
        <v>13719</v>
      </c>
      <c r="BT725" t="str">
        <f>HYPERLINK("https%3A%2F%2Fwww.webofscience.com%2Fwos%2Fwoscc%2Ffull-record%2FWOS:000337658700004","View Full Record in Web of Science")</f>
        <v>View Full Record in Web of Science</v>
      </c>
    </row>
    <row r="726" spans="1:72" x14ac:dyDescent="0.15">
      <c r="A726" t="s">
        <v>72</v>
      </c>
      <c r="B726" t="s">
        <v>13720</v>
      </c>
      <c r="C726" t="s">
        <v>74</v>
      </c>
      <c r="D726" t="s">
        <v>74</v>
      </c>
      <c r="E726" t="s">
        <v>74</v>
      </c>
      <c r="F726" t="s">
        <v>13721</v>
      </c>
      <c r="G726" t="s">
        <v>74</v>
      </c>
      <c r="H726" t="s">
        <v>74</v>
      </c>
      <c r="I726" t="s">
        <v>13722</v>
      </c>
      <c r="J726" t="s">
        <v>7312</v>
      </c>
      <c r="K726" t="s">
        <v>74</v>
      </c>
      <c r="L726" t="s">
        <v>74</v>
      </c>
      <c r="M726" t="s">
        <v>78</v>
      </c>
      <c r="N726" t="s">
        <v>185</v>
      </c>
      <c r="O726" t="s">
        <v>74</v>
      </c>
      <c r="P726" t="s">
        <v>74</v>
      </c>
      <c r="Q726" t="s">
        <v>74</v>
      </c>
      <c r="R726" t="s">
        <v>74</v>
      </c>
      <c r="S726" t="s">
        <v>74</v>
      </c>
      <c r="T726" t="s">
        <v>74</v>
      </c>
      <c r="U726" t="s">
        <v>13723</v>
      </c>
      <c r="V726" t="s">
        <v>13724</v>
      </c>
      <c r="W726" t="s">
        <v>13725</v>
      </c>
      <c r="X726" t="s">
        <v>13726</v>
      </c>
      <c r="Y726" t="s">
        <v>13727</v>
      </c>
      <c r="Z726" t="s">
        <v>13728</v>
      </c>
      <c r="AA726" t="s">
        <v>13729</v>
      </c>
      <c r="AB726" t="s">
        <v>13730</v>
      </c>
      <c r="AC726" t="s">
        <v>13731</v>
      </c>
      <c r="AD726" t="s">
        <v>13732</v>
      </c>
      <c r="AE726" t="s">
        <v>13733</v>
      </c>
      <c r="AF726" t="s">
        <v>74</v>
      </c>
      <c r="AG726">
        <v>88</v>
      </c>
      <c r="AH726">
        <v>9</v>
      </c>
      <c r="AI726">
        <v>10</v>
      </c>
      <c r="AJ726">
        <v>5</v>
      </c>
      <c r="AK726">
        <v>31</v>
      </c>
      <c r="AL726" t="s">
        <v>250</v>
      </c>
      <c r="AM726" t="s">
        <v>251</v>
      </c>
      <c r="AN726" t="s">
        <v>252</v>
      </c>
      <c r="AO726" t="s">
        <v>7324</v>
      </c>
      <c r="AP726" t="s">
        <v>74</v>
      </c>
      <c r="AQ726" t="s">
        <v>74</v>
      </c>
      <c r="AR726" t="s">
        <v>7325</v>
      </c>
      <c r="AS726" t="s">
        <v>7326</v>
      </c>
      <c r="AT726" t="s">
        <v>11484</v>
      </c>
      <c r="AU726">
        <v>2014</v>
      </c>
      <c r="AV726">
        <v>125</v>
      </c>
      <c r="AW726" t="s">
        <v>74</v>
      </c>
      <c r="AX726" t="s">
        <v>74</v>
      </c>
      <c r="AY726" t="s">
        <v>74</v>
      </c>
      <c r="AZ726" t="s">
        <v>74</v>
      </c>
      <c r="BA726" t="s">
        <v>74</v>
      </c>
      <c r="BB726">
        <v>1</v>
      </c>
      <c r="BC726">
        <v>15</v>
      </c>
      <c r="BD726" t="s">
        <v>74</v>
      </c>
      <c r="BE726" t="s">
        <v>13734</v>
      </c>
      <c r="BF726" t="str">
        <f>HYPERLINK("http://dx.doi.org/10.1016/j.pocean.2014.05.001","http://dx.doi.org/10.1016/j.pocean.2014.05.001")</f>
        <v>http://dx.doi.org/10.1016/j.pocean.2014.05.001</v>
      </c>
      <c r="BG726" t="s">
        <v>74</v>
      </c>
      <c r="BH726" t="s">
        <v>74</v>
      </c>
      <c r="BI726">
        <v>15</v>
      </c>
      <c r="BJ726" t="s">
        <v>152</v>
      </c>
      <c r="BK726" t="s">
        <v>102</v>
      </c>
      <c r="BL726" t="s">
        <v>152</v>
      </c>
      <c r="BM726" t="s">
        <v>13735</v>
      </c>
      <c r="BN726" t="s">
        <v>74</v>
      </c>
      <c r="BO726" t="s">
        <v>359</v>
      </c>
      <c r="BP726" t="s">
        <v>74</v>
      </c>
      <c r="BQ726" t="s">
        <v>74</v>
      </c>
      <c r="BR726" t="s">
        <v>105</v>
      </c>
      <c r="BS726" t="s">
        <v>13736</v>
      </c>
      <c r="BT726" t="str">
        <f>HYPERLINK("https%3A%2F%2Fwww.webofscience.com%2Fwos%2Fwoscc%2Ffull-record%2FWOS:000338415200001","View Full Record in Web of Science")</f>
        <v>View Full Record in Web of Science</v>
      </c>
    </row>
    <row r="727" spans="1:72" x14ac:dyDescent="0.15">
      <c r="A727" t="s">
        <v>72</v>
      </c>
      <c r="B727" t="s">
        <v>13737</v>
      </c>
      <c r="C727" t="s">
        <v>74</v>
      </c>
      <c r="D727" t="s">
        <v>74</v>
      </c>
      <c r="E727" t="s">
        <v>74</v>
      </c>
      <c r="F727" t="s">
        <v>13738</v>
      </c>
      <c r="G727" t="s">
        <v>74</v>
      </c>
      <c r="H727" t="s">
        <v>74</v>
      </c>
      <c r="I727" t="s">
        <v>13739</v>
      </c>
      <c r="J727" t="s">
        <v>13740</v>
      </c>
      <c r="K727" t="s">
        <v>74</v>
      </c>
      <c r="L727" t="s">
        <v>74</v>
      </c>
      <c r="M727" t="s">
        <v>78</v>
      </c>
      <c r="N727" t="s">
        <v>79</v>
      </c>
      <c r="O727" t="s">
        <v>74</v>
      </c>
      <c r="P727" t="s">
        <v>74</v>
      </c>
      <c r="Q727" t="s">
        <v>74</v>
      </c>
      <c r="R727" t="s">
        <v>74</v>
      </c>
      <c r="S727" t="s">
        <v>74</v>
      </c>
      <c r="T727" t="s">
        <v>74</v>
      </c>
      <c r="U727" t="s">
        <v>13741</v>
      </c>
      <c r="V727" t="s">
        <v>13742</v>
      </c>
      <c r="W727" t="s">
        <v>13743</v>
      </c>
      <c r="X727" t="s">
        <v>13744</v>
      </c>
      <c r="Y727" t="s">
        <v>13745</v>
      </c>
      <c r="Z727" t="s">
        <v>13746</v>
      </c>
      <c r="AA727" t="s">
        <v>13747</v>
      </c>
      <c r="AB727" t="s">
        <v>13748</v>
      </c>
      <c r="AC727" t="s">
        <v>13749</v>
      </c>
      <c r="AD727" t="s">
        <v>13750</v>
      </c>
      <c r="AE727" t="s">
        <v>13751</v>
      </c>
      <c r="AF727" t="s">
        <v>74</v>
      </c>
      <c r="AG727">
        <v>32</v>
      </c>
      <c r="AH727">
        <v>24</v>
      </c>
      <c r="AI727">
        <v>26</v>
      </c>
      <c r="AJ727">
        <v>1</v>
      </c>
      <c r="AK727">
        <v>3</v>
      </c>
      <c r="AL727" t="s">
        <v>224</v>
      </c>
      <c r="AM727" t="s">
        <v>576</v>
      </c>
      <c r="AN727" t="s">
        <v>577</v>
      </c>
      <c r="AO727" t="s">
        <v>13752</v>
      </c>
      <c r="AP727" t="s">
        <v>13753</v>
      </c>
      <c r="AQ727" t="s">
        <v>74</v>
      </c>
      <c r="AR727" t="s">
        <v>13754</v>
      </c>
      <c r="AS727" t="s">
        <v>13755</v>
      </c>
      <c r="AT727" t="s">
        <v>11484</v>
      </c>
      <c r="AU727">
        <v>2014</v>
      </c>
      <c r="AV727">
        <v>57</v>
      </c>
      <c r="AW727">
        <v>1</v>
      </c>
      <c r="AX727" t="s">
        <v>74</v>
      </c>
      <c r="AY727" t="s">
        <v>74</v>
      </c>
      <c r="AZ727" t="s">
        <v>74</v>
      </c>
      <c r="BA727" t="s">
        <v>74</v>
      </c>
      <c r="BB727">
        <v>1</v>
      </c>
      <c r="BC727">
        <v>19</v>
      </c>
      <c r="BD727" t="s">
        <v>74</v>
      </c>
      <c r="BE727" t="s">
        <v>74</v>
      </c>
      <c r="BF727" t="s">
        <v>74</v>
      </c>
      <c r="BG727" t="s">
        <v>74</v>
      </c>
      <c r="BH727" t="s">
        <v>74</v>
      </c>
      <c r="BI727">
        <v>19</v>
      </c>
      <c r="BJ727" t="s">
        <v>13756</v>
      </c>
      <c r="BK727" t="s">
        <v>102</v>
      </c>
      <c r="BL727" t="s">
        <v>13757</v>
      </c>
      <c r="BM727" t="s">
        <v>13758</v>
      </c>
      <c r="BN727" t="s">
        <v>74</v>
      </c>
      <c r="BO727" t="s">
        <v>74</v>
      </c>
      <c r="BP727" t="s">
        <v>74</v>
      </c>
      <c r="BQ727" t="s">
        <v>74</v>
      </c>
      <c r="BR727" t="s">
        <v>105</v>
      </c>
      <c r="BS727" t="s">
        <v>13759</v>
      </c>
      <c r="BT727" t="str">
        <f>HYPERLINK("https%3A%2F%2Fwww.webofscience.com%2Fwos%2Fwoscc%2Ffull-record%2FWOS:000340890200001","View Full Record in Web of Science")</f>
        <v>View Full Record in Web of Science</v>
      </c>
    </row>
    <row r="728" spans="1:72" x14ac:dyDescent="0.15">
      <c r="A728" t="s">
        <v>72</v>
      </c>
      <c r="B728" t="s">
        <v>13760</v>
      </c>
      <c r="C728" t="s">
        <v>74</v>
      </c>
      <c r="D728" t="s">
        <v>74</v>
      </c>
      <c r="E728" t="s">
        <v>74</v>
      </c>
      <c r="F728" t="s">
        <v>13761</v>
      </c>
      <c r="G728" t="s">
        <v>74</v>
      </c>
      <c r="H728" t="s">
        <v>74</v>
      </c>
      <c r="I728" t="s">
        <v>13762</v>
      </c>
      <c r="J728" t="s">
        <v>12620</v>
      </c>
      <c r="K728" t="s">
        <v>74</v>
      </c>
      <c r="L728" t="s">
        <v>74</v>
      </c>
      <c r="M728" t="s">
        <v>78</v>
      </c>
      <c r="N728" t="s">
        <v>1516</v>
      </c>
      <c r="O728" t="s">
        <v>74</v>
      </c>
      <c r="P728" t="s">
        <v>74</v>
      </c>
      <c r="Q728" t="s">
        <v>74</v>
      </c>
      <c r="R728" t="s">
        <v>74</v>
      </c>
      <c r="S728" t="s">
        <v>74</v>
      </c>
      <c r="T728" t="s">
        <v>74</v>
      </c>
      <c r="U728" t="s">
        <v>13763</v>
      </c>
      <c r="V728" t="s">
        <v>74</v>
      </c>
      <c r="W728" t="s">
        <v>13764</v>
      </c>
      <c r="X728" t="s">
        <v>13765</v>
      </c>
      <c r="Y728" t="s">
        <v>13766</v>
      </c>
      <c r="Z728" t="s">
        <v>13767</v>
      </c>
      <c r="AA728" t="s">
        <v>13768</v>
      </c>
      <c r="AB728" t="s">
        <v>13769</v>
      </c>
      <c r="AC728" t="s">
        <v>74</v>
      </c>
      <c r="AD728" t="s">
        <v>74</v>
      </c>
      <c r="AE728" t="s">
        <v>74</v>
      </c>
      <c r="AF728" t="s">
        <v>74</v>
      </c>
      <c r="AG728">
        <v>28</v>
      </c>
      <c r="AH728">
        <v>38</v>
      </c>
      <c r="AI728">
        <v>38</v>
      </c>
      <c r="AJ728">
        <v>1</v>
      </c>
      <c r="AK728">
        <v>54</v>
      </c>
      <c r="AL728" t="s">
        <v>224</v>
      </c>
      <c r="AM728" t="s">
        <v>225</v>
      </c>
      <c r="AN728" t="s">
        <v>226</v>
      </c>
      <c r="AO728" t="s">
        <v>12630</v>
      </c>
      <c r="AP728" t="s">
        <v>12631</v>
      </c>
      <c r="AQ728" t="s">
        <v>74</v>
      </c>
      <c r="AR728" t="s">
        <v>12632</v>
      </c>
      <c r="AS728" t="s">
        <v>12633</v>
      </c>
      <c r="AT728" t="s">
        <v>11484</v>
      </c>
      <c r="AU728">
        <v>2014</v>
      </c>
      <c r="AV728">
        <v>24</v>
      </c>
      <c r="AW728">
        <v>2</v>
      </c>
      <c r="AX728" t="s">
        <v>74</v>
      </c>
      <c r="AY728" t="s">
        <v>74</v>
      </c>
      <c r="AZ728" t="s">
        <v>258</v>
      </c>
      <c r="BA728" t="s">
        <v>74</v>
      </c>
      <c r="BB728">
        <v>409</v>
      </c>
      <c r="BC728">
        <v>413</v>
      </c>
      <c r="BD728" t="s">
        <v>74</v>
      </c>
      <c r="BE728" t="s">
        <v>13770</v>
      </c>
      <c r="BF728" t="str">
        <f>HYPERLINK("http://dx.doi.org/10.1007/s11160-014-9355-9","http://dx.doi.org/10.1007/s11160-014-9355-9")</f>
        <v>http://dx.doi.org/10.1007/s11160-014-9355-9</v>
      </c>
      <c r="BG728" t="s">
        <v>74</v>
      </c>
      <c r="BH728" t="s">
        <v>74</v>
      </c>
      <c r="BI728">
        <v>5</v>
      </c>
      <c r="BJ728" t="s">
        <v>9758</v>
      </c>
      <c r="BK728" t="s">
        <v>102</v>
      </c>
      <c r="BL728" t="s">
        <v>9758</v>
      </c>
      <c r="BM728" t="s">
        <v>12635</v>
      </c>
      <c r="BN728" t="s">
        <v>74</v>
      </c>
      <c r="BO728" t="s">
        <v>179</v>
      </c>
      <c r="BP728" t="s">
        <v>74</v>
      </c>
      <c r="BQ728" t="s">
        <v>74</v>
      </c>
      <c r="BR728" t="s">
        <v>105</v>
      </c>
      <c r="BS728" t="s">
        <v>13771</v>
      </c>
      <c r="BT728" t="str">
        <f>HYPERLINK("https%3A%2F%2Fwww.webofscience.com%2Fwos%2Fwoscc%2Ffull-record%2FWOS:000336285600001","View Full Record in Web of Science")</f>
        <v>View Full Record in Web of Science</v>
      </c>
    </row>
    <row r="729" spans="1:72" x14ac:dyDescent="0.15">
      <c r="A729" t="s">
        <v>72</v>
      </c>
      <c r="B729" t="s">
        <v>13772</v>
      </c>
      <c r="C729" t="s">
        <v>74</v>
      </c>
      <c r="D729" t="s">
        <v>74</v>
      </c>
      <c r="E729" t="s">
        <v>74</v>
      </c>
      <c r="F729" t="s">
        <v>13773</v>
      </c>
      <c r="G729" t="s">
        <v>74</v>
      </c>
      <c r="H729" t="s">
        <v>74</v>
      </c>
      <c r="I729" t="s">
        <v>13774</v>
      </c>
      <c r="J729" t="s">
        <v>12620</v>
      </c>
      <c r="K729" t="s">
        <v>74</v>
      </c>
      <c r="L729" t="s">
        <v>74</v>
      </c>
      <c r="M729" t="s">
        <v>78</v>
      </c>
      <c r="N729" t="s">
        <v>79</v>
      </c>
      <c r="O729" t="s">
        <v>74</v>
      </c>
      <c r="P729" t="s">
        <v>74</v>
      </c>
      <c r="Q729" t="s">
        <v>74</v>
      </c>
      <c r="R729" t="s">
        <v>74</v>
      </c>
      <c r="S729" t="s">
        <v>74</v>
      </c>
      <c r="T729" t="s">
        <v>13775</v>
      </c>
      <c r="U729" t="s">
        <v>13776</v>
      </c>
      <c r="V729" t="s">
        <v>13777</v>
      </c>
      <c r="W729" t="s">
        <v>13778</v>
      </c>
      <c r="X729" t="s">
        <v>13779</v>
      </c>
      <c r="Y729" t="s">
        <v>13766</v>
      </c>
      <c r="Z729" t="s">
        <v>13767</v>
      </c>
      <c r="AA729" t="s">
        <v>13780</v>
      </c>
      <c r="AB729" t="s">
        <v>13781</v>
      </c>
      <c r="AC729" t="s">
        <v>13782</v>
      </c>
      <c r="AD729" t="s">
        <v>13783</v>
      </c>
      <c r="AE729" t="s">
        <v>13784</v>
      </c>
      <c r="AF729" t="s">
        <v>74</v>
      </c>
      <c r="AG729">
        <v>66</v>
      </c>
      <c r="AH729">
        <v>444</v>
      </c>
      <c r="AI729">
        <v>460</v>
      </c>
      <c r="AJ729">
        <v>10</v>
      </c>
      <c r="AK729">
        <v>188</v>
      </c>
      <c r="AL729" t="s">
        <v>224</v>
      </c>
      <c r="AM729" t="s">
        <v>225</v>
      </c>
      <c r="AN729" t="s">
        <v>226</v>
      </c>
      <c r="AO729" t="s">
        <v>12630</v>
      </c>
      <c r="AP729" t="s">
        <v>12631</v>
      </c>
      <c r="AQ729" t="s">
        <v>74</v>
      </c>
      <c r="AR729" t="s">
        <v>12632</v>
      </c>
      <c r="AS729" t="s">
        <v>12633</v>
      </c>
      <c r="AT729" t="s">
        <v>11484</v>
      </c>
      <c r="AU729">
        <v>2014</v>
      </c>
      <c r="AV729">
        <v>24</v>
      </c>
      <c r="AW729">
        <v>2</v>
      </c>
      <c r="AX729" t="s">
        <v>74</v>
      </c>
      <c r="AY729" t="s">
        <v>74</v>
      </c>
      <c r="AZ729" t="s">
        <v>258</v>
      </c>
      <c r="BA729" t="s">
        <v>74</v>
      </c>
      <c r="BB729">
        <v>415</v>
      </c>
      <c r="BC729">
        <v>425</v>
      </c>
      <c r="BD729" t="s">
        <v>74</v>
      </c>
      <c r="BE729" t="s">
        <v>13785</v>
      </c>
      <c r="BF729" t="str">
        <f>HYPERLINK("http://dx.doi.org/10.1007/s11160-013-9326-6","http://dx.doi.org/10.1007/s11160-013-9326-6")</f>
        <v>http://dx.doi.org/10.1007/s11160-013-9326-6</v>
      </c>
      <c r="BG729" t="s">
        <v>74</v>
      </c>
      <c r="BH729" t="s">
        <v>74</v>
      </c>
      <c r="BI729">
        <v>11</v>
      </c>
      <c r="BJ729" t="s">
        <v>9758</v>
      </c>
      <c r="BK729" t="s">
        <v>1690</v>
      </c>
      <c r="BL729" t="s">
        <v>9758</v>
      </c>
      <c r="BM729" t="s">
        <v>12635</v>
      </c>
      <c r="BN729" t="s">
        <v>74</v>
      </c>
      <c r="BO729" t="s">
        <v>74</v>
      </c>
      <c r="BP729" t="s">
        <v>3371</v>
      </c>
      <c r="BQ729" t="s">
        <v>3372</v>
      </c>
      <c r="BR729" t="s">
        <v>105</v>
      </c>
      <c r="BS729" t="s">
        <v>13786</v>
      </c>
      <c r="BT729" t="str">
        <f>HYPERLINK("https%3A%2F%2Fwww.webofscience.com%2Fwos%2Fwoscc%2Ffull-record%2FWOS:000336285600002","View Full Record in Web of Science")</f>
        <v>View Full Record in Web of Science</v>
      </c>
    </row>
    <row r="730" spans="1:72" x14ac:dyDescent="0.15">
      <c r="A730" t="s">
        <v>72</v>
      </c>
      <c r="B730" t="s">
        <v>13787</v>
      </c>
      <c r="C730" t="s">
        <v>74</v>
      </c>
      <c r="D730" t="s">
        <v>74</v>
      </c>
      <c r="E730" t="s">
        <v>74</v>
      </c>
      <c r="F730" t="s">
        <v>13788</v>
      </c>
      <c r="G730" t="s">
        <v>74</v>
      </c>
      <c r="H730" t="s">
        <v>74</v>
      </c>
      <c r="I730" t="s">
        <v>13789</v>
      </c>
      <c r="J730" t="s">
        <v>12620</v>
      </c>
      <c r="K730" t="s">
        <v>74</v>
      </c>
      <c r="L730" t="s">
        <v>74</v>
      </c>
      <c r="M730" t="s">
        <v>78</v>
      </c>
      <c r="N730" t="s">
        <v>79</v>
      </c>
      <c r="O730" t="s">
        <v>74</v>
      </c>
      <c r="P730" t="s">
        <v>74</v>
      </c>
      <c r="Q730" t="s">
        <v>74</v>
      </c>
      <c r="R730" t="s">
        <v>74</v>
      </c>
      <c r="S730" t="s">
        <v>74</v>
      </c>
      <c r="T730" t="s">
        <v>13790</v>
      </c>
      <c r="U730" t="s">
        <v>13791</v>
      </c>
      <c r="V730" t="s">
        <v>13792</v>
      </c>
      <c r="W730" t="s">
        <v>13793</v>
      </c>
      <c r="X730" t="s">
        <v>1022</v>
      </c>
      <c r="Y730" t="s">
        <v>13794</v>
      </c>
      <c r="Z730" t="s">
        <v>10028</v>
      </c>
      <c r="AA730" t="s">
        <v>74</v>
      </c>
      <c r="AB730" t="s">
        <v>13795</v>
      </c>
      <c r="AC730" t="s">
        <v>13796</v>
      </c>
      <c r="AD730" t="s">
        <v>13797</v>
      </c>
      <c r="AE730" t="s">
        <v>13798</v>
      </c>
      <c r="AF730" t="s">
        <v>74</v>
      </c>
      <c r="AG730">
        <v>62</v>
      </c>
      <c r="AH730">
        <v>5</v>
      </c>
      <c r="AI730">
        <v>6</v>
      </c>
      <c r="AJ730">
        <v>0</v>
      </c>
      <c r="AK730">
        <v>49</v>
      </c>
      <c r="AL730" t="s">
        <v>224</v>
      </c>
      <c r="AM730" t="s">
        <v>225</v>
      </c>
      <c r="AN730" t="s">
        <v>226</v>
      </c>
      <c r="AO730" t="s">
        <v>12630</v>
      </c>
      <c r="AP730" t="s">
        <v>12631</v>
      </c>
      <c r="AQ730" t="s">
        <v>74</v>
      </c>
      <c r="AR730" t="s">
        <v>12632</v>
      </c>
      <c r="AS730" t="s">
        <v>12633</v>
      </c>
      <c r="AT730" t="s">
        <v>11484</v>
      </c>
      <c r="AU730">
        <v>2014</v>
      </c>
      <c r="AV730">
        <v>24</v>
      </c>
      <c r="AW730">
        <v>2</v>
      </c>
      <c r="AX730" t="s">
        <v>74</v>
      </c>
      <c r="AY730" t="s">
        <v>74</v>
      </c>
      <c r="AZ730" t="s">
        <v>258</v>
      </c>
      <c r="BA730" t="s">
        <v>74</v>
      </c>
      <c r="BB730">
        <v>485</v>
      </c>
      <c r="BC730">
        <v>492</v>
      </c>
      <c r="BD730" t="s">
        <v>74</v>
      </c>
      <c r="BE730" t="s">
        <v>13799</v>
      </c>
      <c r="BF730" t="str">
        <f>HYPERLINK("http://dx.doi.org/10.1007/s11160-013-9308-8","http://dx.doi.org/10.1007/s11160-013-9308-8")</f>
        <v>http://dx.doi.org/10.1007/s11160-013-9308-8</v>
      </c>
      <c r="BG730" t="s">
        <v>74</v>
      </c>
      <c r="BH730" t="s">
        <v>74</v>
      </c>
      <c r="BI730">
        <v>8</v>
      </c>
      <c r="BJ730" t="s">
        <v>9758</v>
      </c>
      <c r="BK730" t="s">
        <v>102</v>
      </c>
      <c r="BL730" t="s">
        <v>9758</v>
      </c>
      <c r="BM730" t="s">
        <v>12635</v>
      </c>
      <c r="BN730" t="s">
        <v>74</v>
      </c>
      <c r="BO730" t="s">
        <v>359</v>
      </c>
      <c r="BP730" t="s">
        <v>74</v>
      </c>
      <c r="BQ730" t="s">
        <v>74</v>
      </c>
      <c r="BR730" t="s">
        <v>105</v>
      </c>
      <c r="BS730" t="s">
        <v>13800</v>
      </c>
      <c r="BT730" t="str">
        <f>HYPERLINK("https%3A%2F%2Fwww.webofscience.com%2Fwos%2Fwoscc%2Ffull-record%2FWOS:000336285600006","View Full Record in Web of Science")</f>
        <v>View Full Record in Web of Science</v>
      </c>
    </row>
    <row r="731" spans="1:72" x14ac:dyDescent="0.15">
      <c r="A731" t="s">
        <v>72</v>
      </c>
      <c r="B731" t="s">
        <v>13801</v>
      </c>
      <c r="C731" t="s">
        <v>74</v>
      </c>
      <c r="D731" t="s">
        <v>74</v>
      </c>
      <c r="E731" t="s">
        <v>74</v>
      </c>
      <c r="F731" t="s">
        <v>13802</v>
      </c>
      <c r="G731" t="s">
        <v>74</v>
      </c>
      <c r="H731" t="s">
        <v>74</v>
      </c>
      <c r="I731" t="s">
        <v>13803</v>
      </c>
      <c r="J731" t="s">
        <v>12620</v>
      </c>
      <c r="K731" t="s">
        <v>74</v>
      </c>
      <c r="L731" t="s">
        <v>74</v>
      </c>
      <c r="M731" t="s">
        <v>78</v>
      </c>
      <c r="N731" t="s">
        <v>79</v>
      </c>
      <c r="O731" t="s">
        <v>74</v>
      </c>
      <c r="P731" t="s">
        <v>74</v>
      </c>
      <c r="Q731" t="s">
        <v>74</v>
      </c>
      <c r="R731" t="s">
        <v>74</v>
      </c>
      <c r="S731" t="s">
        <v>74</v>
      </c>
      <c r="T731" t="s">
        <v>13804</v>
      </c>
      <c r="U731" t="s">
        <v>13805</v>
      </c>
      <c r="V731" t="s">
        <v>13806</v>
      </c>
      <c r="W731" t="s">
        <v>13807</v>
      </c>
      <c r="X731" t="s">
        <v>13808</v>
      </c>
      <c r="Y731" t="s">
        <v>13809</v>
      </c>
      <c r="Z731" t="s">
        <v>13810</v>
      </c>
      <c r="AA731" t="s">
        <v>13811</v>
      </c>
      <c r="AB731" t="s">
        <v>13812</v>
      </c>
      <c r="AC731" t="s">
        <v>13813</v>
      </c>
      <c r="AD731" t="s">
        <v>13813</v>
      </c>
      <c r="AE731" t="s">
        <v>13814</v>
      </c>
      <c r="AF731" t="s">
        <v>74</v>
      </c>
      <c r="AG731">
        <v>105</v>
      </c>
      <c r="AH731">
        <v>81</v>
      </c>
      <c r="AI731">
        <v>85</v>
      </c>
      <c r="AJ731">
        <v>0</v>
      </c>
      <c r="AK731">
        <v>64</v>
      </c>
      <c r="AL731" t="s">
        <v>224</v>
      </c>
      <c r="AM731" t="s">
        <v>225</v>
      </c>
      <c r="AN731" t="s">
        <v>226</v>
      </c>
      <c r="AO731" t="s">
        <v>12630</v>
      </c>
      <c r="AP731" t="s">
        <v>12631</v>
      </c>
      <c r="AQ731" t="s">
        <v>74</v>
      </c>
      <c r="AR731" t="s">
        <v>12632</v>
      </c>
      <c r="AS731" t="s">
        <v>12633</v>
      </c>
      <c r="AT731" t="s">
        <v>11484</v>
      </c>
      <c r="AU731">
        <v>2014</v>
      </c>
      <c r="AV731">
        <v>24</v>
      </c>
      <c r="AW731">
        <v>2</v>
      </c>
      <c r="AX731" t="s">
        <v>74</v>
      </c>
      <c r="AY731" t="s">
        <v>74</v>
      </c>
      <c r="AZ731" t="s">
        <v>258</v>
      </c>
      <c r="BA731" t="s">
        <v>74</v>
      </c>
      <c r="BB731">
        <v>593</v>
      </c>
      <c r="BC731">
        <v>611</v>
      </c>
      <c r="BD731" t="s">
        <v>74</v>
      </c>
      <c r="BE731" t="s">
        <v>13815</v>
      </c>
      <c r="BF731" t="str">
        <f>HYPERLINK("http://dx.doi.org/10.1007/s11160-013-9325-7","http://dx.doi.org/10.1007/s11160-013-9325-7")</f>
        <v>http://dx.doi.org/10.1007/s11160-013-9325-7</v>
      </c>
      <c r="BG731" t="s">
        <v>74</v>
      </c>
      <c r="BH731" t="s">
        <v>74</v>
      </c>
      <c r="BI731">
        <v>19</v>
      </c>
      <c r="BJ731" t="s">
        <v>9758</v>
      </c>
      <c r="BK731" t="s">
        <v>102</v>
      </c>
      <c r="BL731" t="s">
        <v>9758</v>
      </c>
      <c r="BM731" t="s">
        <v>12635</v>
      </c>
      <c r="BN731" t="s">
        <v>74</v>
      </c>
      <c r="BO731" t="s">
        <v>74</v>
      </c>
      <c r="BP731" t="s">
        <v>74</v>
      </c>
      <c r="BQ731" t="s">
        <v>74</v>
      </c>
      <c r="BR731" t="s">
        <v>105</v>
      </c>
      <c r="BS731" t="s">
        <v>13816</v>
      </c>
      <c r="BT731" t="str">
        <f>HYPERLINK("https%3A%2F%2Fwww.webofscience.com%2Fwos%2Fwoscc%2Ffull-record%2FWOS:000336285600012","View Full Record in Web of Science")</f>
        <v>View Full Record in Web of Science</v>
      </c>
    </row>
    <row r="732" spans="1:72" x14ac:dyDescent="0.15">
      <c r="A732" t="s">
        <v>72</v>
      </c>
      <c r="B732" t="s">
        <v>13817</v>
      </c>
      <c r="C732" t="s">
        <v>74</v>
      </c>
      <c r="D732" t="s">
        <v>74</v>
      </c>
      <c r="E732" t="s">
        <v>74</v>
      </c>
      <c r="F732" t="s">
        <v>13818</v>
      </c>
      <c r="G732" t="s">
        <v>74</v>
      </c>
      <c r="H732" t="s">
        <v>74</v>
      </c>
      <c r="I732" t="s">
        <v>13819</v>
      </c>
      <c r="J732" t="s">
        <v>12620</v>
      </c>
      <c r="K732" t="s">
        <v>74</v>
      </c>
      <c r="L732" t="s">
        <v>74</v>
      </c>
      <c r="M732" t="s">
        <v>78</v>
      </c>
      <c r="N732" t="s">
        <v>185</v>
      </c>
      <c r="O732" t="s">
        <v>74</v>
      </c>
      <c r="P732" t="s">
        <v>74</v>
      </c>
      <c r="Q732" t="s">
        <v>74</v>
      </c>
      <c r="R732" t="s">
        <v>74</v>
      </c>
      <c r="S732" t="s">
        <v>74</v>
      </c>
      <c r="T732" t="s">
        <v>13820</v>
      </c>
      <c r="U732" t="s">
        <v>13821</v>
      </c>
      <c r="V732" t="s">
        <v>13822</v>
      </c>
      <c r="W732" t="s">
        <v>13823</v>
      </c>
      <c r="X732" t="s">
        <v>13824</v>
      </c>
      <c r="Y732" t="s">
        <v>13825</v>
      </c>
      <c r="Z732" t="s">
        <v>13826</v>
      </c>
      <c r="AA732" t="s">
        <v>13827</v>
      </c>
      <c r="AB732" t="s">
        <v>13828</v>
      </c>
      <c r="AC732" t="s">
        <v>13829</v>
      </c>
      <c r="AD732" t="s">
        <v>13830</v>
      </c>
      <c r="AE732" t="s">
        <v>13831</v>
      </c>
      <c r="AF732" t="s">
        <v>74</v>
      </c>
      <c r="AG732">
        <v>246</v>
      </c>
      <c r="AH732">
        <v>69</v>
      </c>
      <c r="AI732">
        <v>78</v>
      </c>
      <c r="AJ732">
        <v>3</v>
      </c>
      <c r="AK732">
        <v>159</v>
      </c>
      <c r="AL732" t="s">
        <v>224</v>
      </c>
      <c r="AM732" t="s">
        <v>225</v>
      </c>
      <c r="AN732" t="s">
        <v>226</v>
      </c>
      <c r="AO732" t="s">
        <v>12630</v>
      </c>
      <c r="AP732" t="s">
        <v>12631</v>
      </c>
      <c r="AQ732" t="s">
        <v>74</v>
      </c>
      <c r="AR732" t="s">
        <v>12632</v>
      </c>
      <c r="AS732" t="s">
        <v>12633</v>
      </c>
      <c r="AT732" t="s">
        <v>11484</v>
      </c>
      <c r="AU732">
        <v>2014</v>
      </c>
      <c r="AV732">
        <v>24</v>
      </c>
      <c r="AW732">
        <v>2</v>
      </c>
      <c r="AX732" t="s">
        <v>74</v>
      </c>
      <c r="AY732" t="s">
        <v>74</v>
      </c>
      <c r="AZ732" t="s">
        <v>258</v>
      </c>
      <c r="BA732" t="s">
        <v>74</v>
      </c>
      <c r="BB732">
        <v>613</v>
      </c>
      <c r="BC732">
        <v>638</v>
      </c>
      <c r="BD732" t="s">
        <v>74</v>
      </c>
      <c r="BE732" t="s">
        <v>13832</v>
      </c>
      <c r="BF732" t="str">
        <f>HYPERLINK("http://dx.doi.org/10.1007/s11160-014-9350-1","http://dx.doi.org/10.1007/s11160-014-9350-1")</f>
        <v>http://dx.doi.org/10.1007/s11160-014-9350-1</v>
      </c>
      <c r="BG732" t="s">
        <v>74</v>
      </c>
      <c r="BH732" t="s">
        <v>74</v>
      </c>
      <c r="BI732">
        <v>26</v>
      </c>
      <c r="BJ732" t="s">
        <v>9758</v>
      </c>
      <c r="BK732" t="s">
        <v>102</v>
      </c>
      <c r="BL732" t="s">
        <v>9758</v>
      </c>
      <c r="BM732" t="s">
        <v>12635</v>
      </c>
      <c r="BN732" t="s">
        <v>74</v>
      </c>
      <c r="BO732" t="s">
        <v>1274</v>
      </c>
      <c r="BP732" t="s">
        <v>74</v>
      </c>
      <c r="BQ732" t="s">
        <v>74</v>
      </c>
      <c r="BR732" t="s">
        <v>105</v>
      </c>
      <c r="BS732" t="s">
        <v>13833</v>
      </c>
      <c r="BT732" t="str">
        <f>HYPERLINK("https%3A%2F%2Fwww.webofscience.com%2Fwos%2Fwoscc%2Ffull-record%2FWOS:000336285600013","View Full Record in Web of Science")</f>
        <v>View Full Record in Web of Science</v>
      </c>
    </row>
    <row r="733" spans="1:72" x14ac:dyDescent="0.15">
      <c r="A733" t="s">
        <v>72</v>
      </c>
      <c r="B733" t="s">
        <v>13834</v>
      </c>
      <c r="C733" t="s">
        <v>74</v>
      </c>
      <c r="D733" t="s">
        <v>74</v>
      </c>
      <c r="E733" t="s">
        <v>74</v>
      </c>
      <c r="F733" t="s">
        <v>13835</v>
      </c>
      <c r="G733" t="s">
        <v>74</v>
      </c>
      <c r="H733" t="s">
        <v>74</v>
      </c>
      <c r="I733" t="s">
        <v>13836</v>
      </c>
      <c r="J733" t="s">
        <v>13837</v>
      </c>
      <c r="K733" t="s">
        <v>74</v>
      </c>
      <c r="L733" t="s">
        <v>74</v>
      </c>
      <c r="M733" t="s">
        <v>78</v>
      </c>
      <c r="N733" t="s">
        <v>79</v>
      </c>
      <c r="O733" t="s">
        <v>74</v>
      </c>
      <c r="P733" t="s">
        <v>74</v>
      </c>
      <c r="Q733" t="s">
        <v>74</v>
      </c>
      <c r="R733" t="s">
        <v>74</v>
      </c>
      <c r="S733" t="s">
        <v>74</v>
      </c>
      <c r="T733" t="s">
        <v>74</v>
      </c>
      <c r="U733" t="s">
        <v>13838</v>
      </c>
      <c r="V733" t="s">
        <v>13839</v>
      </c>
      <c r="W733" t="s">
        <v>13840</v>
      </c>
      <c r="X733" t="s">
        <v>13841</v>
      </c>
      <c r="Y733" t="s">
        <v>13842</v>
      </c>
      <c r="Z733" t="s">
        <v>13843</v>
      </c>
      <c r="AA733" t="s">
        <v>13844</v>
      </c>
      <c r="AB733" t="s">
        <v>13845</v>
      </c>
      <c r="AC733" t="s">
        <v>13846</v>
      </c>
      <c r="AD733" t="s">
        <v>3836</v>
      </c>
      <c r="AE733" t="s">
        <v>74</v>
      </c>
      <c r="AF733" t="s">
        <v>74</v>
      </c>
      <c r="AG733">
        <v>74</v>
      </c>
      <c r="AH733">
        <v>52</v>
      </c>
      <c r="AI733">
        <v>58</v>
      </c>
      <c r="AJ733">
        <v>3</v>
      </c>
      <c r="AK733">
        <v>94</v>
      </c>
      <c r="AL733" t="s">
        <v>13847</v>
      </c>
      <c r="AM733" t="s">
        <v>654</v>
      </c>
      <c r="AN733" t="s">
        <v>13848</v>
      </c>
      <c r="AO733" t="s">
        <v>13849</v>
      </c>
      <c r="AP733" t="s">
        <v>13850</v>
      </c>
      <c r="AQ733" t="s">
        <v>74</v>
      </c>
      <c r="AR733" t="s">
        <v>13851</v>
      </c>
      <c r="AS733" t="s">
        <v>13852</v>
      </c>
      <c r="AT733" t="s">
        <v>11484</v>
      </c>
      <c r="AU733">
        <v>2014</v>
      </c>
      <c r="AV733">
        <v>29</v>
      </c>
      <c r="AW733">
        <v>6</v>
      </c>
      <c r="AX733" t="s">
        <v>74</v>
      </c>
      <c r="AY733" t="s">
        <v>74</v>
      </c>
      <c r="AZ733" t="s">
        <v>74</v>
      </c>
      <c r="BA733" t="s">
        <v>74</v>
      </c>
      <c r="BB733">
        <v>309</v>
      </c>
      <c r="BC733">
        <v>316</v>
      </c>
      <c r="BD733" t="s">
        <v>74</v>
      </c>
      <c r="BE733" t="s">
        <v>13853</v>
      </c>
      <c r="BF733" t="str">
        <f>HYPERLINK("http://dx.doi.org/10.1016/j.tree.2014.03.011","http://dx.doi.org/10.1016/j.tree.2014.03.011")</f>
        <v>http://dx.doi.org/10.1016/j.tree.2014.03.011</v>
      </c>
      <c r="BG733" t="s">
        <v>74</v>
      </c>
      <c r="BH733" t="s">
        <v>74</v>
      </c>
      <c r="BI733">
        <v>8</v>
      </c>
      <c r="BJ733" t="s">
        <v>13854</v>
      </c>
      <c r="BK733" t="s">
        <v>102</v>
      </c>
      <c r="BL733" t="s">
        <v>13855</v>
      </c>
      <c r="BM733" t="s">
        <v>13856</v>
      </c>
      <c r="BN733">
        <v>24755099</v>
      </c>
      <c r="BO733" t="s">
        <v>74</v>
      </c>
      <c r="BP733" t="s">
        <v>74</v>
      </c>
      <c r="BQ733" t="s">
        <v>74</v>
      </c>
      <c r="BR733" t="s">
        <v>105</v>
      </c>
      <c r="BS733" t="s">
        <v>13857</v>
      </c>
      <c r="BT733" t="str">
        <f>HYPERLINK("https%3A%2F%2Fwww.webofscience.com%2Fwos%2Fwoscc%2Ffull-record%2FWOS:000336873800006","View Full Record in Web of Science")</f>
        <v>View Full Record in Web of Science</v>
      </c>
    </row>
    <row r="734" spans="1:72" x14ac:dyDescent="0.15">
      <c r="A734" t="s">
        <v>72</v>
      </c>
      <c r="B734" t="s">
        <v>13858</v>
      </c>
      <c r="C734" t="s">
        <v>74</v>
      </c>
      <c r="D734" t="s">
        <v>74</v>
      </c>
      <c r="E734" t="s">
        <v>74</v>
      </c>
      <c r="F734" t="s">
        <v>13859</v>
      </c>
      <c r="G734" t="s">
        <v>74</v>
      </c>
      <c r="H734" t="s">
        <v>74</v>
      </c>
      <c r="I734" t="s">
        <v>13860</v>
      </c>
      <c r="J734" t="s">
        <v>13861</v>
      </c>
      <c r="K734" t="s">
        <v>74</v>
      </c>
      <c r="L734" t="s">
        <v>74</v>
      </c>
      <c r="M734" t="s">
        <v>78</v>
      </c>
      <c r="N734" t="s">
        <v>79</v>
      </c>
      <c r="O734" t="s">
        <v>74</v>
      </c>
      <c r="P734" t="s">
        <v>74</v>
      </c>
      <c r="Q734" t="s">
        <v>74</v>
      </c>
      <c r="R734" t="s">
        <v>74</v>
      </c>
      <c r="S734" t="s">
        <v>74</v>
      </c>
      <c r="T734" t="s">
        <v>13862</v>
      </c>
      <c r="U734" t="s">
        <v>13863</v>
      </c>
      <c r="V734" t="s">
        <v>13864</v>
      </c>
      <c r="W734" t="s">
        <v>13865</v>
      </c>
      <c r="X734" t="s">
        <v>13866</v>
      </c>
      <c r="Y734" t="s">
        <v>13867</v>
      </c>
      <c r="Z734" t="s">
        <v>13868</v>
      </c>
      <c r="AA734" t="s">
        <v>13869</v>
      </c>
      <c r="AB734" t="s">
        <v>13870</v>
      </c>
      <c r="AC734" t="s">
        <v>13871</v>
      </c>
      <c r="AD734" t="s">
        <v>13871</v>
      </c>
      <c r="AE734" t="s">
        <v>13872</v>
      </c>
      <c r="AF734" t="s">
        <v>74</v>
      </c>
      <c r="AG734">
        <v>42</v>
      </c>
      <c r="AH734">
        <v>13</v>
      </c>
      <c r="AI734">
        <v>18</v>
      </c>
      <c r="AJ734">
        <v>0</v>
      </c>
      <c r="AK734">
        <v>59</v>
      </c>
      <c r="AL734" t="s">
        <v>13873</v>
      </c>
      <c r="AM734" t="s">
        <v>332</v>
      </c>
      <c r="AN734" t="s">
        <v>13874</v>
      </c>
      <c r="AO734" t="s">
        <v>13875</v>
      </c>
      <c r="AP734" t="s">
        <v>13876</v>
      </c>
      <c r="AQ734" t="s">
        <v>74</v>
      </c>
      <c r="AR734" t="s">
        <v>13861</v>
      </c>
      <c r="AS734" t="s">
        <v>13877</v>
      </c>
      <c r="AT734" t="s">
        <v>11484</v>
      </c>
      <c r="AU734">
        <v>2014</v>
      </c>
      <c r="AV734">
        <v>37</v>
      </c>
      <c r="AW734">
        <v>2</v>
      </c>
      <c r="AX734" t="s">
        <v>74</v>
      </c>
      <c r="AY734" t="s">
        <v>74</v>
      </c>
      <c r="AZ734" t="s">
        <v>74</v>
      </c>
      <c r="BA734" t="s">
        <v>74</v>
      </c>
      <c r="BB734">
        <v>162</v>
      </c>
      <c r="BC734">
        <v>174</v>
      </c>
      <c r="BD734" t="s">
        <v>74</v>
      </c>
      <c r="BE734" t="s">
        <v>13878</v>
      </c>
      <c r="BF734" t="str">
        <f>HYPERLINK("http://dx.doi.org/10.1675/063.037.0205","http://dx.doi.org/10.1675/063.037.0205")</f>
        <v>http://dx.doi.org/10.1675/063.037.0205</v>
      </c>
      <c r="BG734" t="s">
        <v>74</v>
      </c>
      <c r="BH734" t="s">
        <v>74</v>
      </c>
      <c r="BI734">
        <v>13</v>
      </c>
      <c r="BJ734" t="s">
        <v>3319</v>
      </c>
      <c r="BK734" t="s">
        <v>102</v>
      </c>
      <c r="BL734" t="s">
        <v>1254</v>
      </c>
      <c r="BM734" t="s">
        <v>13879</v>
      </c>
      <c r="BN734" t="s">
        <v>74</v>
      </c>
      <c r="BO734" t="s">
        <v>2019</v>
      </c>
      <c r="BP734" t="s">
        <v>74</v>
      </c>
      <c r="BQ734" t="s">
        <v>74</v>
      </c>
      <c r="BR734" t="s">
        <v>105</v>
      </c>
      <c r="BS734" t="s">
        <v>13880</v>
      </c>
      <c r="BT734" t="str">
        <f>HYPERLINK("https%3A%2F%2Fwww.webofscience.com%2Fwos%2Fwoscc%2Ffull-record%2FWOS:000339132400005","View Full Record in Web of Science")</f>
        <v>View Full Record in Web of Science</v>
      </c>
    </row>
    <row r="735" spans="1:72" x14ac:dyDescent="0.15">
      <c r="A735" t="s">
        <v>72</v>
      </c>
      <c r="B735" t="s">
        <v>13881</v>
      </c>
      <c r="C735" t="s">
        <v>74</v>
      </c>
      <c r="D735" t="s">
        <v>74</v>
      </c>
      <c r="E735" t="s">
        <v>74</v>
      </c>
      <c r="F735" t="s">
        <v>13882</v>
      </c>
      <c r="G735" t="s">
        <v>74</v>
      </c>
      <c r="H735" t="s">
        <v>74</v>
      </c>
      <c r="I735" t="s">
        <v>13883</v>
      </c>
      <c r="J735" t="s">
        <v>13884</v>
      </c>
      <c r="K735" t="s">
        <v>74</v>
      </c>
      <c r="L735" t="s">
        <v>74</v>
      </c>
      <c r="M735" t="s">
        <v>78</v>
      </c>
      <c r="N735" t="s">
        <v>79</v>
      </c>
      <c r="O735" t="s">
        <v>74</v>
      </c>
      <c r="P735" t="s">
        <v>74</v>
      </c>
      <c r="Q735" t="s">
        <v>74</v>
      </c>
      <c r="R735" t="s">
        <v>74</v>
      </c>
      <c r="S735" t="s">
        <v>74</v>
      </c>
      <c r="T735" t="s">
        <v>13885</v>
      </c>
      <c r="U735" t="s">
        <v>13886</v>
      </c>
      <c r="V735" t="s">
        <v>13887</v>
      </c>
      <c r="W735" t="s">
        <v>13888</v>
      </c>
      <c r="X735" t="s">
        <v>13889</v>
      </c>
      <c r="Y735" t="s">
        <v>13890</v>
      </c>
      <c r="Z735" t="s">
        <v>13675</v>
      </c>
      <c r="AA735" t="s">
        <v>13891</v>
      </c>
      <c r="AB735" t="s">
        <v>13892</v>
      </c>
      <c r="AC735" t="s">
        <v>13893</v>
      </c>
      <c r="AD735" t="s">
        <v>13894</v>
      </c>
      <c r="AE735" t="s">
        <v>13895</v>
      </c>
      <c r="AF735" t="s">
        <v>74</v>
      </c>
      <c r="AG735">
        <v>40</v>
      </c>
      <c r="AH735">
        <v>5</v>
      </c>
      <c r="AI735">
        <v>7</v>
      </c>
      <c r="AJ735">
        <v>0</v>
      </c>
      <c r="AK735">
        <v>35</v>
      </c>
      <c r="AL735" t="s">
        <v>13896</v>
      </c>
      <c r="AM735" t="s">
        <v>13897</v>
      </c>
      <c r="AN735" t="s">
        <v>13898</v>
      </c>
      <c r="AO735" t="s">
        <v>13899</v>
      </c>
      <c r="AP735" t="s">
        <v>13900</v>
      </c>
      <c r="AQ735" t="s">
        <v>74</v>
      </c>
      <c r="AR735" t="s">
        <v>13901</v>
      </c>
      <c r="AS735" t="s">
        <v>13902</v>
      </c>
      <c r="AT735" t="s">
        <v>11484</v>
      </c>
      <c r="AU735">
        <v>2014</v>
      </c>
      <c r="AV735">
        <v>53</v>
      </c>
      <c r="AW735" t="s">
        <v>74</v>
      </c>
      <c r="AX735" t="s">
        <v>74</v>
      </c>
      <c r="AY735" t="s">
        <v>74</v>
      </c>
      <c r="AZ735" t="s">
        <v>74</v>
      </c>
      <c r="BA735" t="s">
        <v>74</v>
      </c>
      <c r="BB735" t="s">
        <v>74</v>
      </c>
      <c r="BC735" t="s">
        <v>74</v>
      </c>
      <c r="BD735">
        <v>27</v>
      </c>
      <c r="BE735" t="s">
        <v>13903</v>
      </c>
      <c r="BF735" t="str">
        <f>HYPERLINK("http://dx.doi.org/10.1186/s40555-014-0027-1","http://dx.doi.org/10.1186/s40555-014-0027-1")</f>
        <v>http://dx.doi.org/10.1186/s40555-014-0027-1</v>
      </c>
      <c r="BG735" t="s">
        <v>74</v>
      </c>
      <c r="BH735" t="s">
        <v>74</v>
      </c>
      <c r="BI735">
        <v>6</v>
      </c>
      <c r="BJ735" t="s">
        <v>1254</v>
      </c>
      <c r="BK735" t="s">
        <v>102</v>
      </c>
      <c r="BL735" t="s">
        <v>1254</v>
      </c>
      <c r="BM735" t="s">
        <v>13904</v>
      </c>
      <c r="BN735" t="s">
        <v>74</v>
      </c>
      <c r="BO735" t="s">
        <v>1564</v>
      </c>
      <c r="BP735" t="s">
        <v>74</v>
      </c>
      <c r="BQ735" t="s">
        <v>74</v>
      </c>
      <c r="BR735" t="s">
        <v>105</v>
      </c>
      <c r="BS735" t="s">
        <v>13905</v>
      </c>
      <c r="BT735" t="str">
        <f>HYPERLINK("https%3A%2F%2Fwww.webofscience.com%2Fwos%2Fwoscc%2Ffull-record%2FWOS:000341991400004","View Full Record in Web of Science")</f>
        <v>View Full Record in Web of Science</v>
      </c>
    </row>
    <row r="736" spans="1:72" x14ac:dyDescent="0.15">
      <c r="A736" t="s">
        <v>72</v>
      </c>
      <c r="B736" t="s">
        <v>13906</v>
      </c>
      <c r="C736" t="s">
        <v>74</v>
      </c>
      <c r="D736" t="s">
        <v>74</v>
      </c>
      <c r="E736" t="s">
        <v>74</v>
      </c>
      <c r="F736" t="s">
        <v>13907</v>
      </c>
      <c r="G736" t="s">
        <v>74</v>
      </c>
      <c r="H736" t="s">
        <v>74</v>
      </c>
      <c r="I736" t="s">
        <v>13908</v>
      </c>
      <c r="J736" t="s">
        <v>1329</v>
      </c>
      <c r="K736" t="s">
        <v>74</v>
      </c>
      <c r="L736" t="s">
        <v>74</v>
      </c>
      <c r="M736" t="s">
        <v>78</v>
      </c>
      <c r="N736" t="s">
        <v>79</v>
      </c>
      <c r="O736" t="s">
        <v>74</v>
      </c>
      <c r="P736" t="s">
        <v>74</v>
      </c>
      <c r="Q736" t="s">
        <v>74</v>
      </c>
      <c r="R736" t="s">
        <v>74</v>
      </c>
      <c r="S736" t="s">
        <v>74</v>
      </c>
      <c r="T736" t="s">
        <v>74</v>
      </c>
      <c r="U736" t="s">
        <v>13909</v>
      </c>
      <c r="V736" t="s">
        <v>13910</v>
      </c>
      <c r="W736" t="s">
        <v>13911</v>
      </c>
      <c r="X736" t="s">
        <v>13912</v>
      </c>
      <c r="Y736" t="s">
        <v>13913</v>
      </c>
      <c r="Z736" t="s">
        <v>13914</v>
      </c>
      <c r="AA736" t="s">
        <v>13915</v>
      </c>
      <c r="AB736" t="s">
        <v>13916</v>
      </c>
      <c r="AC736" t="s">
        <v>13917</v>
      </c>
      <c r="AD736" t="s">
        <v>13918</v>
      </c>
      <c r="AE736" t="s">
        <v>13919</v>
      </c>
      <c r="AF736" t="s">
        <v>74</v>
      </c>
      <c r="AG736">
        <v>64</v>
      </c>
      <c r="AH736">
        <v>24</v>
      </c>
      <c r="AI736">
        <v>24</v>
      </c>
      <c r="AJ736">
        <v>0</v>
      </c>
      <c r="AK736">
        <v>26</v>
      </c>
      <c r="AL736" t="s">
        <v>250</v>
      </c>
      <c r="AM736" t="s">
        <v>251</v>
      </c>
      <c r="AN736" t="s">
        <v>252</v>
      </c>
      <c r="AO736" t="s">
        <v>1341</v>
      </c>
      <c r="AP736" t="s">
        <v>1342</v>
      </c>
      <c r="AQ736" t="s">
        <v>74</v>
      </c>
      <c r="AR736" t="s">
        <v>1343</v>
      </c>
      <c r="AS736" t="s">
        <v>1344</v>
      </c>
      <c r="AT736" t="s">
        <v>13138</v>
      </c>
      <c r="AU736">
        <v>2014</v>
      </c>
      <c r="AV736">
        <v>134</v>
      </c>
      <c r="AW736" t="s">
        <v>74</v>
      </c>
      <c r="AX736" t="s">
        <v>74</v>
      </c>
      <c r="AY736" t="s">
        <v>74</v>
      </c>
      <c r="AZ736" t="s">
        <v>74</v>
      </c>
      <c r="BA736" t="s">
        <v>74</v>
      </c>
      <c r="BB736">
        <v>275</v>
      </c>
      <c r="BC736">
        <v>288</v>
      </c>
      <c r="BD736" t="s">
        <v>74</v>
      </c>
      <c r="BE736" t="s">
        <v>13920</v>
      </c>
      <c r="BF736" t="str">
        <f>HYPERLINK("http://dx.doi.org/10.1016/j.gca.2014.02.007","http://dx.doi.org/10.1016/j.gca.2014.02.007")</f>
        <v>http://dx.doi.org/10.1016/j.gca.2014.02.007</v>
      </c>
      <c r="BG736" t="s">
        <v>74</v>
      </c>
      <c r="BH736" t="s">
        <v>74</v>
      </c>
      <c r="BI736">
        <v>14</v>
      </c>
      <c r="BJ736" t="s">
        <v>425</v>
      </c>
      <c r="BK736" t="s">
        <v>102</v>
      </c>
      <c r="BL736" t="s">
        <v>425</v>
      </c>
      <c r="BM736" t="s">
        <v>13921</v>
      </c>
      <c r="BN736" t="s">
        <v>74</v>
      </c>
      <c r="BO736" t="s">
        <v>74</v>
      </c>
      <c r="BP736" t="s">
        <v>74</v>
      </c>
      <c r="BQ736" t="s">
        <v>74</v>
      </c>
      <c r="BR736" t="s">
        <v>105</v>
      </c>
      <c r="BS736" t="s">
        <v>13922</v>
      </c>
      <c r="BT736" t="str">
        <f>HYPERLINK("https%3A%2F%2Fwww.webofscience.com%2Fwos%2Fwoscc%2Ffull-record%2FWOS:000335136400016","View Full Record in Web of Science")</f>
        <v>View Full Record in Web of Science</v>
      </c>
    </row>
    <row r="737" spans="1:72" x14ac:dyDescent="0.15">
      <c r="A737" t="s">
        <v>72</v>
      </c>
      <c r="B737" t="s">
        <v>13923</v>
      </c>
      <c r="C737" t="s">
        <v>74</v>
      </c>
      <c r="D737" t="s">
        <v>74</v>
      </c>
      <c r="E737" t="s">
        <v>74</v>
      </c>
      <c r="F737" t="s">
        <v>13924</v>
      </c>
      <c r="G737" t="s">
        <v>74</v>
      </c>
      <c r="H737" t="s">
        <v>74</v>
      </c>
      <c r="I737" t="s">
        <v>13925</v>
      </c>
      <c r="J737" t="s">
        <v>6129</v>
      </c>
      <c r="K737" t="s">
        <v>74</v>
      </c>
      <c r="L737" t="s">
        <v>74</v>
      </c>
      <c r="M737" t="s">
        <v>78</v>
      </c>
      <c r="N737" t="s">
        <v>79</v>
      </c>
      <c r="O737" t="s">
        <v>74</v>
      </c>
      <c r="P737" t="s">
        <v>74</v>
      </c>
      <c r="Q737" t="s">
        <v>74</v>
      </c>
      <c r="R737" t="s">
        <v>74</v>
      </c>
      <c r="S737" t="s">
        <v>74</v>
      </c>
      <c r="T737" t="s">
        <v>13926</v>
      </c>
      <c r="U737" t="s">
        <v>13927</v>
      </c>
      <c r="V737" t="s">
        <v>13928</v>
      </c>
      <c r="W737" t="s">
        <v>13929</v>
      </c>
      <c r="X737" t="s">
        <v>13930</v>
      </c>
      <c r="Y737" t="s">
        <v>13931</v>
      </c>
      <c r="Z737" t="s">
        <v>13932</v>
      </c>
      <c r="AA737" t="s">
        <v>13933</v>
      </c>
      <c r="AB737" t="s">
        <v>13934</v>
      </c>
      <c r="AC737" t="s">
        <v>13935</v>
      </c>
      <c r="AD737" t="s">
        <v>13936</v>
      </c>
      <c r="AE737" t="s">
        <v>13937</v>
      </c>
      <c r="AF737" t="s">
        <v>74</v>
      </c>
      <c r="AG737">
        <v>40</v>
      </c>
      <c r="AH737">
        <v>12</v>
      </c>
      <c r="AI737">
        <v>13</v>
      </c>
      <c r="AJ737">
        <v>0</v>
      </c>
      <c r="AK737">
        <v>13</v>
      </c>
      <c r="AL737" t="s">
        <v>2353</v>
      </c>
      <c r="AM737" t="s">
        <v>576</v>
      </c>
      <c r="AN737" t="s">
        <v>2354</v>
      </c>
      <c r="AO737" t="s">
        <v>6139</v>
      </c>
      <c r="AP737" t="s">
        <v>6140</v>
      </c>
      <c r="AQ737" t="s">
        <v>74</v>
      </c>
      <c r="AR737" t="s">
        <v>6141</v>
      </c>
      <c r="AS737" t="s">
        <v>6142</v>
      </c>
      <c r="AT737" t="s">
        <v>11484</v>
      </c>
      <c r="AU737">
        <v>2014</v>
      </c>
      <c r="AV737">
        <v>26</v>
      </c>
      <c r="AW737">
        <v>3</v>
      </c>
      <c r="AX737" t="s">
        <v>74</v>
      </c>
      <c r="AY737" t="s">
        <v>74</v>
      </c>
      <c r="AZ737" t="s">
        <v>74</v>
      </c>
      <c r="BA737" t="s">
        <v>74</v>
      </c>
      <c r="BB737">
        <v>219</v>
      </c>
      <c r="BC737">
        <v>230</v>
      </c>
      <c r="BD737" t="s">
        <v>74</v>
      </c>
      <c r="BE737" t="s">
        <v>13938</v>
      </c>
      <c r="BF737" t="str">
        <f>HYPERLINK("http://dx.doi.org/10.1017/S0954102013000576","http://dx.doi.org/10.1017/S0954102013000576")</f>
        <v>http://dx.doi.org/10.1017/S0954102013000576</v>
      </c>
      <c r="BG737" t="s">
        <v>74</v>
      </c>
      <c r="BH737" t="s">
        <v>74</v>
      </c>
      <c r="BI737">
        <v>12</v>
      </c>
      <c r="BJ737" t="s">
        <v>6144</v>
      </c>
      <c r="BK737" t="s">
        <v>102</v>
      </c>
      <c r="BL737" t="s">
        <v>6145</v>
      </c>
      <c r="BM737" t="s">
        <v>12829</v>
      </c>
      <c r="BN737" t="s">
        <v>74</v>
      </c>
      <c r="BO737" t="s">
        <v>74</v>
      </c>
      <c r="BP737" t="s">
        <v>74</v>
      </c>
      <c r="BQ737" t="s">
        <v>74</v>
      </c>
      <c r="BR737" t="s">
        <v>105</v>
      </c>
      <c r="BS737" t="s">
        <v>13939</v>
      </c>
      <c r="BT737" t="str">
        <f>HYPERLINK("https%3A%2F%2Fwww.webofscience.com%2Fwos%2Fwoscc%2Ffull-record%2FWOS:000334841900002","View Full Record in Web of Science")</f>
        <v>View Full Record in Web of Science</v>
      </c>
    </row>
    <row r="738" spans="1:72" x14ac:dyDescent="0.15">
      <c r="A738" t="s">
        <v>72</v>
      </c>
      <c r="B738" t="s">
        <v>13940</v>
      </c>
      <c r="C738" t="s">
        <v>74</v>
      </c>
      <c r="D738" t="s">
        <v>74</v>
      </c>
      <c r="E738" t="s">
        <v>74</v>
      </c>
      <c r="F738" t="s">
        <v>13941</v>
      </c>
      <c r="G738" t="s">
        <v>74</v>
      </c>
      <c r="H738" t="s">
        <v>74</v>
      </c>
      <c r="I738" t="s">
        <v>13942</v>
      </c>
      <c r="J738" t="s">
        <v>6129</v>
      </c>
      <c r="K738" t="s">
        <v>74</v>
      </c>
      <c r="L738" t="s">
        <v>74</v>
      </c>
      <c r="M738" t="s">
        <v>78</v>
      </c>
      <c r="N738" t="s">
        <v>79</v>
      </c>
      <c r="O738" t="s">
        <v>74</v>
      </c>
      <c r="P738" t="s">
        <v>74</v>
      </c>
      <c r="Q738" t="s">
        <v>74</v>
      </c>
      <c r="R738" t="s">
        <v>74</v>
      </c>
      <c r="S738" t="s">
        <v>74</v>
      </c>
      <c r="T738" t="s">
        <v>13943</v>
      </c>
      <c r="U738" t="s">
        <v>13944</v>
      </c>
      <c r="V738" t="s">
        <v>13945</v>
      </c>
      <c r="W738" t="s">
        <v>13946</v>
      </c>
      <c r="X738" t="s">
        <v>13947</v>
      </c>
      <c r="Y738" t="s">
        <v>13948</v>
      </c>
      <c r="Z738" t="s">
        <v>13949</v>
      </c>
      <c r="AA738" t="s">
        <v>13950</v>
      </c>
      <c r="AB738" t="s">
        <v>13951</v>
      </c>
      <c r="AC738" t="s">
        <v>13952</v>
      </c>
      <c r="AD738" t="s">
        <v>13953</v>
      </c>
      <c r="AE738" t="s">
        <v>13954</v>
      </c>
      <c r="AF738" t="s">
        <v>74</v>
      </c>
      <c r="AG738">
        <v>30</v>
      </c>
      <c r="AH738">
        <v>4</v>
      </c>
      <c r="AI738">
        <v>6</v>
      </c>
      <c r="AJ738">
        <v>0</v>
      </c>
      <c r="AK738">
        <v>14</v>
      </c>
      <c r="AL738" t="s">
        <v>2353</v>
      </c>
      <c r="AM738" t="s">
        <v>576</v>
      </c>
      <c r="AN738" t="s">
        <v>2354</v>
      </c>
      <c r="AO738" t="s">
        <v>6139</v>
      </c>
      <c r="AP738" t="s">
        <v>6140</v>
      </c>
      <c r="AQ738" t="s">
        <v>74</v>
      </c>
      <c r="AR738" t="s">
        <v>6141</v>
      </c>
      <c r="AS738" t="s">
        <v>6142</v>
      </c>
      <c r="AT738" t="s">
        <v>11484</v>
      </c>
      <c r="AU738">
        <v>2014</v>
      </c>
      <c r="AV738">
        <v>26</v>
      </c>
      <c r="AW738">
        <v>3</v>
      </c>
      <c r="AX738" t="s">
        <v>74</v>
      </c>
      <c r="AY738" t="s">
        <v>74</v>
      </c>
      <c r="AZ738" t="s">
        <v>74</v>
      </c>
      <c r="BA738" t="s">
        <v>74</v>
      </c>
      <c r="BB738">
        <v>231</v>
      </c>
      <c r="BC738">
        <v>238</v>
      </c>
      <c r="BD738" t="s">
        <v>74</v>
      </c>
      <c r="BE738" t="s">
        <v>13955</v>
      </c>
      <c r="BF738" t="str">
        <f>HYPERLINK("http://dx.doi.org/10.1017/S0954102013000400","http://dx.doi.org/10.1017/S0954102013000400")</f>
        <v>http://dx.doi.org/10.1017/S0954102013000400</v>
      </c>
      <c r="BG738" t="s">
        <v>74</v>
      </c>
      <c r="BH738" t="s">
        <v>74</v>
      </c>
      <c r="BI738">
        <v>8</v>
      </c>
      <c r="BJ738" t="s">
        <v>6144</v>
      </c>
      <c r="BK738" t="s">
        <v>102</v>
      </c>
      <c r="BL738" t="s">
        <v>6145</v>
      </c>
      <c r="BM738" t="s">
        <v>12829</v>
      </c>
      <c r="BN738" t="s">
        <v>74</v>
      </c>
      <c r="BO738" t="s">
        <v>74</v>
      </c>
      <c r="BP738" t="s">
        <v>74</v>
      </c>
      <c r="BQ738" t="s">
        <v>74</v>
      </c>
      <c r="BR738" t="s">
        <v>105</v>
      </c>
      <c r="BS738" t="s">
        <v>13956</v>
      </c>
      <c r="BT738" t="str">
        <f>HYPERLINK("https%3A%2F%2Fwww.webofscience.com%2Fwos%2Fwoscc%2Ffull-record%2FWOS:000334841900003","View Full Record in Web of Science")</f>
        <v>View Full Record in Web of Science</v>
      </c>
    </row>
    <row r="739" spans="1:72" x14ac:dyDescent="0.15">
      <c r="A739" t="s">
        <v>72</v>
      </c>
      <c r="B739" t="s">
        <v>13957</v>
      </c>
      <c r="C739" t="s">
        <v>74</v>
      </c>
      <c r="D739" t="s">
        <v>74</v>
      </c>
      <c r="E739" t="s">
        <v>74</v>
      </c>
      <c r="F739" t="s">
        <v>13958</v>
      </c>
      <c r="G739" t="s">
        <v>74</v>
      </c>
      <c r="H739" t="s">
        <v>74</v>
      </c>
      <c r="I739" t="s">
        <v>13959</v>
      </c>
      <c r="J739" t="s">
        <v>6129</v>
      </c>
      <c r="K739" t="s">
        <v>74</v>
      </c>
      <c r="L739" t="s">
        <v>74</v>
      </c>
      <c r="M739" t="s">
        <v>78</v>
      </c>
      <c r="N739" t="s">
        <v>79</v>
      </c>
      <c r="O739" t="s">
        <v>74</v>
      </c>
      <c r="P739" t="s">
        <v>74</v>
      </c>
      <c r="Q739" t="s">
        <v>74</v>
      </c>
      <c r="R739" t="s">
        <v>74</v>
      </c>
      <c r="S739" t="s">
        <v>74</v>
      </c>
      <c r="T739" t="s">
        <v>13960</v>
      </c>
      <c r="U739" t="s">
        <v>13961</v>
      </c>
      <c r="V739" t="s">
        <v>13962</v>
      </c>
      <c r="W739" t="s">
        <v>13963</v>
      </c>
      <c r="X739" t="s">
        <v>13964</v>
      </c>
      <c r="Y739" t="s">
        <v>13965</v>
      </c>
      <c r="Z739" t="s">
        <v>13966</v>
      </c>
      <c r="AA739" t="s">
        <v>13967</v>
      </c>
      <c r="AB739" t="s">
        <v>13968</v>
      </c>
      <c r="AC739" t="s">
        <v>13969</v>
      </c>
      <c r="AD739" t="s">
        <v>13970</v>
      </c>
      <c r="AE739" t="s">
        <v>13971</v>
      </c>
      <c r="AF739" t="s">
        <v>74</v>
      </c>
      <c r="AG739">
        <v>44</v>
      </c>
      <c r="AH739">
        <v>8</v>
      </c>
      <c r="AI739">
        <v>9</v>
      </c>
      <c r="AJ739">
        <v>0</v>
      </c>
      <c r="AK739">
        <v>11</v>
      </c>
      <c r="AL739" t="s">
        <v>2353</v>
      </c>
      <c r="AM739" t="s">
        <v>576</v>
      </c>
      <c r="AN739" t="s">
        <v>2354</v>
      </c>
      <c r="AO739" t="s">
        <v>6139</v>
      </c>
      <c r="AP739" t="s">
        <v>6140</v>
      </c>
      <c r="AQ739" t="s">
        <v>74</v>
      </c>
      <c r="AR739" t="s">
        <v>6141</v>
      </c>
      <c r="AS739" t="s">
        <v>6142</v>
      </c>
      <c r="AT739" t="s">
        <v>11484</v>
      </c>
      <c r="AU739">
        <v>2014</v>
      </c>
      <c r="AV739">
        <v>26</v>
      </c>
      <c r="AW739">
        <v>3</v>
      </c>
      <c r="AX739" t="s">
        <v>74</v>
      </c>
      <c r="AY739" t="s">
        <v>74</v>
      </c>
      <c r="AZ739" t="s">
        <v>74</v>
      </c>
      <c r="BA739" t="s">
        <v>74</v>
      </c>
      <c r="BB739">
        <v>250</v>
      </c>
      <c r="BC739">
        <v>260</v>
      </c>
      <c r="BD739" t="s">
        <v>74</v>
      </c>
      <c r="BE739" t="s">
        <v>13972</v>
      </c>
      <c r="BF739" t="str">
        <f>HYPERLINK("http://dx.doi.org/10.1017/S0954102013000643","http://dx.doi.org/10.1017/S0954102013000643")</f>
        <v>http://dx.doi.org/10.1017/S0954102013000643</v>
      </c>
      <c r="BG739" t="s">
        <v>74</v>
      </c>
      <c r="BH739" t="s">
        <v>74</v>
      </c>
      <c r="BI739">
        <v>11</v>
      </c>
      <c r="BJ739" t="s">
        <v>6144</v>
      </c>
      <c r="BK739" t="s">
        <v>102</v>
      </c>
      <c r="BL739" t="s">
        <v>6145</v>
      </c>
      <c r="BM739" t="s">
        <v>12829</v>
      </c>
      <c r="BN739" t="s">
        <v>74</v>
      </c>
      <c r="BO739" t="s">
        <v>74</v>
      </c>
      <c r="BP739" t="s">
        <v>74</v>
      </c>
      <c r="BQ739" t="s">
        <v>74</v>
      </c>
      <c r="BR739" t="s">
        <v>105</v>
      </c>
      <c r="BS739" t="s">
        <v>13973</v>
      </c>
      <c r="BT739" t="str">
        <f>HYPERLINK("https%3A%2F%2Fwww.webofscience.com%2Fwos%2Fwoscc%2Ffull-record%2FWOS:000334841900005","View Full Record in Web of Science")</f>
        <v>View Full Record in Web of Science</v>
      </c>
    </row>
    <row r="740" spans="1:72" x14ac:dyDescent="0.15">
      <c r="A740" t="s">
        <v>72</v>
      </c>
      <c r="B740" t="s">
        <v>13974</v>
      </c>
      <c r="C740" t="s">
        <v>74</v>
      </c>
      <c r="D740" t="s">
        <v>74</v>
      </c>
      <c r="E740" t="s">
        <v>74</v>
      </c>
      <c r="F740" t="s">
        <v>13975</v>
      </c>
      <c r="G740" t="s">
        <v>74</v>
      </c>
      <c r="H740" t="s">
        <v>74</v>
      </c>
      <c r="I740" t="s">
        <v>13976</v>
      </c>
      <c r="J740" t="s">
        <v>6129</v>
      </c>
      <c r="K740" t="s">
        <v>74</v>
      </c>
      <c r="L740" t="s">
        <v>74</v>
      </c>
      <c r="M740" t="s">
        <v>78</v>
      </c>
      <c r="N740" t="s">
        <v>79</v>
      </c>
      <c r="O740" t="s">
        <v>74</v>
      </c>
      <c r="P740" t="s">
        <v>74</v>
      </c>
      <c r="Q740" t="s">
        <v>74</v>
      </c>
      <c r="R740" t="s">
        <v>74</v>
      </c>
      <c r="S740" t="s">
        <v>74</v>
      </c>
      <c r="T740" t="s">
        <v>74</v>
      </c>
      <c r="U740" t="s">
        <v>13977</v>
      </c>
      <c r="V740" t="s">
        <v>74</v>
      </c>
      <c r="W740" t="s">
        <v>13978</v>
      </c>
      <c r="X740" t="s">
        <v>13979</v>
      </c>
      <c r="Y740" t="s">
        <v>13980</v>
      </c>
      <c r="Z740" t="s">
        <v>13981</v>
      </c>
      <c r="AA740" t="s">
        <v>74</v>
      </c>
      <c r="AB740" t="s">
        <v>13982</v>
      </c>
      <c r="AC740" t="s">
        <v>13983</v>
      </c>
      <c r="AD740" t="s">
        <v>13983</v>
      </c>
      <c r="AE740" t="s">
        <v>13984</v>
      </c>
      <c r="AF740" t="s">
        <v>74</v>
      </c>
      <c r="AG740">
        <v>8</v>
      </c>
      <c r="AH740">
        <v>9</v>
      </c>
      <c r="AI740">
        <v>10</v>
      </c>
      <c r="AJ740">
        <v>0</v>
      </c>
      <c r="AK740">
        <v>17</v>
      </c>
      <c r="AL740" t="s">
        <v>2353</v>
      </c>
      <c r="AM740" t="s">
        <v>576</v>
      </c>
      <c r="AN740" t="s">
        <v>2354</v>
      </c>
      <c r="AO740" t="s">
        <v>6139</v>
      </c>
      <c r="AP740" t="s">
        <v>6140</v>
      </c>
      <c r="AQ740" t="s">
        <v>74</v>
      </c>
      <c r="AR740" t="s">
        <v>6141</v>
      </c>
      <c r="AS740" t="s">
        <v>6142</v>
      </c>
      <c r="AT740" t="s">
        <v>11484</v>
      </c>
      <c r="AU740">
        <v>2014</v>
      </c>
      <c r="AV740">
        <v>26</v>
      </c>
      <c r="AW740">
        <v>3</v>
      </c>
      <c r="AX740" t="s">
        <v>74</v>
      </c>
      <c r="AY740" t="s">
        <v>74</v>
      </c>
      <c r="AZ740" t="s">
        <v>74</v>
      </c>
      <c r="BA740" t="s">
        <v>74</v>
      </c>
      <c r="BB740">
        <v>261</v>
      </c>
      <c r="BC740">
        <v>262</v>
      </c>
      <c r="BD740" t="s">
        <v>74</v>
      </c>
      <c r="BE740" t="s">
        <v>13985</v>
      </c>
      <c r="BF740" t="str">
        <f>HYPERLINK("http://dx.doi.org/10.1017/S0954102013000655","http://dx.doi.org/10.1017/S0954102013000655")</f>
        <v>http://dx.doi.org/10.1017/S0954102013000655</v>
      </c>
      <c r="BG740" t="s">
        <v>74</v>
      </c>
      <c r="BH740" t="s">
        <v>74</v>
      </c>
      <c r="BI740">
        <v>2</v>
      </c>
      <c r="BJ740" t="s">
        <v>6144</v>
      </c>
      <c r="BK740" t="s">
        <v>102</v>
      </c>
      <c r="BL740" t="s">
        <v>6145</v>
      </c>
      <c r="BM740" t="s">
        <v>12829</v>
      </c>
      <c r="BN740" t="s">
        <v>74</v>
      </c>
      <c r="BO740" t="s">
        <v>74</v>
      </c>
      <c r="BP740" t="s">
        <v>74</v>
      </c>
      <c r="BQ740" t="s">
        <v>74</v>
      </c>
      <c r="BR740" t="s">
        <v>105</v>
      </c>
      <c r="BS740" t="s">
        <v>13986</v>
      </c>
      <c r="BT740" t="str">
        <f>HYPERLINK("https%3A%2F%2Fwww.webofscience.com%2Fwos%2Fwoscc%2Ffull-record%2FWOS:000334841900006","View Full Record in Web of Science")</f>
        <v>View Full Record in Web of Science</v>
      </c>
    </row>
    <row r="741" spans="1:72" x14ac:dyDescent="0.15">
      <c r="A741" t="s">
        <v>72</v>
      </c>
      <c r="B741" t="s">
        <v>13987</v>
      </c>
      <c r="C741" t="s">
        <v>74</v>
      </c>
      <c r="D741" t="s">
        <v>74</v>
      </c>
      <c r="E741" t="s">
        <v>74</v>
      </c>
      <c r="F741" t="s">
        <v>13988</v>
      </c>
      <c r="G741" t="s">
        <v>74</v>
      </c>
      <c r="H741" t="s">
        <v>74</v>
      </c>
      <c r="I741" t="s">
        <v>13989</v>
      </c>
      <c r="J741" t="s">
        <v>6129</v>
      </c>
      <c r="K741" t="s">
        <v>74</v>
      </c>
      <c r="L741" t="s">
        <v>74</v>
      </c>
      <c r="M741" t="s">
        <v>78</v>
      </c>
      <c r="N741" t="s">
        <v>79</v>
      </c>
      <c r="O741" t="s">
        <v>74</v>
      </c>
      <c r="P741" t="s">
        <v>74</v>
      </c>
      <c r="Q741" t="s">
        <v>74</v>
      </c>
      <c r="R741" t="s">
        <v>74</v>
      </c>
      <c r="S741" t="s">
        <v>74</v>
      </c>
      <c r="T741" t="s">
        <v>74</v>
      </c>
      <c r="U741" t="s">
        <v>74</v>
      </c>
      <c r="V741" t="s">
        <v>74</v>
      </c>
      <c r="W741" t="s">
        <v>13990</v>
      </c>
      <c r="X741" t="s">
        <v>13991</v>
      </c>
      <c r="Y741" t="s">
        <v>13992</v>
      </c>
      <c r="Z741" t="s">
        <v>13993</v>
      </c>
      <c r="AA741" t="s">
        <v>74</v>
      </c>
      <c r="AB741" t="s">
        <v>74</v>
      </c>
      <c r="AC741" t="s">
        <v>74</v>
      </c>
      <c r="AD741" t="s">
        <v>74</v>
      </c>
      <c r="AE741" t="s">
        <v>74</v>
      </c>
      <c r="AF741" t="s">
        <v>74</v>
      </c>
      <c r="AG741">
        <v>6</v>
      </c>
      <c r="AH741">
        <v>3</v>
      </c>
      <c r="AI741">
        <v>3</v>
      </c>
      <c r="AJ741">
        <v>1</v>
      </c>
      <c r="AK741">
        <v>32</v>
      </c>
      <c r="AL741" t="s">
        <v>2353</v>
      </c>
      <c r="AM741" t="s">
        <v>576</v>
      </c>
      <c r="AN741" t="s">
        <v>2354</v>
      </c>
      <c r="AO741" t="s">
        <v>6139</v>
      </c>
      <c r="AP741" t="s">
        <v>6140</v>
      </c>
      <c r="AQ741" t="s">
        <v>74</v>
      </c>
      <c r="AR741" t="s">
        <v>6141</v>
      </c>
      <c r="AS741" t="s">
        <v>6142</v>
      </c>
      <c r="AT741" t="s">
        <v>11484</v>
      </c>
      <c r="AU741">
        <v>2014</v>
      </c>
      <c r="AV741">
        <v>26</v>
      </c>
      <c r="AW741">
        <v>3</v>
      </c>
      <c r="AX741" t="s">
        <v>74</v>
      </c>
      <c r="AY741" t="s">
        <v>74</v>
      </c>
      <c r="AZ741" t="s">
        <v>74</v>
      </c>
      <c r="BA741" t="s">
        <v>74</v>
      </c>
      <c r="BB741">
        <v>263</v>
      </c>
      <c r="BC741">
        <v>264</v>
      </c>
      <c r="BD741" t="s">
        <v>74</v>
      </c>
      <c r="BE741" t="s">
        <v>13994</v>
      </c>
      <c r="BF741" t="str">
        <f>HYPERLINK("http://dx.doi.org/10.1017/S0954102013000941","http://dx.doi.org/10.1017/S0954102013000941")</f>
        <v>http://dx.doi.org/10.1017/S0954102013000941</v>
      </c>
      <c r="BG741" t="s">
        <v>74</v>
      </c>
      <c r="BH741" t="s">
        <v>74</v>
      </c>
      <c r="BI741">
        <v>2</v>
      </c>
      <c r="BJ741" t="s">
        <v>6144</v>
      </c>
      <c r="BK741" t="s">
        <v>102</v>
      </c>
      <c r="BL741" t="s">
        <v>6145</v>
      </c>
      <c r="BM741" t="s">
        <v>12829</v>
      </c>
      <c r="BN741" t="s">
        <v>74</v>
      </c>
      <c r="BO741" t="s">
        <v>74</v>
      </c>
      <c r="BP741" t="s">
        <v>74</v>
      </c>
      <c r="BQ741" t="s">
        <v>74</v>
      </c>
      <c r="BR741" t="s">
        <v>105</v>
      </c>
      <c r="BS741" t="s">
        <v>13995</v>
      </c>
      <c r="BT741" t="str">
        <f>HYPERLINK("https%3A%2F%2Fwww.webofscience.com%2Fwos%2Fwoscc%2Ffull-record%2FWOS:000334841900007","View Full Record in Web of Science")</f>
        <v>View Full Record in Web of Science</v>
      </c>
    </row>
    <row r="742" spans="1:72" x14ac:dyDescent="0.15">
      <c r="A742" t="s">
        <v>72</v>
      </c>
      <c r="B742" t="s">
        <v>13996</v>
      </c>
      <c r="C742" t="s">
        <v>74</v>
      </c>
      <c r="D742" t="s">
        <v>74</v>
      </c>
      <c r="E742" t="s">
        <v>74</v>
      </c>
      <c r="F742" t="s">
        <v>13997</v>
      </c>
      <c r="G742" t="s">
        <v>74</v>
      </c>
      <c r="H742" t="s">
        <v>74</v>
      </c>
      <c r="I742" t="s">
        <v>13998</v>
      </c>
      <c r="J742" t="s">
        <v>6129</v>
      </c>
      <c r="K742" t="s">
        <v>74</v>
      </c>
      <c r="L742" t="s">
        <v>74</v>
      </c>
      <c r="M742" t="s">
        <v>78</v>
      </c>
      <c r="N742" t="s">
        <v>79</v>
      </c>
      <c r="O742" t="s">
        <v>74</v>
      </c>
      <c r="P742" t="s">
        <v>74</v>
      </c>
      <c r="Q742" t="s">
        <v>74</v>
      </c>
      <c r="R742" t="s">
        <v>74</v>
      </c>
      <c r="S742" t="s">
        <v>74</v>
      </c>
      <c r="T742" t="s">
        <v>13999</v>
      </c>
      <c r="U742" t="s">
        <v>14000</v>
      </c>
      <c r="V742" t="s">
        <v>14001</v>
      </c>
      <c r="W742" t="s">
        <v>14002</v>
      </c>
      <c r="X742" t="s">
        <v>14003</v>
      </c>
      <c r="Y742" t="s">
        <v>14004</v>
      </c>
      <c r="Z742" t="s">
        <v>14005</v>
      </c>
      <c r="AA742" t="s">
        <v>74</v>
      </c>
      <c r="AB742" t="s">
        <v>14006</v>
      </c>
      <c r="AC742" t="s">
        <v>14007</v>
      </c>
      <c r="AD742" t="s">
        <v>14008</v>
      </c>
      <c r="AE742" t="s">
        <v>14009</v>
      </c>
      <c r="AF742" t="s">
        <v>74</v>
      </c>
      <c r="AG742">
        <v>28</v>
      </c>
      <c r="AH742">
        <v>12</v>
      </c>
      <c r="AI742">
        <v>13</v>
      </c>
      <c r="AJ742">
        <v>0</v>
      </c>
      <c r="AK742">
        <v>12</v>
      </c>
      <c r="AL742" t="s">
        <v>2353</v>
      </c>
      <c r="AM742" t="s">
        <v>576</v>
      </c>
      <c r="AN742" t="s">
        <v>2354</v>
      </c>
      <c r="AO742" t="s">
        <v>6139</v>
      </c>
      <c r="AP742" t="s">
        <v>6140</v>
      </c>
      <c r="AQ742" t="s">
        <v>74</v>
      </c>
      <c r="AR742" t="s">
        <v>6141</v>
      </c>
      <c r="AS742" t="s">
        <v>6142</v>
      </c>
      <c r="AT742" t="s">
        <v>11484</v>
      </c>
      <c r="AU742">
        <v>2014</v>
      </c>
      <c r="AV742">
        <v>26</v>
      </c>
      <c r="AW742">
        <v>3</v>
      </c>
      <c r="AX742" t="s">
        <v>74</v>
      </c>
      <c r="AY742" t="s">
        <v>74</v>
      </c>
      <c r="AZ742" t="s">
        <v>74</v>
      </c>
      <c r="BA742" t="s">
        <v>74</v>
      </c>
      <c r="BB742">
        <v>267</v>
      </c>
      <c r="BC742">
        <v>275</v>
      </c>
      <c r="BD742" t="s">
        <v>74</v>
      </c>
      <c r="BE742" t="s">
        <v>14010</v>
      </c>
      <c r="BF742" t="str">
        <f>HYPERLINK("http://dx.doi.org/10.1017/S0954102013000758","http://dx.doi.org/10.1017/S0954102013000758")</f>
        <v>http://dx.doi.org/10.1017/S0954102013000758</v>
      </c>
      <c r="BG742" t="s">
        <v>74</v>
      </c>
      <c r="BH742" t="s">
        <v>74</v>
      </c>
      <c r="BI742">
        <v>9</v>
      </c>
      <c r="BJ742" t="s">
        <v>6144</v>
      </c>
      <c r="BK742" t="s">
        <v>102</v>
      </c>
      <c r="BL742" t="s">
        <v>6145</v>
      </c>
      <c r="BM742" t="s">
        <v>12829</v>
      </c>
      <c r="BN742" t="s">
        <v>74</v>
      </c>
      <c r="BO742" t="s">
        <v>74</v>
      </c>
      <c r="BP742" t="s">
        <v>74</v>
      </c>
      <c r="BQ742" t="s">
        <v>74</v>
      </c>
      <c r="BR742" t="s">
        <v>105</v>
      </c>
      <c r="BS742" t="s">
        <v>14011</v>
      </c>
      <c r="BT742" t="str">
        <f>HYPERLINK("https%3A%2F%2Fwww.webofscience.com%2Fwos%2Fwoscc%2Ffull-record%2FWOS:000334841900009","View Full Record in Web of Science")</f>
        <v>View Full Record in Web of Science</v>
      </c>
    </row>
    <row r="743" spans="1:72" x14ac:dyDescent="0.15">
      <c r="A743" t="s">
        <v>72</v>
      </c>
      <c r="B743" t="s">
        <v>14012</v>
      </c>
      <c r="C743" t="s">
        <v>74</v>
      </c>
      <c r="D743" t="s">
        <v>74</v>
      </c>
      <c r="E743" t="s">
        <v>74</v>
      </c>
      <c r="F743" t="s">
        <v>14013</v>
      </c>
      <c r="G743" t="s">
        <v>74</v>
      </c>
      <c r="H743" t="s">
        <v>74</v>
      </c>
      <c r="I743" t="s">
        <v>14014</v>
      </c>
      <c r="J743" t="s">
        <v>6129</v>
      </c>
      <c r="K743" t="s">
        <v>74</v>
      </c>
      <c r="L743" t="s">
        <v>74</v>
      </c>
      <c r="M743" t="s">
        <v>78</v>
      </c>
      <c r="N743" t="s">
        <v>79</v>
      </c>
      <c r="O743" t="s">
        <v>74</v>
      </c>
      <c r="P743" t="s">
        <v>74</v>
      </c>
      <c r="Q743" t="s">
        <v>74</v>
      </c>
      <c r="R743" t="s">
        <v>74</v>
      </c>
      <c r="S743" t="s">
        <v>74</v>
      </c>
      <c r="T743" t="s">
        <v>74</v>
      </c>
      <c r="U743" t="s">
        <v>74</v>
      </c>
      <c r="V743" t="s">
        <v>74</v>
      </c>
      <c r="W743" t="s">
        <v>14015</v>
      </c>
      <c r="X743" t="s">
        <v>14016</v>
      </c>
      <c r="Y743" t="s">
        <v>14017</v>
      </c>
      <c r="Z743" t="s">
        <v>7364</v>
      </c>
      <c r="AA743" t="s">
        <v>7365</v>
      </c>
      <c r="AB743" t="s">
        <v>7366</v>
      </c>
      <c r="AC743" t="s">
        <v>14018</v>
      </c>
      <c r="AD743" t="s">
        <v>14019</v>
      </c>
      <c r="AE743" t="s">
        <v>14020</v>
      </c>
      <c r="AF743" t="s">
        <v>74</v>
      </c>
      <c r="AG743">
        <v>13</v>
      </c>
      <c r="AH743">
        <v>6</v>
      </c>
      <c r="AI743">
        <v>6</v>
      </c>
      <c r="AJ743">
        <v>1</v>
      </c>
      <c r="AK743">
        <v>6</v>
      </c>
      <c r="AL743" t="s">
        <v>2353</v>
      </c>
      <c r="AM743" t="s">
        <v>576</v>
      </c>
      <c r="AN743" t="s">
        <v>2354</v>
      </c>
      <c r="AO743" t="s">
        <v>6139</v>
      </c>
      <c r="AP743" t="s">
        <v>6140</v>
      </c>
      <c r="AQ743" t="s">
        <v>74</v>
      </c>
      <c r="AR743" t="s">
        <v>6141</v>
      </c>
      <c r="AS743" t="s">
        <v>6142</v>
      </c>
      <c r="AT743" t="s">
        <v>11484</v>
      </c>
      <c r="AU743">
        <v>2014</v>
      </c>
      <c r="AV743">
        <v>26</v>
      </c>
      <c r="AW743">
        <v>3</v>
      </c>
      <c r="AX743" t="s">
        <v>74</v>
      </c>
      <c r="AY743" t="s">
        <v>74</v>
      </c>
      <c r="AZ743" t="s">
        <v>74</v>
      </c>
      <c r="BA743" t="s">
        <v>74</v>
      </c>
      <c r="BB743">
        <v>277</v>
      </c>
      <c r="BC743">
        <v>278</v>
      </c>
      <c r="BD743" t="s">
        <v>74</v>
      </c>
      <c r="BE743" t="s">
        <v>14021</v>
      </c>
      <c r="BF743" t="str">
        <f>HYPERLINK("http://dx.doi.org/10.1017/S0954102013000618","http://dx.doi.org/10.1017/S0954102013000618")</f>
        <v>http://dx.doi.org/10.1017/S0954102013000618</v>
      </c>
      <c r="BG743" t="s">
        <v>74</v>
      </c>
      <c r="BH743" t="s">
        <v>74</v>
      </c>
      <c r="BI743">
        <v>2</v>
      </c>
      <c r="BJ743" t="s">
        <v>6144</v>
      </c>
      <c r="BK743" t="s">
        <v>102</v>
      </c>
      <c r="BL743" t="s">
        <v>6145</v>
      </c>
      <c r="BM743" t="s">
        <v>12829</v>
      </c>
      <c r="BN743" t="s">
        <v>74</v>
      </c>
      <c r="BO743" t="s">
        <v>74</v>
      </c>
      <c r="BP743" t="s">
        <v>74</v>
      </c>
      <c r="BQ743" t="s">
        <v>74</v>
      </c>
      <c r="BR743" t="s">
        <v>105</v>
      </c>
      <c r="BS743" t="s">
        <v>14022</v>
      </c>
      <c r="BT743" t="str">
        <f>HYPERLINK("https%3A%2F%2Fwww.webofscience.com%2Fwos%2Fwoscc%2Ffull-record%2FWOS:000334841900010","View Full Record in Web of Science")</f>
        <v>View Full Record in Web of Science</v>
      </c>
    </row>
    <row r="744" spans="1:72" x14ac:dyDescent="0.15">
      <c r="A744" t="s">
        <v>72</v>
      </c>
      <c r="B744" t="s">
        <v>14023</v>
      </c>
      <c r="C744" t="s">
        <v>74</v>
      </c>
      <c r="D744" t="s">
        <v>74</v>
      </c>
      <c r="E744" t="s">
        <v>74</v>
      </c>
      <c r="F744" t="s">
        <v>14024</v>
      </c>
      <c r="G744" t="s">
        <v>74</v>
      </c>
      <c r="H744" t="s">
        <v>74</v>
      </c>
      <c r="I744" t="s">
        <v>14025</v>
      </c>
      <c r="J744" t="s">
        <v>6129</v>
      </c>
      <c r="K744" t="s">
        <v>74</v>
      </c>
      <c r="L744" t="s">
        <v>74</v>
      </c>
      <c r="M744" t="s">
        <v>78</v>
      </c>
      <c r="N744" t="s">
        <v>79</v>
      </c>
      <c r="O744" t="s">
        <v>74</v>
      </c>
      <c r="P744" t="s">
        <v>74</v>
      </c>
      <c r="Q744" t="s">
        <v>74</v>
      </c>
      <c r="R744" t="s">
        <v>74</v>
      </c>
      <c r="S744" t="s">
        <v>74</v>
      </c>
      <c r="T744" t="s">
        <v>74</v>
      </c>
      <c r="U744" t="s">
        <v>74</v>
      </c>
      <c r="V744" t="s">
        <v>74</v>
      </c>
      <c r="W744" t="s">
        <v>14026</v>
      </c>
      <c r="X744" t="s">
        <v>14027</v>
      </c>
      <c r="Y744" t="s">
        <v>14028</v>
      </c>
      <c r="Z744" t="s">
        <v>14029</v>
      </c>
      <c r="AA744" t="s">
        <v>14030</v>
      </c>
      <c r="AB744" t="s">
        <v>14031</v>
      </c>
      <c r="AC744" t="s">
        <v>74</v>
      </c>
      <c r="AD744" t="s">
        <v>74</v>
      </c>
      <c r="AE744" t="s">
        <v>74</v>
      </c>
      <c r="AF744" t="s">
        <v>74</v>
      </c>
      <c r="AG744">
        <v>8</v>
      </c>
      <c r="AH744">
        <v>1</v>
      </c>
      <c r="AI744">
        <v>1</v>
      </c>
      <c r="AJ744">
        <v>0</v>
      </c>
      <c r="AK744">
        <v>5</v>
      </c>
      <c r="AL744" t="s">
        <v>2353</v>
      </c>
      <c r="AM744" t="s">
        <v>576</v>
      </c>
      <c r="AN744" t="s">
        <v>2354</v>
      </c>
      <c r="AO744" t="s">
        <v>6139</v>
      </c>
      <c r="AP744" t="s">
        <v>6140</v>
      </c>
      <c r="AQ744" t="s">
        <v>74</v>
      </c>
      <c r="AR744" t="s">
        <v>6141</v>
      </c>
      <c r="AS744" t="s">
        <v>6142</v>
      </c>
      <c r="AT744" t="s">
        <v>11484</v>
      </c>
      <c r="AU744">
        <v>2014</v>
      </c>
      <c r="AV744">
        <v>26</v>
      </c>
      <c r="AW744">
        <v>3</v>
      </c>
      <c r="AX744" t="s">
        <v>74</v>
      </c>
      <c r="AY744" t="s">
        <v>74</v>
      </c>
      <c r="AZ744" t="s">
        <v>74</v>
      </c>
      <c r="BA744" t="s">
        <v>74</v>
      </c>
      <c r="BB744">
        <v>279</v>
      </c>
      <c r="BC744">
        <v>280</v>
      </c>
      <c r="BD744" t="s">
        <v>74</v>
      </c>
      <c r="BE744" t="s">
        <v>14032</v>
      </c>
      <c r="BF744" t="str">
        <f>HYPERLINK("http://dx.doi.org/10.1017/S0954102013000631","http://dx.doi.org/10.1017/S0954102013000631")</f>
        <v>http://dx.doi.org/10.1017/S0954102013000631</v>
      </c>
      <c r="BG744" t="s">
        <v>74</v>
      </c>
      <c r="BH744" t="s">
        <v>74</v>
      </c>
      <c r="BI744">
        <v>2</v>
      </c>
      <c r="BJ744" t="s">
        <v>6144</v>
      </c>
      <c r="BK744" t="s">
        <v>102</v>
      </c>
      <c r="BL744" t="s">
        <v>6145</v>
      </c>
      <c r="BM744" t="s">
        <v>12829</v>
      </c>
      <c r="BN744" t="s">
        <v>74</v>
      </c>
      <c r="BO744" t="s">
        <v>74</v>
      </c>
      <c r="BP744" t="s">
        <v>74</v>
      </c>
      <c r="BQ744" t="s">
        <v>74</v>
      </c>
      <c r="BR744" t="s">
        <v>105</v>
      </c>
      <c r="BS744" t="s">
        <v>14033</v>
      </c>
      <c r="BT744" t="str">
        <f>HYPERLINK("https%3A%2F%2Fwww.webofscience.com%2Fwos%2Fwoscc%2Ffull-record%2FWOS:000334841900011","View Full Record in Web of Science")</f>
        <v>View Full Record in Web of Science</v>
      </c>
    </row>
    <row r="745" spans="1:72" x14ac:dyDescent="0.15">
      <c r="A745" t="s">
        <v>72</v>
      </c>
      <c r="B745" t="s">
        <v>14034</v>
      </c>
      <c r="C745" t="s">
        <v>74</v>
      </c>
      <c r="D745" t="s">
        <v>74</v>
      </c>
      <c r="E745" t="s">
        <v>74</v>
      </c>
      <c r="F745" t="s">
        <v>14035</v>
      </c>
      <c r="G745" t="s">
        <v>74</v>
      </c>
      <c r="H745" t="s">
        <v>74</v>
      </c>
      <c r="I745" t="s">
        <v>14036</v>
      </c>
      <c r="J745" t="s">
        <v>6129</v>
      </c>
      <c r="K745" t="s">
        <v>74</v>
      </c>
      <c r="L745" t="s">
        <v>74</v>
      </c>
      <c r="M745" t="s">
        <v>78</v>
      </c>
      <c r="N745" t="s">
        <v>79</v>
      </c>
      <c r="O745" t="s">
        <v>74</v>
      </c>
      <c r="P745" t="s">
        <v>74</v>
      </c>
      <c r="Q745" t="s">
        <v>74</v>
      </c>
      <c r="R745" t="s">
        <v>74</v>
      </c>
      <c r="S745" t="s">
        <v>74</v>
      </c>
      <c r="T745" t="s">
        <v>14037</v>
      </c>
      <c r="U745" t="s">
        <v>14038</v>
      </c>
      <c r="V745" t="s">
        <v>14039</v>
      </c>
      <c r="W745" t="s">
        <v>14040</v>
      </c>
      <c r="X745" t="s">
        <v>14041</v>
      </c>
      <c r="Y745" t="s">
        <v>14042</v>
      </c>
      <c r="Z745" t="s">
        <v>14043</v>
      </c>
      <c r="AA745" t="s">
        <v>14044</v>
      </c>
      <c r="AB745" t="s">
        <v>14045</v>
      </c>
      <c r="AC745" t="s">
        <v>14046</v>
      </c>
      <c r="AD745" t="s">
        <v>14047</v>
      </c>
      <c r="AE745" t="s">
        <v>14048</v>
      </c>
      <c r="AF745" t="s">
        <v>74</v>
      </c>
      <c r="AG745">
        <v>38</v>
      </c>
      <c r="AH745">
        <v>23</v>
      </c>
      <c r="AI745">
        <v>24</v>
      </c>
      <c r="AJ745">
        <v>0</v>
      </c>
      <c r="AK745">
        <v>25</v>
      </c>
      <c r="AL745" t="s">
        <v>2353</v>
      </c>
      <c r="AM745" t="s">
        <v>576</v>
      </c>
      <c r="AN745" t="s">
        <v>2354</v>
      </c>
      <c r="AO745" t="s">
        <v>6139</v>
      </c>
      <c r="AP745" t="s">
        <v>6140</v>
      </c>
      <c r="AQ745" t="s">
        <v>74</v>
      </c>
      <c r="AR745" t="s">
        <v>6141</v>
      </c>
      <c r="AS745" t="s">
        <v>6142</v>
      </c>
      <c r="AT745" t="s">
        <v>11484</v>
      </c>
      <c r="AU745">
        <v>2014</v>
      </c>
      <c r="AV745">
        <v>26</v>
      </c>
      <c r="AW745">
        <v>3</v>
      </c>
      <c r="AX745" t="s">
        <v>74</v>
      </c>
      <c r="AY745" t="s">
        <v>74</v>
      </c>
      <c r="AZ745" t="s">
        <v>74</v>
      </c>
      <c r="BA745" t="s">
        <v>74</v>
      </c>
      <c r="BB745">
        <v>281</v>
      </c>
      <c r="BC745">
        <v>289</v>
      </c>
      <c r="BD745" t="s">
        <v>74</v>
      </c>
      <c r="BE745" t="s">
        <v>14049</v>
      </c>
      <c r="BF745" t="str">
        <f>HYPERLINK("http://dx.doi.org/10.1017/S0954102013000552","http://dx.doi.org/10.1017/S0954102013000552")</f>
        <v>http://dx.doi.org/10.1017/S0954102013000552</v>
      </c>
      <c r="BG745" t="s">
        <v>74</v>
      </c>
      <c r="BH745" t="s">
        <v>74</v>
      </c>
      <c r="BI745">
        <v>9</v>
      </c>
      <c r="BJ745" t="s">
        <v>6144</v>
      </c>
      <c r="BK745" t="s">
        <v>102</v>
      </c>
      <c r="BL745" t="s">
        <v>6145</v>
      </c>
      <c r="BM745" t="s">
        <v>12829</v>
      </c>
      <c r="BN745" t="s">
        <v>74</v>
      </c>
      <c r="BO745" t="s">
        <v>74</v>
      </c>
      <c r="BP745" t="s">
        <v>74</v>
      </c>
      <c r="BQ745" t="s">
        <v>74</v>
      </c>
      <c r="BR745" t="s">
        <v>105</v>
      </c>
      <c r="BS745" t="s">
        <v>14050</v>
      </c>
      <c r="BT745" t="str">
        <f>HYPERLINK("https%3A%2F%2Fwww.webofscience.com%2Fwos%2Fwoscc%2Ffull-record%2FWOS:000334841900012","View Full Record in Web of Science")</f>
        <v>View Full Record in Web of Science</v>
      </c>
    </row>
    <row r="746" spans="1:72" x14ac:dyDescent="0.15">
      <c r="A746" t="s">
        <v>72</v>
      </c>
      <c r="B746" t="s">
        <v>14051</v>
      </c>
      <c r="C746" t="s">
        <v>74</v>
      </c>
      <c r="D746" t="s">
        <v>74</v>
      </c>
      <c r="E746" t="s">
        <v>74</v>
      </c>
      <c r="F746" t="s">
        <v>14052</v>
      </c>
      <c r="G746" t="s">
        <v>74</v>
      </c>
      <c r="H746" t="s">
        <v>74</v>
      </c>
      <c r="I746" t="s">
        <v>14053</v>
      </c>
      <c r="J746" t="s">
        <v>6129</v>
      </c>
      <c r="K746" t="s">
        <v>74</v>
      </c>
      <c r="L746" t="s">
        <v>74</v>
      </c>
      <c r="M746" t="s">
        <v>78</v>
      </c>
      <c r="N746" t="s">
        <v>79</v>
      </c>
      <c r="O746" t="s">
        <v>74</v>
      </c>
      <c r="P746" t="s">
        <v>74</v>
      </c>
      <c r="Q746" t="s">
        <v>74</v>
      </c>
      <c r="R746" t="s">
        <v>74</v>
      </c>
      <c r="S746" t="s">
        <v>74</v>
      </c>
      <c r="T746" t="s">
        <v>14054</v>
      </c>
      <c r="U746" t="s">
        <v>14055</v>
      </c>
      <c r="V746" t="s">
        <v>14056</v>
      </c>
      <c r="W746" t="s">
        <v>14057</v>
      </c>
      <c r="X746" t="s">
        <v>14058</v>
      </c>
      <c r="Y746" t="s">
        <v>14059</v>
      </c>
      <c r="Z746" t="s">
        <v>14060</v>
      </c>
      <c r="AA746" t="s">
        <v>14061</v>
      </c>
      <c r="AB746" t="s">
        <v>14062</v>
      </c>
      <c r="AC746" t="s">
        <v>14063</v>
      </c>
      <c r="AD746" t="s">
        <v>14063</v>
      </c>
      <c r="AE746" t="s">
        <v>14064</v>
      </c>
      <c r="AF746" t="s">
        <v>74</v>
      </c>
      <c r="AG746">
        <v>35</v>
      </c>
      <c r="AH746">
        <v>7</v>
      </c>
      <c r="AI746">
        <v>7</v>
      </c>
      <c r="AJ746">
        <v>0</v>
      </c>
      <c r="AK746">
        <v>17</v>
      </c>
      <c r="AL746" t="s">
        <v>2353</v>
      </c>
      <c r="AM746" t="s">
        <v>576</v>
      </c>
      <c r="AN746" t="s">
        <v>2354</v>
      </c>
      <c r="AO746" t="s">
        <v>6139</v>
      </c>
      <c r="AP746" t="s">
        <v>6140</v>
      </c>
      <c r="AQ746" t="s">
        <v>74</v>
      </c>
      <c r="AR746" t="s">
        <v>6141</v>
      </c>
      <c r="AS746" t="s">
        <v>6142</v>
      </c>
      <c r="AT746" t="s">
        <v>11484</v>
      </c>
      <c r="AU746">
        <v>2014</v>
      </c>
      <c r="AV746">
        <v>26</v>
      </c>
      <c r="AW746">
        <v>3</v>
      </c>
      <c r="AX746" t="s">
        <v>74</v>
      </c>
      <c r="AY746" t="s">
        <v>74</v>
      </c>
      <c r="AZ746" t="s">
        <v>74</v>
      </c>
      <c r="BA746" t="s">
        <v>74</v>
      </c>
      <c r="BB746">
        <v>290</v>
      </c>
      <c r="BC746">
        <v>308</v>
      </c>
      <c r="BD746" t="s">
        <v>74</v>
      </c>
      <c r="BE746" t="s">
        <v>14065</v>
      </c>
      <c r="BF746" t="str">
        <f>HYPERLINK("http://dx.doi.org/10.1017/S0954102013000564","http://dx.doi.org/10.1017/S0954102013000564")</f>
        <v>http://dx.doi.org/10.1017/S0954102013000564</v>
      </c>
      <c r="BG746" t="s">
        <v>74</v>
      </c>
      <c r="BH746" t="s">
        <v>74</v>
      </c>
      <c r="BI746">
        <v>19</v>
      </c>
      <c r="BJ746" t="s">
        <v>6144</v>
      </c>
      <c r="BK746" t="s">
        <v>102</v>
      </c>
      <c r="BL746" t="s">
        <v>6145</v>
      </c>
      <c r="BM746" t="s">
        <v>12829</v>
      </c>
      <c r="BN746" t="s">
        <v>74</v>
      </c>
      <c r="BO746" t="s">
        <v>262</v>
      </c>
      <c r="BP746" t="s">
        <v>74</v>
      </c>
      <c r="BQ746" t="s">
        <v>74</v>
      </c>
      <c r="BR746" t="s">
        <v>105</v>
      </c>
      <c r="BS746" t="s">
        <v>14066</v>
      </c>
      <c r="BT746" t="str">
        <f>HYPERLINK("https%3A%2F%2Fwww.webofscience.com%2Fwos%2Fwoscc%2Ffull-record%2FWOS:000334841900013","View Full Record in Web of Science")</f>
        <v>View Full Record in Web of Science</v>
      </c>
    </row>
    <row r="747" spans="1:72" x14ac:dyDescent="0.15">
      <c r="A747" t="s">
        <v>72</v>
      </c>
      <c r="B747" t="s">
        <v>14067</v>
      </c>
      <c r="C747" t="s">
        <v>74</v>
      </c>
      <c r="D747" t="s">
        <v>74</v>
      </c>
      <c r="E747" t="s">
        <v>74</v>
      </c>
      <c r="F747" t="s">
        <v>14068</v>
      </c>
      <c r="G747" t="s">
        <v>74</v>
      </c>
      <c r="H747" t="s">
        <v>74</v>
      </c>
      <c r="I747" t="s">
        <v>14069</v>
      </c>
      <c r="J747" t="s">
        <v>6129</v>
      </c>
      <c r="K747" t="s">
        <v>74</v>
      </c>
      <c r="L747" t="s">
        <v>74</v>
      </c>
      <c r="M747" t="s">
        <v>78</v>
      </c>
      <c r="N747" t="s">
        <v>79</v>
      </c>
      <c r="O747" t="s">
        <v>74</v>
      </c>
      <c r="P747" t="s">
        <v>74</v>
      </c>
      <c r="Q747" t="s">
        <v>74</v>
      </c>
      <c r="R747" t="s">
        <v>74</v>
      </c>
      <c r="S747" t="s">
        <v>74</v>
      </c>
      <c r="T747" t="s">
        <v>14070</v>
      </c>
      <c r="U747" t="s">
        <v>14071</v>
      </c>
      <c r="V747" t="s">
        <v>14072</v>
      </c>
      <c r="W747" t="s">
        <v>14073</v>
      </c>
      <c r="X747" t="s">
        <v>14074</v>
      </c>
      <c r="Y747" t="s">
        <v>14075</v>
      </c>
      <c r="Z747" t="s">
        <v>14076</v>
      </c>
      <c r="AA747" t="s">
        <v>74</v>
      </c>
      <c r="AB747" t="s">
        <v>14077</v>
      </c>
      <c r="AC747" t="s">
        <v>14078</v>
      </c>
      <c r="AD747" t="s">
        <v>1726</v>
      </c>
      <c r="AE747" t="s">
        <v>14079</v>
      </c>
      <c r="AF747" t="s">
        <v>74</v>
      </c>
      <c r="AG747">
        <v>40</v>
      </c>
      <c r="AH747">
        <v>19</v>
      </c>
      <c r="AI747">
        <v>20</v>
      </c>
      <c r="AJ747">
        <v>1</v>
      </c>
      <c r="AK747">
        <v>27</v>
      </c>
      <c r="AL747" t="s">
        <v>2353</v>
      </c>
      <c r="AM747" t="s">
        <v>576</v>
      </c>
      <c r="AN747" t="s">
        <v>2354</v>
      </c>
      <c r="AO747" t="s">
        <v>6139</v>
      </c>
      <c r="AP747" t="s">
        <v>6140</v>
      </c>
      <c r="AQ747" t="s">
        <v>74</v>
      </c>
      <c r="AR747" t="s">
        <v>6141</v>
      </c>
      <c r="AS747" t="s">
        <v>6142</v>
      </c>
      <c r="AT747" t="s">
        <v>11484</v>
      </c>
      <c r="AU747">
        <v>2014</v>
      </c>
      <c r="AV747">
        <v>26</v>
      </c>
      <c r="AW747">
        <v>3</v>
      </c>
      <c r="AX747" t="s">
        <v>74</v>
      </c>
      <c r="AY747" t="s">
        <v>74</v>
      </c>
      <c r="AZ747" t="s">
        <v>74</v>
      </c>
      <c r="BA747" t="s">
        <v>74</v>
      </c>
      <c r="BB747">
        <v>309</v>
      </c>
      <c r="BC747">
        <v>326</v>
      </c>
      <c r="BD747" t="s">
        <v>74</v>
      </c>
      <c r="BE747" t="s">
        <v>14080</v>
      </c>
      <c r="BF747" t="str">
        <f>HYPERLINK("http://dx.doi.org/10.1017/S0954102013000679","http://dx.doi.org/10.1017/S0954102013000679")</f>
        <v>http://dx.doi.org/10.1017/S0954102013000679</v>
      </c>
      <c r="BG747" t="s">
        <v>74</v>
      </c>
      <c r="BH747" t="s">
        <v>74</v>
      </c>
      <c r="BI747">
        <v>18</v>
      </c>
      <c r="BJ747" t="s">
        <v>6144</v>
      </c>
      <c r="BK747" t="s">
        <v>102</v>
      </c>
      <c r="BL747" t="s">
        <v>6145</v>
      </c>
      <c r="BM747" t="s">
        <v>12829</v>
      </c>
      <c r="BN747" t="s">
        <v>74</v>
      </c>
      <c r="BO747" t="s">
        <v>74</v>
      </c>
      <c r="BP747" t="s">
        <v>74</v>
      </c>
      <c r="BQ747" t="s">
        <v>74</v>
      </c>
      <c r="BR747" t="s">
        <v>105</v>
      </c>
      <c r="BS747" t="s">
        <v>14081</v>
      </c>
      <c r="BT747" t="str">
        <f>HYPERLINK("https%3A%2F%2Fwww.webofscience.com%2Fwos%2Fwoscc%2Ffull-record%2FWOS:000334841900014","View Full Record in Web of Science")</f>
        <v>View Full Record in Web of Science</v>
      </c>
    </row>
    <row r="748" spans="1:72" x14ac:dyDescent="0.15">
      <c r="A748" t="s">
        <v>72</v>
      </c>
      <c r="B748" t="s">
        <v>14082</v>
      </c>
      <c r="C748" t="s">
        <v>74</v>
      </c>
      <c r="D748" t="s">
        <v>74</v>
      </c>
      <c r="E748" t="s">
        <v>74</v>
      </c>
      <c r="F748" t="s">
        <v>14083</v>
      </c>
      <c r="G748" t="s">
        <v>74</v>
      </c>
      <c r="H748" t="s">
        <v>74</v>
      </c>
      <c r="I748" t="s">
        <v>14084</v>
      </c>
      <c r="J748" t="s">
        <v>6129</v>
      </c>
      <c r="K748" t="s">
        <v>74</v>
      </c>
      <c r="L748" t="s">
        <v>74</v>
      </c>
      <c r="M748" t="s">
        <v>78</v>
      </c>
      <c r="N748" t="s">
        <v>79</v>
      </c>
      <c r="O748" t="s">
        <v>74</v>
      </c>
      <c r="P748" t="s">
        <v>74</v>
      </c>
      <c r="Q748" t="s">
        <v>74</v>
      </c>
      <c r="R748" t="s">
        <v>74</v>
      </c>
      <c r="S748" t="s">
        <v>74</v>
      </c>
      <c r="T748" t="s">
        <v>74</v>
      </c>
      <c r="U748" t="s">
        <v>14085</v>
      </c>
      <c r="V748" t="s">
        <v>74</v>
      </c>
      <c r="W748" t="s">
        <v>14086</v>
      </c>
      <c r="X748" t="s">
        <v>14087</v>
      </c>
      <c r="Y748" t="s">
        <v>14088</v>
      </c>
      <c r="Z748" t="s">
        <v>14089</v>
      </c>
      <c r="AA748" t="s">
        <v>74</v>
      </c>
      <c r="AB748" t="s">
        <v>14090</v>
      </c>
      <c r="AC748" t="s">
        <v>14091</v>
      </c>
      <c r="AD748" t="s">
        <v>14092</v>
      </c>
      <c r="AE748" t="s">
        <v>14093</v>
      </c>
      <c r="AF748" t="s">
        <v>74</v>
      </c>
      <c r="AG748">
        <v>11</v>
      </c>
      <c r="AH748">
        <v>5</v>
      </c>
      <c r="AI748">
        <v>5</v>
      </c>
      <c r="AJ748">
        <v>0</v>
      </c>
      <c r="AK748">
        <v>6</v>
      </c>
      <c r="AL748" t="s">
        <v>2353</v>
      </c>
      <c r="AM748" t="s">
        <v>576</v>
      </c>
      <c r="AN748" t="s">
        <v>2354</v>
      </c>
      <c r="AO748" t="s">
        <v>6139</v>
      </c>
      <c r="AP748" t="s">
        <v>6140</v>
      </c>
      <c r="AQ748" t="s">
        <v>74</v>
      </c>
      <c r="AR748" t="s">
        <v>6141</v>
      </c>
      <c r="AS748" t="s">
        <v>6142</v>
      </c>
      <c r="AT748" t="s">
        <v>11484</v>
      </c>
      <c r="AU748">
        <v>2014</v>
      </c>
      <c r="AV748">
        <v>26</v>
      </c>
      <c r="AW748">
        <v>3</v>
      </c>
      <c r="AX748" t="s">
        <v>74</v>
      </c>
      <c r="AY748" t="s">
        <v>74</v>
      </c>
      <c r="AZ748" t="s">
        <v>74</v>
      </c>
      <c r="BA748" t="s">
        <v>74</v>
      </c>
      <c r="BB748">
        <v>327</v>
      </c>
      <c r="BC748">
        <v>328</v>
      </c>
      <c r="BD748" t="s">
        <v>74</v>
      </c>
      <c r="BE748" t="s">
        <v>14094</v>
      </c>
      <c r="BF748" t="str">
        <f>HYPERLINK("http://dx.doi.org/10.1017/S0954102013000722","http://dx.doi.org/10.1017/S0954102013000722")</f>
        <v>http://dx.doi.org/10.1017/S0954102013000722</v>
      </c>
      <c r="BG748" t="s">
        <v>74</v>
      </c>
      <c r="BH748" t="s">
        <v>74</v>
      </c>
      <c r="BI748">
        <v>2</v>
      </c>
      <c r="BJ748" t="s">
        <v>6144</v>
      </c>
      <c r="BK748" t="s">
        <v>102</v>
      </c>
      <c r="BL748" t="s">
        <v>6145</v>
      </c>
      <c r="BM748" t="s">
        <v>12829</v>
      </c>
      <c r="BN748" t="s">
        <v>74</v>
      </c>
      <c r="BO748" t="s">
        <v>74</v>
      </c>
      <c r="BP748" t="s">
        <v>74</v>
      </c>
      <c r="BQ748" t="s">
        <v>74</v>
      </c>
      <c r="BR748" t="s">
        <v>105</v>
      </c>
      <c r="BS748" t="s">
        <v>14095</v>
      </c>
      <c r="BT748" t="str">
        <f>HYPERLINK("https%3A%2F%2Fwww.webofscience.com%2Fwos%2Fwoscc%2Ffull-record%2FWOS:000334841900015","View Full Record in Web of Science")</f>
        <v>View Full Record in Web of Science</v>
      </c>
    </row>
    <row r="749" spans="1:72" x14ac:dyDescent="0.15">
      <c r="A749" t="s">
        <v>72</v>
      </c>
      <c r="B749" t="s">
        <v>14096</v>
      </c>
      <c r="C749" t="s">
        <v>74</v>
      </c>
      <c r="D749" t="s">
        <v>74</v>
      </c>
      <c r="E749" t="s">
        <v>74</v>
      </c>
      <c r="F749" t="s">
        <v>14097</v>
      </c>
      <c r="G749" t="s">
        <v>74</v>
      </c>
      <c r="H749" t="s">
        <v>74</v>
      </c>
      <c r="I749" t="s">
        <v>14098</v>
      </c>
      <c r="J749" t="s">
        <v>14099</v>
      </c>
      <c r="K749" t="s">
        <v>74</v>
      </c>
      <c r="L749" t="s">
        <v>74</v>
      </c>
      <c r="M749" t="s">
        <v>78</v>
      </c>
      <c r="N749" t="s">
        <v>79</v>
      </c>
      <c r="O749" t="s">
        <v>74</v>
      </c>
      <c r="P749" t="s">
        <v>74</v>
      </c>
      <c r="Q749" t="s">
        <v>74</v>
      </c>
      <c r="R749" t="s">
        <v>74</v>
      </c>
      <c r="S749" t="s">
        <v>74</v>
      </c>
      <c r="T749" t="s">
        <v>14100</v>
      </c>
      <c r="U749" t="s">
        <v>14101</v>
      </c>
      <c r="V749" t="s">
        <v>14102</v>
      </c>
      <c r="W749" t="s">
        <v>14103</v>
      </c>
      <c r="X749" t="s">
        <v>14104</v>
      </c>
      <c r="Y749" t="s">
        <v>14105</v>
      </c>
      <c r="Z749" t="s">
        <v>14106</v>
      </c>
      <c r="AA749" t="s">
        <v>74</v>
      </c>
      <c r="AB749" t="s">
        <v>14107</v>
      </c>
      <c r="AC749" t="s">
        <v>14108</v>
      </c>
      <c r="AD749" t="s">
        <v>14108</v>
      </c>
      <c r="AE749" t="s">
        <v>14109</v>
      </c>
      <c r="AF749" t="s">
        <v>74</v>
      </c>
      <c r="AG749">
        <v>39</v>
      </c>
      <c r="AH749">
        <v>28</v>
      </c>
      <c r="AI749">
        <v>33</v>
      </c>
      <c r="AJ749">
        <v>0</v>
      </c>
      <c r="AK749">
        <v>12</v>
      </c>
      <c r="AL749" t="s">
        <v>224</v>
      </c>
      <c r="AM749" t="s">
        <v>225</v>
      </c>
      <c r="AN749" t="s">
        <v>226</v>
      </c>
      <c r="AO749" t="s">
        <v>14110</v>
      </c>
      <c r="AP749" t="s">
        <v>14111</v>
      </c>
      <c r="AQ749" t="s">
        <v>74</v>
      </c>
      <c r="AR749" t="s">
        <v>14112</v>
      </c>
      <c r="AS749" t="s">
        <v>14113</v>
      </c>
      <c r="AT749" t="s">
        <v>11484</v>
      </c>
      <c r="AU749">
        <v>2014</v>
      </c>
      <c r="AV749">
        <v>151</v>
      </c>
      <c r="AW749">
        <v>3</v>
      </c>
      <c r="AX749" t="s">
        <v>74</v>
      </c>
      <c r="AY749" t="s">
        <v>74</v>
      </c>
      <c r="AZ749" t="s">
        <v>74</v>
      </c>
      <c r="BA749" t="s">
        <v>74</v>
      </c>
      <c r="BB749">
        <v>597</v>
      </c>
      <c r="BC749">
        <v>608</v>
      </c>
      <c r="BD749" t="s">
        <v>74</v>
      </c>
      <c r="BE749" t="s">
        <v>14114</v>
      </c>
      <c r="BF749" t="str">
        <f>HYPERLINK("http://dx.doi.org/10.1007/s10546-014-9907-5","http://dx.doi.org/10.1007/s10546-014-9907-5")</f>
        <v>http://dx.doi.org/10.1007/s10546-014-9907-5</v>
      </c>
      <c r="BG749" t="s">
        <v>74</v>
      </c>
      <c r="BH749" t="s">
        <v>74</v>
      </c>
      <c r="BI749">
        <v>12</v>
      </c>
      <c r="BJ749" t="s">
        <v>177</v>
      </c>
      <c r="BK749" t="s">
        <v>102</v>
      </c>
      <c r="BL749" t="s">
        <v>177</v>
      </c>
      <c r="BM749" t="s">
        <v>14115</v>
      </c>
      <c r="BN749" t="s">
        <v>74</v>
      </c>
      <c r="BO749" t="s">
        <v>289</v>
      </c>
      <c r="BP749" t="s">
        <v>74</v>
      </c>
      <c r="BQ749" t="s">
        <v>74</v>
      </c>
      <c r="BR749" t="s">
        <v>105</v>
      </c>
      <c r="BS749" t="s">
        <v>14116</v>
      </c>
      <c r="BT749" t="str">
        <f>HYPERLINK("https%3A%2F%2Fwww.webofscience.com%2Fwos%2Fwoscc%2Ffull-record%2FWOS:000334442900010","View Full Record in Web of Science")</f>
        <v>View Full Record in Web of Science</v>
      </c>
    </row>
    <row r="750" spans="1:72" x14ac:dyDescent="0.15">
      <c r="A750" t="s">
        <v>72</v>
      </c>
      <c r="B750" t="s">
        <v>14117</v>
      </c>
      <c r="C750" t="s">
        <v>74</v>
      </c>
      <c r="D750" t="s">
        <v>74</v>
      </c>
      <c r="E750" t="s">
        <v>74</v>
      </c>
      <c r="F750" t="s">
        <v>14118</v>
      </c>
      <c r="G750" t="s">
        <v>74</v>
      </c>
      <c r="H750" t="s">
        <v>74</v>
      </c>
      <c r="I750" t="s">
        <v>14119</v>
      </c>
      <c r="J750" t="s">
        <v>1129</v>
      </c>
      <c r="K750" t="s">
        <v>74</v>
      </c>
      <c r="L750" t="s">
        <v>74</v>
      </c>
      <c r="M750" t="s">
        <v>78</v>
      </c>
      <c r="N750" t="s">
        <v>79</v>
      </c>
      <c r="O750" t="s">
        <v>74</v>
      </c>
      <c r="P750" t="s">
        <v>74</v>
      </c>
      <c r="Q750" t="s">
        <v>74</v>
      </c>
      <c r="R750" t="s">
        <v>74</v>
      </c>
      <c r="S750" t="s">
        <v>74</v>
      </c>
      <c r="T750" t="s">
        <v>74</v>
      </c>
      <c r="U750" t="s">
        <v>14120</v>
      </c>
      <c r="V750" t="s">
        <v>14121</v>
      </c>
      <c r="W750" t="s">
        <v>14122</v>
      </c>
      <c r="X750" t="s">
        <v>14123</v>
      </c>
      <c r="Y750" t="s">
        <v>14124</v>
      </c>
      <c r="Z750" t="s">
        <v>14125</v>
      </c>
      <c r="AA750" t="s">
        <v>14126</v>
      </c>
      <c r="AB750" t="s">
        <v>14127</v>
      </c>
      <c r="AC750" t="s">
        <v>14128</v>
      </c>
      <c r="AD750" t="s">
        <v>14129</v>
      </c>
      <c r="AE750" t="s">
        <v>14130</v>
      </c>
      <c r="AF750" t="s">
        <v>74</v>
      </c>
      <c r="AG750">
        <v>34</v>
      </c>
      <c r="AH750">
        <v>216</v>
      </c>
      <c r="AI750">
        <v>238</v>
      </c>
      <c r="AJ750">
        <v>6</v>
      </c>
      <c r="AK750">
        <v>87</v>
      </c>
      <c r="AL750" t="s">
        <v>653</v>
      </c>
      <c r="AM750" t="s">
        <v>654</v>
      </c>
      <c r="AN750" t="s">
        <v>655</v>
      </c>
      <c r="AO750" t="s">
        <v>1135</v>
      </c>
      <c r="AP750" t="s">
        <v>1136</v>
      </c>
      <c r="AQ750" t="s">
        <v>74</v>
      </c>
      <c r="AR750" t="s">
        <v>1129</v>
      </c>
      <c r="AS750" t="s">
        <v>1137</v>
      </c>
      <c r="AT750" t="s">
        <v>14131</v>
      </c>
      <c r="AU750">
        <v>2014</v>
      </c>
      <c r="AV750">
        <v>509</v>
      </c>
      <c r="AW750">
        <v>7502</v>
      </c>
      <c r="AX750" t="s">
        <v>74</v>
      </c>
      <c r="AY750" t="s">
        <v>74</v>
      </c>
      <c r="AZ750" t="s">
        <v>74</v>
      </c>
      <c r="BA750" t="s">
        <v>74</v>
      </c>
      <c r="BB750">
        <v>604</v>
      </c>
      <c r="BC750" t="s">
        <v>4545</v>
      </c>
      <c r="BD750" t="s">
        <v>74</v>
      </c>
      <c r="BE750" t="s">
        <v>14132</v>
      </c>
      <c r="BF750" t="str">
        <f>HYPERLINK("http://dx.doi.org/10.1038/nature13262","http://dx.doi.org/10.1038/nature13262")</f>
        <v>http://dx.doi.org/10.1038/nature13262</v>
      </c>
      <c r="BG750" t="s">
        <v>74</v>
      </c>
      <c r="BH750" t="s">
        <v>74</v>
      </c>
      <c r="BI750">
        <v>13</v>
      </c>
      <c r="BJ750" t="s">
        <v>660</v>
      </c>
      <c r="BK750" t="s">
        <v>102</v>
      </c>
      <c r="BL750" t="s">
        <v>661</v>
      </c>
      <c r="BM750" t="s">
        <v>14133</v>
      </c>
      <c r="BN750">
        <v>24870546</v>
      </c>
      <c r="BO750" t="s">
        <v>74</v>
      </c>
      <c r="BP750" t="s">
        <v>74</v>
      </c>
      <c r="BQ750" t="s">
        <v>74</v>
      </c>
      <c r="BR750" t="s">
        <v>105</v>
      </c>
      <c r="BS750" t="s">
        <v>14134</v>
      </c>
      <c r="BT750" t="str">
        <f>HYPERLINK("https%3A%2F%2Fwww.webofscience.com%2Fwos%2Fwoscc%2Ffull-record%2FWOS:000336457100046","View Full Record in Web of Science")</f>
        <v>View Full Record in Web of Science</v>
      </c>
    </row>
    <row r="751" spans="1:72" x14ac:dyDescent="0.15">
      <c r="A751" t="s">
        <v>72</v>
      </c>
      <c r="B751" t="s">
        <v>14135</v>
      </c>
      <c r="C751" t="s">
        <v>74</v>
      </c>
      <c r="D751" t="s">
        <v>74</v>
      </c>
      <c r="E751" t="s">
        <v>74</v>
      </c>
      <c r="F751" t="s">
        <v>14136</v>
      </c>
      <c r="G751" t="s">
        <v>74</v>
      </c>
      <c r="H751" t="s">
        <v>74</v>
      </c>
      <c r="I751" t="s">
        <v>14137</v>
      </c>
      <c r="J751" t="s">
        <v>1018</v>
      </c>
      <c r="K751" t="s">
        <v>74</v>
      </c>
      <c r="L751" t="s">
        <v>74</v>
      </c>
      <c r="M751" t="s">
        <v>78</v>
      </c>
      <c r="N751" t="s">
        <v>79</v>
      </c>
      <c r="O751" t="s">
        <v>74</v>
      </c>
      <c r="P751" t="s">
        <v>74</v>
      </c>
      <c r="Q751" t="s">
        <v>74</v>
      </c>
      <c r="R751" t="s">
        <v>74</v>
      </c>
      <c r="S751" t="s">
        <v>74</v>
      </c>
      <c r="T751" t="s">
        <v>14138</v>
      </c>
      <c r="U751" t="s">
        <v>14139</v>
      </c>
      <c r="V751" t="s">
        <v>14140</v>
      </c>
      <c r="W751" t="s">
        <v>14141</v>
      </c>
      <c r="X751" t="s">
        <v>14142</v>
      </c>
      <c r="Y751" t="s">
        <v>14143</v>
      </c>
      <c r="Z751" t="s">
        <v>14144</v>
      </c>
      <c r="AA751" t="s">
        <v>14145</v>
      </c>
      <c r="AB751" t="s">
        <v>14146</v>
      </c>
      <c r="AC751" t="s">
        <v>14147</v>
      </c>
      <c r="AD751" t="s">
        <v>14148</v>
      </c>
      <c r="AE751" t="s">
        <v>14149</v>
      </c>
      <c r="AF751" t="s">
        <v>74</v>
      </c>
      <c r="AG751">
        <v>28</v>
      </c>
      <c r="AH751">
        <v>32</v>
      </c>
      <c r="AI751">
        <v>34</v>
      </c>
      <c r="AJ751">
        <v>0</v>
      </c>
      <c r="AK751">
        <v>36</v>
      </c>
      <c r="AL751" t="s">
        <v>331</v>
      </c>
      <c r="AM751" t="s">
        <v>332</v>
      </c>
      <c r="AN751" t="s">
        <v>333</v>
      </c>
      <c r="AO751" t="s">
        <v>1030</v>
      </c>
      <c r="AP751" t="s">
        <v>1031</v>
      </c>
      <c r="AQ751" t="s">
        <v>74</v>
      </c>
      <c r="AR751" t="s">
        <v>1032</v>
      </c>
      <c r="AS751" t="s">
        <v>1033</v>
      </c>
      <c r="AT751" t="s">
        <v>14150</v>
      </c>
      <c r="AU751">
        <v>2014</v>
      </c>
      <c r="AV751">
        <v>41</v>
      </c>
      <c r="AW751">
        <v>10</v>
      </c>
      <c r="AX751" t="s">
        <v>74</v>
      </c>
      <c r="AY751" t="s">
        <v>74</v>
      </c>
      <c r="AZ751" t="s">
        <v>74</v>
      </c>
      <c r="BA751" t="s">
        <v>74</v>
      </c>
      <c r="BB751">
        <v>3510</v>
      </c>
      <c r="BC751">
        <v>3516</v>
      </c>
      <c r="BD751" t="s">
        <v>74</v>
      </c>
      <c r="BE751" t="s">
        <v>14151</v>
      </c>
      <c r="BF751" t="str">
        <f>HYPERLINK("http://dx.doi.org/10.1002/2014GL059821","http://dx.doi.org/10.1002/2014GL059821")</f>
        <v>http://dx.doi.org/10.1002/2014GL059821</v>
      </c>
      <c r="BG751" t="s">
        <v>74</v>
      </c>
      <c r="BH751" t="s">
        <v>74</v>
      </c>
      <c r="BI751">
        <v>7</v>
      </c>
      <c r="BJ751" t="s">
        <v>685</v>
      </c>
      <c r="BK751" t="s">
        <v>102</v>
      </c>
      <c r="BL751" t="s">
        <v>686</v>
      </c>
      <c r="BM751" t="s">
        <v>14152</v>
      </c>
      <c r="BN751" t="s">
        <v>74</v>
      </c>
      <c r="BO751" t="s">
        <v>179</v>
      </c>
      <c r="BP751" t="s">
        <v>74</v>
      </c>
      <c r="BQ751" t="s">
        <v>74</v>
      </c>
      <c r="BR751" t="s">
        <v>105</v>
      </c>
      <c r="BS751" t="s">
        <v>14153</v>
      </c>
      <c r="BT751" t="str">
        <f>HYPERLINK("https%3A%2F%2Fwww.webofscience.com%2Fwos%2Fwoscc%2Ffull-record%2FWOS:000337610200025","View Full Record in Web of Science")</f>
        <v>View Full Record in Web of Science</v>
      </c>
    </row>
    <row r="752" spans="1:72" x14ac:dyDescent="0.15">
      <c r="A752" t="s">
        <v>72</v>
      </c>
      <c r="B752" t="s">
        <v>14154</v>
      </c>
      <c r="C752" t="s">
        <v>74</v>
      </c>
      <c r="D752" t="s">
        <v>74</v>
      </c>
      <c r="E752" t="s">
        <v>74</v>
      </c>
      <c r="F752" t="s">
        <v>14155</v>
      </c>
      <c r="G752" t="s">
        <v>74</v>
      </c>
      <c r="H752" t="s">
        <v>74</v>
      </c>
      <c r="I752" t="s">
        <v>14156</v>
      </c>
      <c r="J752" t="s">
        <v>1018</v>
      </c>
      <c r="K752" t="s">
        <v>74</v>
      </c>
      <c r="L752" t="s">
        <v>74</v>
      </c>
      <c r="M752" t="s">
        <v>78</v>
      </c>
      <c r="N752" t="s">
        <v>79</v>
      </c>
      <c r="O752" t="s">
        <v>74</v>
      </c>
      <c r="P752" t="s">
        <v>74</v>
      </c>
      <c r="Q752" t="s">
        <v>74</v>
      </c>
      <c r="R752" t="s">
        <v>74</v>
      </c>
      <c r="S752" t="s">
        <v>74</v>
      </c>
      <c r="T752" t="s">
        <v>14157</v>
      </c>
      <c r="U752" t="s">
        <v>14158</v>
      </c>
      <c r="V752" t="s">
        <v>14159</v>
      </c>
      <c r="W752" t="s">
        <v>14160</v>
      </c>
      <c r="X752" t="s">
        <v>14161</v>
      </c>
      <c r="Y752" t="s">
        <v>14162</v>
      </c>
      <c r="Z752" t="s">
        <v>14163</v>
      </c>
      <c r="AA752" t="s">
        <v>14164</v>
      </c>
      <c r="AB752" t="s">
        <v>14165</v>
      </c>
      <c r="AC752" t="s">
        <v>14166</v>
      </c>
      <c r="AD752" t="s">
        <v>14167</v>
      </c>
      <c r="AE752" t="s">
        <v>14168</v>
      </c>
      <c r="AF752" t="s">
        <v>74</v>
      </c>
      <c r="AG752">
        <v>23</v>
      </c>
      <c r="AH752">
        <v>39</v>
      </c>
      <c r="AI752">
        <v>49</v>
      </c>
      <c r="AJ752">
        <v>0</v>
      </c>
      <c r="AK752">
        <v>32</v>
      </c>
      <c r="AL752" t="s">
        <v>331</v>
      </c>
      <c r="AM752" t="s">
        <v>332</v>
      </c>
      <c r="AN752" t="s">
        <v>333</v>
      </c>
      <c r="AO752" t="s">
        <v>1030</v>
      </c>
      <c r="AP752" t="s">
        <v>1031</v>
      </c>
      <c r="AQ752" t="s">
        <v>74</v>
      </c>
      <c r="AR752" t="s">
        <v>1032</v>
      </c>
      <c r="AS752" t="s">
        <v>1033</v>
      </c>
      <c r="AT752" t="s">
        <v>14150</v>
      </c>
      <c r="AU752">
        <v>2014</v>
      </c>
      <c r="AV752">
        <v>41</v>
      </c>
      <c r="AW752">
        <v>10</v>
      </c>
      <c r="AX752" t="s">
        <v>74</v>
      </c>
      <c r="AY752" t="s">
        <v>74</v>
      </c>
      <c r="AZ752" t="s">
        <v>74</v>
      </c>
      <c r="BA752" t="s">
        <v>74</v>
      </c>
      <c r="BB752">
        <v>3528</v>
      </c>
      <c r="BC752">
        <v>3534</v>
      </c>
      <c r="BD752" t="s">
        <v>74</v>
      </c>
      <c r="BE752" t="s">
        <v>14169</v>
      </c>
      <c r="BF752" t="str">
        <f>HYPERLINK("http://dx.doi.org/10.1002/2014GL059971","http://dx.doi.org/10.1002/2014GL059971")</f>
        <v>http://dx.doi.org/10.1002/2014GL059971</v>
      </c>
      <c r="BG752" t="s">
        <v>74</v>
      </c>
      <c r="BH752" t="s">
        <v>74</v>
      </c>
      <c r="BI752">
        <v>7</v>
      </c>
      <c r="BJ752" t="s">
        <v>685</v>
      </c>
      <c r="BK752" t="s">
        <v>102</v>
      </c>
      <c r="BL752" t="s">
        <v>686</v>
      </c>
      <c r="BM752" t="s">
        <v>14152</v>
      </c>
      <c r="BN752" t="s">
        <v>74</v>
      </c>
      <c r="BO752" t="s">
        <v>1274</v>
      </c>
      <c r="BP752" t="s">
        <v>74</v>
      </c>
      <c r="BQ752" t="s">
        <v>74</v>
      </c>
      <c r="BR752" t="s">
        <v>105</v>
      </c>
      <c r="BS752" t="s">
        <v>14170</v>
      </c>
      <c r="BT752" t="str">
        <f>HYPERLINK("https%3A%2F%2Fwww.webofscience.com%2Fwos%2Fwoscc%2Ffull-record%2FWOS:000337610200028","View Full Record in Web of Science")</f>
        <v>View Full Record in Web of Science</v>
      </c>
    </row>
    <row r="753" spans="1:72" x14ac:dyDescent="0.15">
      <c r="A753" t="s">
        <v>72</v>
      </c>
      <c r="B753" t="s">
        <v>14171</v>
      </c>
      <c r="C753" t="s">
        <v>74</v>
      </c>
      <c r="D753" t="s">
        <v>74</v>
      </c>
      <c r="E753" t="s">
        <v>74</v>
      </c>
      <c r="F753" t="s">
        <v>14172</v>
      </c>
      <c r="G753" t="s">
        <v>74</v>
      </c>
      <c r="H753" t="s">
        <v>74</v>
      </c>
      <c r="I753" t="s">
        <v>14173</v>
      </c>
      <c r="J753" t="s">
        <v>1018</v>
      </c>
      <c r="K753" t="s">
        <v>74</v>
      </c>
      <c r="L753" t="s">
        <v>74</v>
      </c>
      <c r="M753" t="s">
        <v>78</v>
      </c>
      <c r="N753" t="s">
        <v>79</v>
      </c>
      <c r="O753" t="s">
        <v>74</v>
      </c>
      <c r="P753" t="s">
        <v>74</v>
      </c>
      <c r="Q753" t="s">
        <v>74</v>
      </c>
      <c r="R753" t="s">
        <v>74</v>
      </c>
      <c r="S753" t="s">
        <v>74</v>
      </c>
      <c r="T753" t="s">
        <v>14174</v>
      </c>
      <c r="U753" t="s">
        <v>14175</v>
      </c>
      <c r="V753" t="s">
        <v>14176</v>
      </c>
      <c r="W753" t="s">
        <v>14177</v>
      </c>
      <c r="X753" t="s">
        <v>14178</v>
      </c>
      <c r="Y753" t="s">
        <v>14179</v>
      </c>
      <c r="Z753" t="s">
        <v>14180</v>
      </c>
      <c r="AA753" t="s">
        <v>14181</v>
      </c>
      <c r="AB753" t="s">
        <v>14182</v>
      </c>
      <c r="AC753" t="s">
        <v>14183</v>
      </c>
      <c r="AD753" t="s">
        <v>14184</v>
      </c>
      <c r="AE753" t="s">
        <v>14185</v>
      </c>
      <c r="AF753" t="s">
        <v>74</v>
      </c>
      <c r="AG753">
        <v>39</v>
      </c>
      <c r="AH753">
        <v>49</v>
      </c>
      <c r="AI753">
        <v>51</v>
      </c>
      <c r="AJ753">
        <v>0</v>
      </c>
      <c r="AK753">
        <v>19</v>
      </c>
      <c r="AL753" t="s">
        <v>331</v>
      </c>
      <c r="AM753" t="s">
        <v>332</v>
      </c>
      <c r="AN753" t="s">
        <v>333</v>
      </c>
      <c r="AO753" t="s">
        <v>1030</v>
      </c>
      <c r="AP753" t="s">
        <v>1031</v>
      </c>
      <c r="AQ753" t="s">
        <v>74</v>
      </c>
      <c r="AR753" t="s">
        <v>1032</v>
      </c>
      <c r="AS753" t="s">
        <v>1033</v>
      </c>
      <c r="AT753" t="s">
        <v>14150</v>
      </c>
      <c r="AU753">
        <v>2014</v>
      </c>
      <c r="AV753">
        <v>41</v>
      </c>
      <c r="AW753">
        <v>10</v>
      </c>
      <c r="AX753" t="s">
        <v>74</v>
      </c>
      <c r="AY753" t="s">
        <v>74</v>
      </c>
      <c r="AZ753" t="s">
        <v>74</v>
      </c>
      <c r="BA753" t="s">
        <v>74</v>
      </c>
      <c r="BB753">
        <v>3517</v>
      </c>
      <c r="BC753">
        <v>3521</v>
      </c>
      <c r="BD753" t="s">
        <v>74</v>
      </c>
      <c r="BE753" t="s">
        <v>14186</v>
      </c>
      <c r="BF753" t="str">
        <f>HYPERLINK("http://dx.doi.org/10.1002/2014GL060001","http://dx.doi.org/10.1002/2014GL060001")</f>
        <v>http://dx.doi.org/10.1002/2014GL060001</v>
      </c>
      <c r="BG753" t="s">
        <v>74</v>
      </c>
      <c r="BH753" t="s">
        <v>74</v>
      </c>
      <c r="BI753">
        <v>5</v>
      </c>
      <c r="BJ753" t="s">
        <v>685</v>
      </c>
      <c r="BK753" t="s">
        <v>102</v>
      </c>
      <c r="BL753" t="s">
        <v>686</v>
      </c>
      <c r="BM753" t="s">
        <v>14152</v>
      </c>
      <c r="BN753" t="s">
        <v>74</v>
      </c>
      <c r="BO753" t="s">
        <v>179</v>
      </c>
      <c r="BP753" t="s">
        <v>74</v>
      </c>
      <c r="BQ753" t="s">
        <v>74</v>
      </c>
      <c r="BR753" t="s">
        <v>105</v>
      </c>
      <c r="BS753" t="s">
        <v>14187</v>
      </c>
      <c r="BT753" t="str">
        <f>HYPERLINK("https%3A%2F%2Fwww.webofscience.com%2Fwos%2Fwoscc%2Ffull-record%2FWOS:000337610200026","View Full Record in Web of Science")</f>
        <v>View Full Record in Web of Science</v>
      </c>
    </row>
    <row r="754" spans="1:72" x14ac:dyDescent="0.15">
      <c r="A754" t="s">
        <v>72</v>
      </c>
      <c r="B754" t="s">
        <v>14188</v>
      </c>
      <c r="C754" t="s">
        <v>74</v>
      </c>
      <c r="D754" t="s">
        <v>74</v>
      </c>
      <c r="E754" t="s">
        <v>74</v>
      </c>
      <c r="F754" t="s">
        <v>14189</v>
      </c>
      <c r="G754" t="s">
        <v>74</v>
      </c>
      <c r="H754" t="s">
        <v>74</v>
      </c>
      <c r="I754" t="s">
        <v>14190</v>
      </c>
      <c r="J754" t="s">
        <v>1236</v>
      </c>
      <c r="K754" t="s">
        <v>74</v>
      </c>
      <c r="L754" t="s">
        <v>74</v>
      </c>
      <c r="M754" t="s">
        <v>78</v>
      </c>
      <c r="N754" t="s">
        <v>79</v>
      </c>
      <c r="O754" t="s">
        <v>74</v>
      </c>
      <c r="P754" t="s">
        <v>74</v>
      </c>
      <c r="Q754" t="s">
        <v>74</v>
      </c>
      <c r="R754" t="s">
        <v>74</v>
      </c>
      <c r="S754" t="s">
        <v>74</v>
      </c>
      <c r="T754" t="s">
        <v>14191</v>
      </c>
      <c r="U754" t="s">
        <v>14192</v>
      </c>
      <c r="V754" t="s">
        <v>14193</v>
      </c>
      <c r="W754" t="s">
        <v>14194</v>
      </c>
      <c r="X754" t="s">
        <v>14195</v>
      </c>
      <c r="Y754" t="s">
        <v>14196</v>
      </c>
      <c r="Z754" t="s">
        <v>14197</v>
      </c>
      <c r="AA754" t="s">
        <v>14198</v>
      </c>
      <c r="AB754" t="s">
        <v>74</v>
      </c>
      <c r="AC754" t="s">
        <v>14199</v>
      </c>
      <c r="AD754" t="s">
        <v>14200</v>
      </c>
      <c r="AE754" t="s">
        <v>14201</v>
      </c>
      <c r="AF754" t="s">
        <v>74</v>
      </c>
      <c r="AG754">
        <v>14</v>
      </c>
      <c r="AH754">
        <v>1</v>
      </c>
      <c r="AI754">
        <v>2</v>
      </c>
      <c r="AJ754">
        <v>0</v>
      </c>
      <c r="AK754">
        <v>2</v>
      </c>
      <c r="AL754" t="s">
        <v>1246</v>
      </c>
      <c r="AM754" t="s">
        <v>1247</v>
      </c>
      <c r="AN754" t="s">
        <v>1248</v>
      </c>
      <c r="AO754" t="s">
        <v>1249</v>
      </c>
      <c r="AP754" t="s">
        <v>1250</v>
      </c>
      <c r="AQ754" t="s">
        <v>74</v>
      </c>
      <c r="AR754" t="s">
        <v>1236</v>
      </c>
      <c r="AS754" t="s">
        <v>1251</v>
      </c>
      <c r="AT754" t="s">
        <v>14202</v>
      </c>
      <c r="AU754">
        <v>2014</v>
      </c>
      <c r="AV754">
        <v>3802</v>
      </c>
      <c r="AW754">
        <v>2</v>
      </c>
      <c r="AX754" t="s">
        <v>74</v>
      </c>
      <c r="AY754" t="s">
        <v>74</v>
      </c>
      <c r="AZ754" t="s">
        <v>74</v>
      </c>
      <c r="BA754" t="s">
        <v>74</v>
      </c>
      <c r="BB754">
        <v>217</v>
      </c>
      <c r="BC754">
        <v>239</v>
      </c>
      <c r="BD754" t="s">
        <v>74</v>
      </c>
      <c r="BE754" t="s">
        <v>14203</v>
      </c>
      <c r="BF754" t="str">
        <f>HYPERLINK("http://dx.doi.org/10.11646/zootaxa.3802.2.5","http://dx.doi.org/10.11646/zootaxa.3802.2.5")</f>
        <v>http://dx.doi.org/10.11646/zootaxa.3802.2.5</v>
      </c>
      <c r="BG754" t="s">
        <v>74</v>
      </c>
      <c r="BH754" t="s">
        <v>74</v>
      </c>
      <c r="BI754">
        <v>23</v>
      </c>
      <c r="BJ754" t="s">
        <v>1254</v>
      </c>
      <c r="BK754" t="s">
        <v>102</v>
      </c>
      <c r="BL754" t="s">
        <v>1254</v>
      </c>
      <c r="BM754" t="s">
        <v>14204</v>
      </c>
      <c r="BN754">
        <v>24871004</v>
      </c>
      <c r="BO754" t="s">
        <v>74</v>
      </c>
      <c r="BP754" t="s">
        <v>74</v>
      </c>
      <c r="BQ754" t="s">
        <v>74</v>
      </c>
      <c r="BR754" t="s">
        <v>105</v>
      </c>
      <c r="BS754" t="s">
        <v>14205</v>
      </c>
      <c r="BT754" t="str">
        <f>HYPERLINK("https%3A%2F%2Fwww.webofscience.com%2Fwos%2Fwoscc%2Ffull-record%2FWOS:000336897000005","View Full Record in Web of Science")</f>
        <v>View Full Record in Web of Science</v>
      </c>
    </row>
    <row r="755" spans="1:72" x14ac:dyDescent="0.15">
      <c r="A755" t="s">
        <v>72</v>
      </c>
      <c r="B755" t="s">
        <v>14206</v>
      </c>
      <c r="C755" t="s">
        <v>74</v>
      </c>
      <c r="D755" t="s">
        <v>74</v>
      </c>
      <c r="E755" t="s">
        <v>74</v>
      </c>
      <c r="F755" t="s">
        <v>14207</v>
      </c>
      <c r="G755" t="s">
        <v>74</v>
      </c>
      <c r="H755" t="s">
        <v>74</v>
      </c>
      <c r="I755" t="s">
        <v>14208</v>
      </c>
      <c r="J755" t="s">
        <v>14209</v>
      </c>
      <c r="K755" t="s">
        <v>74</v>
      </c>
      <c r="L755" t="s">
        <v>74</v>
      </c>
      <c r="M755" t="s">
        <v>78</v>
      </c>
      <c r="N755" t="s">
        <v>79</v>
      </c>
      <c r="O755" t="s">
        <v>74</v>
      </c>
      <c r="P755" t="s">
        <v>74</v>
      </c>
      <c r="Q755" t="s">
        <v>74</v>
      </c>
      <c r="R755" t="s">
        <v>74</v>
      </c>
      <c r="S755" t="s">
        <v>74</v>
      </c>
      <c r="T755" t="s">
        <v>14210</v>
      </c>
      <c r="U755" t="s">
        <v>14211</v>
      </c>
      <c r="V755" t="s">
        <v>14212</v>
      </c>
      <c r="W755" t="s">
        <v>14213</v>
      </c>
      <c r="X755" t="s">
        <v>14214</v>
      </c>
      <c r="Y755" t="s">
        <v>14215</v>
      </c>
      <c r="Z755" t="s">
        <v>14216</v>
      </c>
      <c r="AA755" t="s">
        <v>14217</v>
      </c>
      <c r="AB755" t="s">
        <v>14218</v>
      </c>
      <c r="AC755" t="s">
        <v>14219</v>
      </c>
      <c r="AD755" t="s">
        <v>14220</v>
      </c>
      <c r="AE755" t="s">
        <v>14221</v>
      </c>
      <c r="AF755" t="s">
        <v>74</v>
      </c>
      <c r="AG755">
        <v>31</v>
      </c>
      <c r="AH755">
        <v>30</v>
      </c>
      <c r="AI755">
        <v>31</v>
      </c>
      <c r="AJ755">
        <v>0</v>
      </c>
      <c r="AK755">
        <v>11</v>
      </c>
      <c r="AL755" t="s">
        <v>1246</v>
      </c>
      <c r="AM755" t="s">
        <v>1247</v>
      </c>
      <c r="AN755" t="s">
        <v>14222</v>
      </c>
      <c r="AO755" t="s">
        <v>14223</v>
      </c>
      <c r="AP755" t="s">
        <v>14224</v>
      </c>
      <c r="AQ755" t="s">
        <v>74</v>
      </c>
      <c r="AR755" t="s">
        <v>14209</v>
      </c>
      <c r="AS755" t="s">
        <v>14225</v>
      </c>
      <c r="AT755" t="s">
        <v>14202</v>
      </c>
      <c r="AU755">
        <v>2014</v>
      </c>
      <c r="AV755">
        <v>170</v>
      </c>
      <c r="AW755">
        <v>3</v>
      </c>
      <c r="AX755" t="s">
        <v>74</v>
      </c>
      <c r="AY755" t="s">
        <v>74</v>
      </c>
      <c r="AZ755" t="s">
        <v>74</v>
      </c>
      <c r="BA755" t="s">
        <v>74</v>
      </c>
      <c r="BB755">
        <v>155</v>
      </c>
      <c r="BC755">
        <v>168</v>
      </c>
      <c r="BD755" t="s">
        <v>74</v>
      </c>
      <c r="BE755" t="s">
        <v>14226</v>
      </c>
      <c r="BF755" t="str">
        <f>HYPERLINK("http://dx.doi.org/10.11646/phytotaxa.170.3.2","http://dx.doi.org/10.11646/phytotaxa.170.3.2")</f>
        <v>http://dx.doi.org/10.11646/phytotaxa.170.3.2</v>
      </c>
      <c r="BG755" t="s">
        <v>74</v>
      </c>
      <c r="BH755" t="s">
        <v>74</v>
      </c>
      <c r="BI755">
        <v>14</v>
      </c>
      <c r="BJ755" t="s">
        <v>8464</v>
      </c>
      <c r="BK755" t="s">
        <v>102</v>
      </c>
      <c r="BL755" t="s">
        <v>8464</v>
      </c>
      <c r="BM755" t="s">
        <v>14227</v>
      </c>
      <c r="BN755" t="s">
        <v>74</v>
      </c>
      <c r="BO755" t="s">
        <v>74</v>
      </c>
      <c r="BP755" t="s">
        <v>74</v>
      </c>
      <c r="BQ755" t="s">
        <v>74</v>
      </c>
      <c r="BR755" t="s">
        <v>105</v>
      </c>
      <c r="BS755" t="s">
        <v>14228</v>
      </c>
      <c r="BT755" t="str">
        <f>HYPERLINK("https%3A%2F%2Fwww.webofscience.com%2Fwos%2Fwoscc%2Ffull-record%2FWOS:000336845100002","View Full Record in Web of Science")</f>
        <v>View Full Record in Web of Science</v>
      </c>
    </row>
    <row r="756" spans="1:72" x14ac:dyDescent="0.15">
      <c r="A756" t="s">
        <v>72</v>
      </c>
      <c r="B756" t="s">
        <v>11227</v>
      </c>
      <c r="C756" t="s">
        <v>74</v>
      </c>
      <c r="D756" t="s">
        <v>74</v>
      </c>
      <c r="E756" t="s">
        <v>74</v>
      </c>
      <c r="F756" t="s">
        <v>11228</v>
      </c>
      <c r="G756" t="s">
        <v>74</v>
      </c>
      <c r="H756" t="s">
        <v>74</v>
      </c>
      <c r="I756" t="s">
        <v>14229</v>
      </c>
      <c r="J756" t="s">
        <v>11230</v>
      </c>
      <c r="K756" t="s">
        <v>74</v>
      </c>
      <c r="L756" t="s">
        <v>74</v>
      </c>
      <c r="M756" t="s">
        <v>78</v>
      </c>
      <c r="N756" t="s">
        <v>79</v>
      </c>
      <c r="O756" t="s">
        <v>74</v>
      </c>
      <c r="P756" t="s">
        <v>74</v>
      </c>
      <c r="Q756" t="s">
        <v>74</v>
      </c>
      <c r="R756" t="s">
        <v>74</v>
      </c>
      <c r="S756" t="s">
        <v>74</v>
      </c>
      <c r="T756" t="s">
        <v>14230</v>
      </c>
      <c r="U756" t="s">
        <v>14231</v>
      </c>
      <c r="V756" t="s">
        <v>14232</v>
      </c>
      <c r="W756" t="s">
        <v>14233</v>
      </c>
      <c r="X756" t="s">
        <v>11232</v>
      </c>
      <c r="Y756" t="s">
        <v>14234</v>
      </c>
      <c r="Z756" t="s">
        <v>14235</v>
      </c>
      <c r="AA756" t="s">
        <v>11234</v>
      </c>
      <c r="AB756" t="s">
        <v>11235</v>
      </c>
      <c r="AC756" t="s">
        <v>14236</v>
      </c>
      <c r="AD756" t="s">
        <v>14236</v>
      </c>
      <c r="AE756" t="s">
        <v>14237</v>
      </c>
      <c r="AF756" t="s">
        <v>74</v>
      </c>
      <c r="AG756">
        <v>31</v>
      </c>
      <c r="AH756">
        <v>14</v>
      </c>
      <c r="AI756">
        <v>16</v>
      </c>
      <c r="AJ756">
        <v>0</v>
      </c>
      <c r="AK756">
        <v>27</v>
      </c>
      <c r="AL756" t="s">
        <v>11236</v>
      </c>
      <c r="AM756" t="s">
        <v>11237</v>
      </c>
      <c r="AN756" t="s">
        <v>11238</v>
      </c>
      <c r="AO756" t="s">
        <v>11239</v>
      </c>
      <c r="AP756" t="s">
        <v>74</v>
      </c>
      <c r="AQ756" t="s">
        <v>74</v>
      </c>
      <c r="AR756" t="s">
        <v>11240</v>
      </c>
      <c r="AS756" t="s">
        <v>11241</v>
      </c>
      <c r="AT756" t="s">
        <v>14238</v>
      </c>
      <c r="AU756">
        <v>2014</v>
      </c>
      <c r="AV756">
        <v>8</v>
      </c>
      <c r="AW756" t="s">
        <v>74</v>
      </c>
      <c r="AX756" t="s">
        <v>74</v>
      </c>
      <c r="AY756" t="s">
        <v>74</v>
      </c>
      <c r="AZ756" t="s">
        <v>74</v>
      </c>
      <c r="BA756" t="s">
        <v>74</v>
      </c>
      <c r="BB756" t="s">
        <v>74</v>
      </c>
      <c r="BC756" t="s">
        <v>74</v>
      </c>
      <c r="BD756">
        <v>83624</v>
      </c>
      <c r="BE756" t="s">
        <v>14239</v>
      </c>
      <c r="BF756" t="str">
        <f>HYPERLINK("http://dx.doi.org/10.1117/1.JRS.8.083624","http://dx.doi.org/10.1117/1.JRS.8.083624")</f>
        <v>http://dx.doi.org/10.1117/1.JRS.8.083624</v>
      </c>
      <c r="BG756" t="s">
        <v>74</v>
      </c>
      <c r="BH756" t="s">
        <v>74</v>
      </c>
      <c r="BI756">
        <v>16</v>
      </c>
      <c r="BJ756" t="s">
        <v>11244</v>
      </c>
      <c r="BK756" t="s">
        <v>102</v>
      </c>
      <c r="BL756" t="s">
        <v>11245</v>
      </c>
      <c r="BM756" t="s">
        <v>14240</v>
      </c>
      <c r="BN756" t="s">
        <v>74</v>
      </c>
      <c r="BO756" t="s">
        <v>2979</v>
      </c>
      <c r="BP756" t="s">
        <v>74</v>
      </c>
      <c r="BQ756" t="s">
        <v>74</v>
      </c>
      <c r="BR756" t="s">
        <v>105</v>
      </c>
      <c r="BS756" t="s">
        <v>14241</v>
      </c>
      <c r="BT756" t="str">
        <f>HYPERLINK("https%3A%2F%2Fwww.webofscience.com%2Fwos%2Fwoscc%2Ffull-record%2FWOS:000338492900002","View Full Record in Web of Science")</f>
        <v>View Full Record in Web of Science</v>
      </c>
    </row>
    <row r="757" spans="1:72" x14ac:dyDescent="0.15">
      <c r="A757" t="s">
        <v>72</v>
      </c>
      <c r="B757" t="s">
        <v>14242</v>
      </c>
      <c r="C757" t="s">
        <v>74</v>
      </c>
      <c r="D757" t="s">
        <v>74</v>
      </c>
      <c r="E757" t="s">
        <v>74</v>
      </c>
      <c r="F757" t="s">
        <v>14243</v>
      </c>
      <c r="G757" t="s">
        <v>74</v>
      </c>
      <c r="H757" t="s">
        <v>74</v>
      </c>
      <c r="I757" t="s">
        <v>14244</v>
      </c>
      <c r="J757" t="s">
        <v>14245</v>
      </c>
      <c r="K757" t="s">
        <v>74</v>
      </c>
      <c r="L757" t="s">
        <v>74</v>
      </c>
      <c r="M757" t="s">
        <v>78</v>
      </c>
      <c r="N757" t="s">
        <v>79</v>
      </c>
      <c r="O757" t="s">
        <v>74</v>
      </c>
      <c r="P757" t="s">
        <v>74</v>
      </c>
      <c r="Q757" t="s">
        <v>74</v>
      </c>
      <c r="R757" t="s">
        <v>74</v>
      </c>
      <c r="S757" t="s">
        <v>74</v>
      </c>
      <c r="T757" t="s">
        <v>14246</v>
      </c>
      <c r="U757" t="s">
        <v>14247</v>
      </c>
      <c r="V757" t="s">
        <v>14248</v>
      </c>
      <c r="W757" t="s">
        <v>3852</v>
      </c>
      <c r="X757" t="s">
        <v>1022</v>
      </c>
      <c r="Y757" t="s">
        <v>14249</v>
      </c>
      <c r="Z757" t="s">
        <v>352</v>
      </c>
      <c r="AA757" t="s">
        <v>14250</v>
      </c>
      <c r="AB757" t="s">
        <v>14251</v>
      </c>
      <c r="AC757" t="s">
        <v>14252</v>
      </c>
      <c r="AD757" t="s">
        <v>14253</v>
      </c>
      <c r="AE757" t="s">
        <v>14254</v>
      </c>
      <c r="AF757" t="s">
        <v>74</v>
      </c>
      <c r="AG757">
        <v>45</v>
      </c>
      <c r="AH757">
        <v>43</v>
      </c>
      <c r="AI757">
        <v>43</v>
      </c>
      <c r="AJ757">
        <v>0</v>
      </c>
      <c r="AK757">
        <v>23</v>
      </c>
      <c r="AL757" t="s">
        <v>14255</v>
      </c>
      <c r="AM757" t="s">
        <v>14256</v>
      </c>
      <c r="AN757" t="s">
        <v>14257</v>
      </c>
      <c r="AO757" t="s">
        <v>14258</v>
      </c>
      <c r="AP757" t="s">
        <v>74</v>
      </c>
      <c r="AQ757" t="s">
        <v>74</v>
      </c>
      <c r="AR757" t="s">
        <v>14259</v>
      </c>
      <c r="AS757" t="s">
        <v>14260</v>
      </c>
      <c r="AT757" t="s">
        <v>14238</v>
      </c>
      <c r="AU757">
        <v>2014</v>
      </c>
      <c r="AV757">
        <v>4</v>
      </c>
      <c r="AW757" t="s">
        <v>74</v>
      </c>
      <c r="AX757" t="s">
        <v>74</v>
      </c>
      <c r="AY757" t="s">
        <v>74</v>
      </c>
      <c r="AZ757" t="s">
        <v>74</v>
      </c>
      <c r="BA757" t="s">
        <v>74</v>
      </c>
      <c r="BB757" t="s">
        <v>74</v>
      </c>
      <c r="BC757" t="s">
        <v>74</v>
      </c>
      <c r="BD757" t="s">
        <v>14261</v>
      </c>
      <c r="BE757" t="s">
        <v>14262</v>
      </c>
      <c r="BF757" t="str">
        <f>HYPERLINK("http://dx.doi.org/10.1051/swsc/2014016","http://dx.doi.org/10.1051/swsc/2014016")</f>
        <v>http://dx.doi.org/10.1051/swsc/2014016</v>
      </c>
      <c r="BG757" t="s">
        <v>74</v>
      </c>
      <c r="BH757" t="s">
        <v>74</v>
      </c>
      <c r="BI757">
        <v>8</v>
      </c>
      <c r="BJ757" t="s">
        <v>14263</v>
      </c>
      <c r="BK757" t="s">
        <v>102</v>
      </c>
      <c r="BL757" t="s">
        <v>14263</v>
      </c>
      <c r="BM757" t="s">
        <v>14264</v>
      </c>
      <c r="BN757" t="s">
        <v>74</v>
      </c>
      <c r="BO757" t="s">
        <v>14265</v>
      </c>
      <c r="BP757" t="s">
        <v>74</v>
      </c>
      <c r="BQ757" t="s">
        <v>74</v>
      </c>
      <c r="BR757" t="s">
        <v>105</v>
      </c>
      <c r="BS757" t="s">
        <v>14266</v>
      </c>
      <c r="BT757" t="str">
        <f>HYPERLINK("https%3A%2F%2Fwww.webofscience.com%2Fwos%2Fwoscc%2Ffull-record%2FWOS:000345848000002","View Full Record in Web of Science")</f>
        <v>View Full Record in Web of Science</v>
      </c>
    </row>
    <row r="758" spans="1:72" x14ac:dyDescent="0.15">
      <c r="A758" t="s">
        <v>72</v>
      </c>
      <c r="B758" t="s">
        <v>14267</v>
      </c>
      <c r="C758" t="s">
        <v>74</v>
      </c>
      <c r="D758" t="s">
        <v>74</v>
      </c>
      <c r="E758" t="s">
        <v>74</v>
      </c>
      <c r="F758" t="s">
        <v>14268</v>
      </c>
      <c r="G758" t="s">
        <v>74</v>
      </c>
      <c r="H758" t="s">
        <v>74</v>
      </c>
      <c r="I758" t="s">
        <v>14269</v>
      </c>
      <c r="J758" t="s">
        <v>10791</v>
      </c>
      <c r="K758" t="s">
        <v>74</v>
      </c>
      <c r="L758" t="s">
        <v>74</v>
      </c>
      <c r="M758" t="s">
        <v>78</v>
      </c>
      <c r="N758" t="s">
        <v>185</v>
      </c>
      <c r="O758" t="s">
        <v>74</v>
      </c>
      <c r="P758" t="s">
        <v>74</v>
      </c>
      <c r="Q758" t="s">
        <v>74</v>
      </c>
      <c r="R758" t="s">
        <v>74</v>
      </c>
      <c r="S758" t="s">
        <v>74</v>
      </c>
      <c r="T758" t="s">
        <v>14270</v>
      </c>
      <c r="U758" t="s">
        <v>14271</v>
      </c>
      <c r="V758" t="s">
        <v>14272</v>
      </c>
      <c r="W758" t="s">
        <v>14273</v>
      </c>
      <c r="X758" t="s">
        <v>14274</v>
      </c>
      <c r="Y758" t="s">
        <v>14275</v>
      </c>
      <c r="Z758" t="s">
        <v>14276</v>
      </c>
      <c r="AA758" t="s">
        <v>14277</v>
      </c>
      <c r="AB758" t="s">
        <v>14278</v>
      </c>
      <c r="AC758" t="s">
        <v>14279</v>
      </c>
      <c r="AD758" t="s">
        <v>14280</v>
      </c>
      <c r="AE758" t="s">
        <v>14281</v>
      </c>
      <c r="AF758" t="s">
        <v>74</v>
      </c>
      <c r="AG758">
        <v>124</v>
      </c>
      <c r="AH758">
        <v>100</v>
      </c>
      <c r="AI758">
        <v>117</v>
      </c>
      <c r="AJ758">
        <v>4</v>
      </c>
      <c r="AK758">
        <v>111</v>
      </c>
      <c r="AL758" t="s">
        <v>2571</v>
      </c>
      <c r="AM758" t="s">
        <v>654</v>
      </c>
      <c r="AN758" t="s">
        <v>2572</v>
      </c>
      <c r="AO758" t="s">
        <v>10804</v>
      </c>
      <c r="AP758" t="s">
        <v>10805</v>
      </c>
      <c r="AQ758" t="s">
        <v>74</v>
      </c>
      <c r="AR758" t="s">
        <v>10806</v>
      </c>
      <c r="AS758" t="s">
        <v>10807</v>
      </c>
      <c r="AT758" t="s">
        <v>14282</v>
      </c>
      <c r="AU758">
        <v>2014</v>
      </c>
      <c r="AV758">
        <v>145</v>
      </c>
      <c r="AW758" t="s">
        <v>74</v>
      </c>
      <c r="AX758" t="s">
        <v>74</v>
      </c>
      <c r="AY758" t="s">
        <v>74</v>
      </c>
      <c r="AZ758" t="s">
        <v>74</v>
      </c>
      <c r="BA758" t="s">
        <v>74</v>
      </c>
      <c r="BB758">
        <v>41</v>
      </c>
      <c r="BC758">
        <v>56</v>
      </c>
      <c r="BD758" t="s">
        <v>74</v>
      </c>
      <c r="BE758" t="s">
        <v>14283</v>
      </c>
      <c r="BF758" t="str">
        <f>HYPERLINK("http://dx.doi.org/10.1016/j.ecss.2014.04.002","http://dx.doi.org/10.1016/j.ecss.2014.04.002")</f>
        <v>http://dx.doi.org/10.1016/j.ecss.2014.04.002</v>
      </c>
      <c r="BG758" t="s">
        <v>74</v>
      </c>
      <c r="BH758" t="s">
        <v>74</v>
      </c>
      <c r="BI758">
        <v>16</v>
      </c>
      <c r="BJ758" t="s">
        <v>2511</v>
      </c>
      <c r="BK758" t="s">
        <v>102</v>
      </c>
      <c r="BL758" t="s">
        <v>2511</v>
      </c>
      <c r="BM758" t="s">
        <v>14284</v>
      </c>
      <c r="BN758" t="s">
        <v>74</v>
      </c>
      <c r="BO758" t="s">
        <v>74</v>
      </c>
      <c r="BP758" t="s">
        <v>74</v>
      </c>
      <c r="BQ758" t="s">
        <v>74</v>
      </c>
      <c r="BR758" t="s">
        <v>105</v>
      </c>
      <c r="BS758" t="s">
        <v>14285</v>
      </c>
      <c r="BT758" t="str">
        <f>HYPERLINK("https%3A%2F%2Fwww.webofscience.com%2Fwos%2Fwoscc%2Ffull-record%2FWOS:000338409100005","View Full Record in Web of Science")</f>
        <v>View Full Record in Web of Science</v>
      </c>
    </row>
    <row r="759" spans="1:72" x14ac:dyDescent="0.15">
      <c r="A759" t="s">
        <v>72</v>
      </c>
      <c r="B759" t="s">
        <v>14286</v>
      </c>
      <c r="C759" t="s">
        <v>74</v>
      </c>
      <c r="D759" t="s">
        <v>74</v>
      </c>
      <c r="E759" t="s">
        <v>74</v>
      </c>
      <c r="F759" t="s">
        <v>14287</v>
      </c>
      <c r="G759" t="s">
        <v>74</v>
      </c>
      <c r="H759" t="s">
        <v>74</v>
      </c>
      <c r="I759" t="s">
        <v>14288</v>
      </c>
      <c r="J759" t="s">
        <v>14289</v>
      </c>
      <c r="K759" t="s">
        <v>74</v>
      </c>
      <c r="L759" t="s">
        <v>74</v>
      </c>
      <c r="M759" t="s">
        <v>78</v>
      </c>
      <c r="N759" t="s">
        <v>1516</v>
      </c>
      <c r="O759" t="s">
        <v>74</v>
      </c>
      <c r="P759" t="s">
        <v>74</v>
      </c>
      <c r="Q759" t="s">
        <v>74</v>
      </c>
      <c r="R759" t="s">
        <v>74</v>
      </c>
      <c r="S759" t="s">
        <v>74</v>
      </c>
      <c r="T759" t="s">
        <v>14290</v>
      </c>
      <c r="U759" t="s">
        <v>14291</v>
      </c>
      <c r="V759" t="s">
        <v>14292</v>
      </c>
      <c r="W759" t="s">
        <v>14293</v>
      </c>
      <c r="X759" t="s">
        <v>14294</v>
      </c>
      <c r="Y759" t="s">
        <v>14295</v>
      </c>
      <c r="Z759" t="s">
        <v>14296</v>
      </c>
      <c r="AA759" t="s">
        <v>74</v>
      </c>
      <c r="AB759" t="s">
        <v>74</v>
      </c>
      <c r="AC759" t="s">
        <v>74</v>
      </c>
      <c r="AD759" t="s">
        <v>74</v>
      </c>
      <c r="AE759" t="s">
        <v>74</v>
      </c>
      <c r="AF759" t="s">
        <v>74</v>
      </c>
      <c r="AG759">
        <v>21</v>
      </c>
      <c r="AH759">
        <v>4</v>
      </c>
      <c r="AI759">
        <v>4</v>
      </c>
      <c r="AJ759">
        <v>0</v>
      </c>
      <c r="AK759">
        <v>18</v>
      </c>
      <c r="AL759" t="s">
        <v>14297</v>
      </c>
      <c r="AM759" t="s">
        <v>14298</v>
      </c>
      <c r="AN759" t="s">
        <v>14299</v>
      </c>
      <c r="AO759" t="s">
        <v>14300</v>
      </c>
      <c r="AP759" t="s">
        <v>14301</v>
      </c>
      <c r="AQ759" t="s">
        <v>74</v>
      </c>
      <c r="AR759" t="s">
        <v>14302</v>
      </c>
      <c r="AS759" t="s">
        <v>14303</v>
      </c>
      <c r="AT759" t="s">
        <v>14282</v>
      </c>
      <c r="AU759">
        <v>2014</v>
      </c>
      <c r="AV759">
        <v>28</v>
      </c>
      <c r="AW759">
        <v>13</v>
      </c>
      <c r="AX759" t="s">
        <v>74</v>
      </c>
      <c r="AY759" t="s">
        <v>74</v>
      </c>
      <c r="AZ759" t="s">
        <v>74</v>
      </c>
      <c r="BA759" t="s">
        <v>74</v>
      </c>
      <c r="BB759" t="s">
        <v>74</v>
      </c>
      <c r="BC759" t="s">
        <v>74</v>
      </c>
      <c r="BD759">
        <v>1482002</v>
      </c>
      <c r="BE759" t="s">
        <v>14304</v>
      </c>
      <c r="BF759" t="str">
        <f>HYPERLINK("http://dx.doi.org/10.1142/S0217979214820025","http://dx.doi.org/10.1142/S0217979214820025")</f>
        <v>http://dx.doi.org/10.1142/S0217979214820025</v>
      </c>
      <c r="BG759" t="s">
        <v>74</v>
      </c>
      <c r="BH759" t="s">
        <v>74</v>
      </c>
      <c r="BI759">
        <v>18</v>
      </c>
      <c r="BJ759" t="s">
        <v>14305</v>
      </c>
      <c r="BK759" t="s">
        <v>102</v>
      </c>
      <c r="BL759" t="s">
        <v>1813</v>
      </c>
      <c r="BM759" t="s">
        <v>14306</v>
      </c>
      <c r="BN759" t="s">
        <v>74</v>
      </c>
      <c r="BO759" t="s">
        <v>74</v>
      </c>
      <c r="BP759" t="s">
        <v>74</v>
      </c>
      <c r="BQ759" t="s">
        <v>74</v>
      </c>
      <c r="BR759" t="s">
        <v>105</v>
      </c>
      <c r="BS759" t="s">
        <v>14307</v>
      </c>
      <c r="BT759" t="str">
        <f>HYPERLINK("https%3A%2F%2Fwww.webofscience.com%2Fwos%2Fwoscc%2Ffull-record%2FWOS:000334692200003","View Full Record in Web of Science")</f>
        <v>View Full Record in Web of Science</v>
      </c>
    </row>
    <row r="760" spans="1:72" x14ac:dyDescent="0.15">
      <c r="A760" t="s">
        <v>72</v>
      </c>
      <c r="B760" t="s">
        <v>14308</v>
      </c>
      <c r="C760" t="s">
        <v>74</v>
      </c>
      <c r="D760" t="s">
        <v>74</v>
      </c>
      <c r="E760" t="s">
        <v>74</v>
      </c>
      <c r="F760" t="s">
        <v>14309</v>
      </c>
      <c r="G760" t="s">
        <v>74</v>
      </c>
      <c r="H760" t="s">
        <v>74</v>
      </c>
      <c r="I760" t="s">
        <v>14310</v>
      </c>
      <c r="J760" t="s">
        <v>14289</v>
      </c>
      <c r="K760" t="s">
        <v>74</v>
      </c>
      <c r="L760" t="s">
        <v>74</v>
      </c>
      <c r="M760" t="s">
        <v>78</v>
      </c>
      <c r="N760" t="s">
        <v>1516</v>
      </c>
      <c r="O760" t="s">
        <v>74</v>
      </c>
      <c r="P760" t="s">
        <v>74</v>
      </c>
      <c r="Q760" t="s">
        <v>74</v>
      </c>
      <c r="R760" t="s">
        <v>74</v>
      </c>
      <c r="S760" t="s">
        <v>74</v>
      </c>
      <c r="T760" t="s">
        <v>14311</v>
      </c>
      <c r="U760" t="s">
        <v>14312</v>
      </c>
      <c r="V760" t="s">
        <v>14313</v>
      </c>
      <c r="W760" t="s">
        <v>14314</v>
      </c>
      <c r="X760" t="s">
        <v>14315</v>
      </c>
      <c r="Y760" t="s">
        <v>14316</v>
      </c>
      <c r="Z760" t="s">
        <v>14317</v>
      </c>
      <c r="AA760" t="s">
        <v>14318</v>
      </c>
      <c r="AB760" t="s">
        <v>14319</v>
      </c>
      <c r="AC760" t="s">
        <v>74</v>
      </c>
      <c r="AD760" t="s">
        <v>74</v>
      </c>
      <c r="AE760" t="s">
        <v>74</v>
      </c>
      <c r="AF760" t="s">
        <v>74</v>
      </c>
      <c r="AG760">
        <v>120</v>
      </c>
      <c r="AH760">
        <v>8</v>
      </c>
      <c r="AI760">
        <v>8</v>
      </c>
      <c r="AJ760">
        <v>1</v>
      </c>
      <c r="AK760">
        <v>57</v>
      </c>
      <c r="AL760" t="s">
        <v>14297</v>
      </c>
      <c r="AM760" t="s">
        <v>14298</v>
      </c>
      <c r="AN760" t="s">
        <v>14299</v>
      </c>
      <c r="AO760" t="s">
        <v>14300</v>
      </c>
      <c r="AP760" t="s">
        <v>14301</v>
      </c>
      <c r="AQ760" t="s">
        <v>74</v>
      </c>
      <c r="AR760" t="s">
        <v>14302</v>
      </c>
      <c r="AS760" t="s">
        <v>14303</v>
      </c>
      <c r="AT760" t="s">
        <v>14282</v>
      </c>
      <c r="AU760">
        <v>2014</v>
      </c>
      <c r="AV760">
        <v>28</v>
      </c>
      <c r="AW760">
        <v>13</v>
      </c>
      <c r="AX760" t="s">
        <v>74</v>
      </c>
      <c r="AY760" t="s">
        <v>74</v>
      </c>
      <c r="AZ760" t="s">
        <v>74</v>
      </c>
      <c r="BA760" t="s">
        <v>74</v>
      </c>
      <c r="BB760" t="s">
        <v>74</v>
      </c>
      <c r="BC760" t="s">
        <v>74</v>
      </c>
      <c r="BD760">
        <v>1482001</v>
      </c>
      <c r="BE760" t="s">
        <v>14320</v>
      </c>
      <c r="BF760" t="str">
        <f>HYPERLINK("http://dx.doi.org/10.1142/S0217979214820013","http://dx.doi.org/10.1142/S0217979214820013")</f>
        <v>http://dx.doi.org/10.1142/S0217979214820013</v>
      </c>
      <c r="BG760" t="s">
        <v>74</v>
      </c>
      <c r="BH760" t="s">
        <v>74</v>
      </c>
      <c r="BI760">
        <v>18</v>
      </c>
      <c r="BJ760" t="s">
        <v>14305</v>
      </c>
      <c r="BK760" t="s">
        <v>102</v>
      </c>
      <c r="BL760" t="s">
        <v>1813</v>
      </c>
      <c r="BM760" t="s">
        <v>14306</v>
      </c>
      <c r="BN760" t="s">
        <v>74</v>
      </c>
      <c r="BO760" t="s">
        <v>74</v>
      </c>
      <c r="BP760" t="s">
        <v>74</v>
      </c>
      <c r="BQ760" t="s">
        <v>74</v>
      </c>
      <c r="BR760" t="s">
        <v>105</v>
      </c>
      <c r="BS760" t="s">
        <v>14321</v>
      </c>
      <c r="BT760" t="str">
        <f>HYPERLINK("https%3A%2F%2Fwww.webofscience.com%2Fwos%2Fwoscc%2Ffull-record%2FWOS:000334692200002","View Full Record in Web of Science")</f>
        <v>View Full Record in Web of Science</v>
      </c>
    </row>
    <row r="761" spans="1:72" x14ac:dyDescent="0.15">
      <c r="A761" t="s">
        <v>72</v>
      </c>
      <c r="B761" t="s">
        <v>14322</v>
      </c>
      <c r="C761" t="s">
        <v>74</v>
      </c>
      <c r="D761" t="s">
        <v>74</v>
      </c>
      <c r="E761" t="s">
        <v>74</v>
      </c>
      <c r="F761" t="s">
        <v>14323</v>
      </c>
      <c r="G761" t="s">
        <v>74</v>
      </c>
      <c r="H761" t="s">
        <v>74</v>
      </c>
      <c r="I761" t="s">
        <v>14324</v>
      </c>
      <c r="J761" t="s">
        <v>4474</v>
      </c>
      <c r="K761" t="s">
        <v>74</v>
      </c>
      <c r="L761" t="s">
        <v>74</v>
      </c>
      <c r="M761" t="s">
        <v>78</v>
      </c>
      <c r="N761" t="s">
        <v>79</v>
      </c>
      <c r="O761" t="s">
        <v>74</v>
      </c>
      <c r="P761" t="s">
        <v>74</v>
      </c>
      <c r="Q761" t="s">
        <v>74</v>
      </c>
      <c r="R761" t="s">
        <v>74</v>
      </c>
      <c r="S761" t="s">
        <v>74</v>
      </c>
      <c r="T761" t="s">
        <v>74</v>
      </c>
      <c r="U761" t="s">
        <v>14325</v>
      </c>
      <c r="V761" t="s">
        <v>14326</v>
      </c>
      <c r="W761" t="s">
        <v>14327</v>
      </c>
      <c r="X761" t="s">
        <v>14328</v>
      </c>
      <c r="Y761" t="s">
        <v>14329</v>
      </c>
      <c r="Z761" t="s">
        <v>14330</v>
      </c>
      <c r="AA761" t="s">
        <v>14331</v>
      </c>
      <c r="AB761" t="s">
        <v>14332</v>
      </c>
      <c r="AC761" t="s">
        <v>14333</v>
      </c>
      <c r="AD761" t="s">
        <v>14334</v>
      </c>
      <c r="AE761" t="s">
        <v>14335</v>
      </c>
      <c r="AF761" t="s">
        <v>74</v>
      </c>
      <c r="AG761">
        <v>59</v>
      </c>
      <c r="AH761">
        <v>11</v>
      </c>
      <c r="AI761">
        <v>12</v>
      </c>
      <c r="AJ761">
        <v>0</v>
      </c>
      <c r="AK761">
        <v>12</v>
      </c>
      <c r="AL761" t="s">
        <v>331</v>
      </c>
      <c r="AM761" t="s">
        <v>332</v>
      </c>
      <c r="AN761" t="s">
        <v>333</v>
      </c>
      <c r="AO761" t="s">
        <v>4485</v>
      </c>
      <c r="AP761" t="s">
        <v>4486</v>
      </c>
      <c r="AQ761" t="s">
        <v>74</v>
      </c>
      <c r="AR761" t="s">
        <v>4487</v>
      </c>
      <c r="AS761" t="s">
        <v>4488</v>
      </c>
      <c r="AT761" t="s">
        <v>14336</v>
      </c>
      <c r="AU761">
        <v>2014</v>
      </c>
      <c r="AV761">
        <v>119</v>
      </c>
      <c r="AW761">
        <v>9</v>
      </c>
      <c r="AX761" t="s">
        <v>74</v>
      </c>
      <c r="AY761" t="s">
        <v>74</v>
      </c>
      <c r="AZ761" t="s">
        <v>74</v>
      </c>
      <c r="BA761" t="s">
        <v>74</v>
      </c>
      <c r="BB761">
        <v>5528</v>
      </c>
      <c r="BC761">
        <v>5541</v>
      </c>
      <c r="BD761" t="s">
        <v>74</v>
      </c>
      <c r="BE761" t="s">
        <v>14337</v>
      </c>
      <c r="BF761" t="str">
        <f>HYPERLINK("http://dx.doi.org/10.1002/2013JD019892","http://dx.doi.org/10.1002/2013JD019892")</f>
        <v>http://dx.doi.org/10.1002/2013JD019892</v>
      </c>
      <c r="BG761" t="s">
        <v>74</v>
      </c>
      <c r="BH761" t="s">
        <v>74</v>
      </c>
      <c r="BI761">
        <v>14</v>
      </c>
      <c r="BJ761" t="s">
        <v>177</v>
      </c>
      <c r="BK761" t="s">
        <v>102</v>
      </c>
      <c r="BL761" t="s">
        <v>177</v>
      </c>
      <c r="BM761" t="s">
        <v>14338</v>
      </c>
      <c r="BN761" t="s">
        <v>74</v>
      </c>
      <c r="BO761" t="s">
        <v>179</v>
      </c>
      <c r="BP761" t="s">
        <v>74</v>
      </c>
      <c r="BQ761" t="s">
        <v>74</v>
      </c>
      <c r="BR761" t="s">
        <v>105</v>
      </c>
      <c r="BS761" t="s">
        <v>14339</v>
      </c>
      <c r="BT761" t="str">
        <f>HYPERLINK("https%3A%2F%2Fwww.webofscience.com%2Fwos%2Fwoscc%2Ffull-record%2FWOS:000338340400033","View Full Record in Web of Science")</f>
        <v>View Full Record in Web of Science</v>
      </c>
    </row>
    <row r="762" spans="1:72" x14ac:dyDescent="0.15">
      <c r="A762" t="s">
        <v>72</v>
      </c>
      <c r="B762" t="s">
        <v>14340</v>
      </c>
      <c r="C762" t="s">
        <v>74</v>
      </c>
      <c r="D762" t="s">
        <v>74</v>
      </c>
      <c r="E762" t="s">
        <v>74</v>
      </c>
      <c r="F762" t="s">
        <v>14341</v>
      </c>
      <c r="G762" t="s">
        <v>74</v>
      </c>
      <c r="H762" t="s">
        <v>74</v>
      </c>
      <c r="I762" t="s">
        <v>14342</v>
      </c>
      <c r="J762" t="s">
        <v>4474</v>
      </c>
      <c r="K762" t="s">
        <v>74</v>
      </c>
      <c r="L762" t="s">
        <v>74</v>
      </c>
      <c r="M762" t="s">
        <v>78</v>
      </c>
      <c r="N762" t="s">
        <v>79</v>
      </c>
      <c r="O762" t="s">
        <v>74</v>
      </c>
      <c r="P762" t="s">
        <v>74</v>
      </c>
      <c r="Q762" t="s">
        <v>74</v>
      </c>
      <c r="R762" t="s">
        <v>74</v>
      </c>
      <c r="S762" t="s">
        <v>74</v>
      </c>
      <c r="T762" t="s">
        <v>74</v>
      </c>
      <c r="U762" t="s">
        <v>14343</v>
      </c>
      <c r="V762" t="s">
        <v>14344</v>
      </c>
      <c r="W762" t="s">
        <v>14345</v>
      </c>
      <c r="X762" t="s">
        <v>14346</v>
      </c>
      <c r="Y762" t="s">
        <v>14347</v>
      </c>
      <c r="Z762" t="s">
        <v>7794</v>
      </c>
      <c r="AA762" t="s">
        <v>14348</v>
      </c>
      <c r="AB762" t="s">
        <v>14349</v>
      </c>
      <c r="AC762" t="s">
        <v>14350</v>
      </c>
      <c r="AD762" t="s">
        <v>14351</v>
      </c>
      <c r="AE762" t="s">
        <v>14352</v>
      </c>
      <c r="AF762" t="s">
        <v>74</v>
      </c>
      <c r="AG762">
        <v>60</v>
      </c>
      <c r="AH762">
        <v>14</v>
      </c>
      <c r="AI762">
        <v>14</v>
      </c>
      <c r="AJ762">
        <v>2</v>
      </c>
      <c r="AK762">
        <v>43</v>
      </c>
      <c r="AL762" t="s">
        <v>331</v>
      </c>
      <c r="AM762" t="s">
        <v>332</v>
      </c>
      <c r="AN762" t="s">
        <v>333</v>
      </c>
      <c r="AO762" t="s">
        <v>4485</v>
      </c>
      <c r="AP762" t="s">
        <v>4486</v>
      </c>
      <c r="AQ762" t="s">
        <v>74</v>
      </c>
      <c r="AR762" t="s">
        <v>4487</v>
      </c>
      <c r="AS762" t="s">
        <v>4488</v>
      </c>
      <c r="AT762" t="s">
        <v>14336</v>
      </c>
      <c r="AU762">
        <v>2014</v>
      </c>
      <c r="AV762">
        <v>119</v>
      </c>
      <c r="AW762">
        <v>9</v>
      </c>
      <c r="AX762" t="s">
        <v>74</v>
      </c>
      <c r="AY762" t="s">
        <v>74</v>
      </c>
      <c r="AZ762" t="s">
        <v>74</v>
      </c>
      <c r="BA762" t="s">
        <v>74</v>
      </c>
      <c r="BB762">
        <v>5640</v>
      </c>
      <c r="BC762">
        <v>5652</v>
      </c>
      <c r="BD762" t="s">
        <v>74</v>
      </c>
      <c r="BE762" t="s">
        <v>14353</v>
      </c>
      <c r="BF762" t="str">
        <f>HYPERLINK("http://dx.doi.org/10.1002/2013JD020377","http://dx.doi.org/10.1002/2013JD020377")</f>
        <v>http://dx.doi.org/10.1002/2013JD020377</v>
      </c>
      <c r="BG762" t="s">
        <v>74</v>
      </c>
      <c r="BH762" t="s">
        <v>74</v>
      </c>
      <c r="BI762">
        <v>13</v>
      </c>
      <c r="BJ762" t="s">
        <v>177</v>
      </c>
      <c r="BK762" t="s">
        <v>102</v>
      </c>
      <c r="BL762" t="s">
        <v>177</v>
      </c>
      <c r="BM762" t="s">
        <v>14338</v>
      </c>
      <c r="BN762" t="s">
        <v>74</v>
      </c>
      <c r="BO762" t="s">
        <v>179</v>
      </c>
      <c r="BP762" t="s">
        <v>74</v>
      </c>
      <c r="BQ762" t="s">
        <v>74</v>
      </c>
      <c r="BR762" t="s">
        <v>105</v>
      </c>
      <c r="BS762" t="s">
        <v>14354</v>
      </c>
      <c r="BT762" t="str">
        <f>HYPERLINK("https%3A%2F%2Fwww.webofscience.com%2Fwos%2Fwoscc%2Ffull-record%2FWOS:000338340400040","View Full Record in Web of Science")</f>
        <v>View Full Record in Web of Science</v>
      </c>
    </row>
    <row r="763" spans="1:72" x14ac:dyDescent="0.15">
      <c r="A763" t="s">
        <v>72</v>
      </c>
      <c r="B763" t="s">
        <v>14355</v>
      </c>
      <c r="C763" t="s">
        <v>74</v>
      </c>
      <c r="D763" t="s">
        <v>74</v>
      </c>
      <c r="E763" t="s">
        <v>74</v>
      </c>
      <c r="F763" t="s">
        <v>14356</v>
      </c>
      <c r="G763" t="s">
        <v>74</v>
      </c>
      <c r="H763" t="s">
        <v>74</v>
      </c>
      <c r="I763" t="s">
        <v>14357</v>
      </c>
      <c r="J763" t="s">
        <v>4474</v>
      </c>
      <c r="K763" t="s">
        <v>74</v>
      </c>
      <c r="L763" t="s">
        <v>74</v>
      </c>
      <c r="M763" t="s">
        <v>78</v>
      </c>
      <c r="N763" t="s">
        <v>79</v>
      </c>
      <c r="O763" t="s">
        <v>74</v>
      </c>
      <c r="P763" t="s">
        <v>74</v>
      </c>
      <c r="Q763" t="s">
        <v>74</v>
      </c>
      <c r="R763" t="s">
        <v>74</v>
      </c>
      <c r="S763" t="s">
        <v>74</v>
      </c>
      <c r="T763" t="s">
        <v>74</v>
      </c>
      <c r="U763" t="s">
        <v>14358</v>
      </c>
      <c r="V763" t="s">
        <v>14359</v>
      </c>
      <c r="W763" t="s">
        <v>14360</v>
      </c>
      <c r="X763" t="s">
        <v>14361</v>
      </c>
      <c r="Y763" t="s">
        <v>14362</v>
      </c>
      <c r="Z763" t="s">
        <v>14363</v>
      </c>
      <c r="AA763" t="s">
        <v>14364</v>
      </c>
      <c r="AB763" t="s">
        <v>14365</v>
      </c>
      <c r="AC763" t="s">
        <v>14366</v>
      </c>
      <c r="AD763" t="s">
        <v>14367</v>
      </c>
      <c r="AE763" t="s">
        <v>14368</v>
      </c>
      <c r="AF763" t="s">
        <v>74</v>
      </c>
      <c r="AG763">
        <v>78</v>
      </c>
      <c r="AH763">
        <v>44</v>
      </c>
      <c r="AI763">
        <v>49</v>
      </c>
      <c r="AJ763">
        <v>1</v>
      </c>
      <c r="AK763">
        <v>29</v>
      </c>
      <c r="AL763" t="s">
        <v>331</v>
      </c>
      <c r="AM763" t="s">
        <v>332</v>
      </c>
      <c r="AN763" t="s">
        <v>333</v>
      </c>
      <c r="AO763" t="s">
        <v>4485</v>
      </c>
      <c r="AP763" t="s">
        <v>4486</v>
      </c>
      <c r="AQ763" t="s">
        <v>74</v>
      </c>
      <c r="AR763" t="s">
        <v>4487</v>
      </c>
      <c r="AS763" t="s">
        <v>4488</v>
      </c>
      <c r="AT763" t="s">
        <v>14336</v>
      </c>
      <c r="AU763">
        <v>2014</v>
      </c>
      <c r="AV763">
        <v>119</v>
      </c>
      <c r="AW763">
        <v>9</v>
      </c>
      <c r="AX763" t="s">
        <v>74</v>
      </c>
      <c r="AY763" t="s">
        <v>74</v>
      </c>
      <c r="AZ763" t="s">
        <v>74</v>
      </c>
      <c r="BA763" t="s">
        <v>74</v>
      </c>
      <c r="BB763">
        <v>5737</v>
      </c>
      <c r="BC763">
        <v>5756</v>
      </c>
      <c r="BD763" t="s">
        <v>74</v>
      </c>
      <c r="BE763" t="s">
        <v>14369</v>
      </c>
      <c r="BF763" t="str">
        <f>HYPERLINK("http://dx.doi.org/10.1002/2013JD020925","http://dx.doi.org/10.1002/2013JD020925")</f>
        <v>http://dx.doi.org/10.1002/2013JD020925</v>
      </c>
      <c r="BG763" t="s">
        <v>74</v>
      </c>
      <c r="BH763" t="s">
        <v>74</v>
      </c>
      <c r="BI763">
        <v>20</v>
      </c>
      <c r="BJ763" t="s">
        <v>177</v>
      </c>
      <c r="BK763" t="s">
        <v>102</v>
      </c>
      <c r="BL763" t="s">
        <v>177</v>
      </c>
      <c r="BM763" t="s">
        <v>14338</v>
      </c>
      <c r="BN763" t="s">
        <v>74</v>
      </c>
      <c r="BO763" t="s">
        <v>359</v>
      </c>
      <c r="BP763" t="s">
        <v>74</v>
      </c>
      <c r="BQ763" t="s">
        <v>74</v>
      </c>
      <c r="BR763" t="s">
        <v>105</v>
      </c>
      <c r="BS763" t="s">
        <v>14370</v>
      </c>
      <c r="BT763" t="str">
        <f>HYPERLINK("https%3A%2F%2Fwww.webofscience.com%2Fwos%2Fwoscc%2Ffull-record%2FWOS:000338340400045","View Full Record in Web of Science")</f>
        <v>View Full Record in Web of Science</v>
      </c>
    </row>
    <row r="764" spans="1:72" x14ac:dyDescent="0.15">
      <c r="A764" t="s">
        <v>72</v>
      </c>
      <c r="B764" t="s">
        <v>14371</v>
      </c>
      <c r="C764" t="s">
        <v>74</v>
      </c>
      <c r="D764" t="s">
        <v>74</v>
      </c>
      <c r="E764" t="s">
        <v>74</v>
      </c>
      <c r="F764" t="s">
        <v>14372</v>
      </c>
      <c r="G764" t="s">
        <v>74</v>
      </c>
      <c r="H764" t="s">
        <v>74</v>
      </c>
      <c r="I764" t="s">
        <v>14373</v>
      </c>
      <c r="J764" t="s">
        <v>14374</v>
      </c>
      <c r="K764" t="s">
        <v>74</v>
      </c>
      <c r="L764" t="s">
        <v>74</v>
      </c>
      <c r="M764" t="s">
        <v>78</v>
      </c>
      <c r="N764" t="s">
        <v>11070</v>
      </c>
      <c r="O764" t="s">
        <v>74</v>
      </c>
      <c r="P764" t="s">
        <v>74</v>
      </c>
      <c r="Q764" t="s">
        <v>74</v>
      </c>
      <c r="R764" t="s">
        <v>74</v>
      </c>
      <c r="S764" t="s">
        <v>74</v>
      </c>
      <c r="T764" t="s">
        <v>74</v>
      </c>
      <c r="U764" t="s">
        <v>74</v>
      </c>
      <c r="V764" t="s">
        <v>74</v>
      </c>
      <c r="W764" t="s">
        <v>74</v>
      </c>
      <c r="X764" t="s">
        <v>74</v>
      </c>
      <c r="Y764" t="s">
        <v>74</v>
      </c>
      <c r="Z764" t="s">
        <v>74</v>
      </c>
      <c r="AA764" t="s">
        <v>14375</v>
      </c>
      <c r="AB764" t="s">
        <v>74</v>
      </c>
      <c r="AC764" t="s">
        <v>74</v>
      </c>
      <c r="AD764" t="s">
        <v>74</v>
      </c>
      <c r="AE764" t="s">
        <v>74</v>
      </c>
      <c r="AF764" t="s">
        <v>74</v>
      </c>
      <c r="AG764">
        <v>0</v>
      </c>
      <c r="AH764">
        <v>0</v>
      </c>
      <c r="AI764">
        <v>0</v>
      </c>
      <c r="AJ764">
        <v>0</v>
      </c>
      <c r="AK764">
        <v>1</v>
      </c>
      <c r="AL764" t="s">
        <v>14376</v>
      </c>
      <c r="AM764" t="s">
        <v>14377</v>
      </c>
      <c r="AN764" t="s">
        <v>14378</v>
      </c>
      <c r="AO764" t="s">
        <v>14379</v>
      </c>
      <c r="AP764" t="s">
        <v>74</v>
      </c>
      <c r="AQ764" t="s">
        <v>74</v>
      </c>
      <c r="AR764" t="s">
        <v>14380</v>
      </c>
      <c r="AS764" t="s">
        <v>14381</v>
      </c>
      <c r="AT764" t="s">
        <v>14382</v>
      </c>
      <c r="AU764">
        <v>2014</v>
      </c>
      <c r="AV764">
        <v>222</v>
      </c>
      <c r="AW764">
        <v>2969</v>
      </c>
      <c r="AX764" t="s">
        <v>74</v>
      </c>
      <c r="AY764" t="s">
        <v>74</v>
      </c>
      <c r="AZ764" t="s">
        <v>74</v>
      </c>
      <c r="BA764" t="s">
        <v>74</v>
      </c>
      <c r="BB764">
        <v>14</v>
      </c>
      <c r="BC764">
        <v>14</v>
      </c>
      <c r="BD764" t="s">
        <v>74</v>
      </c>
      <c r="BE764" t="s">
        <v>74</v>
      </c>
      <c r="BF764" t="s">
        <v>74</v>
      </c>
      <c r="BG764" t="s">
        <v>74</v>
      </c>
      <c r="BH764" t="s">
        <v>74</v>
      </c>
      <c r="BI764">
        <v>1</v>
      </c>
      <c r="BJ764" t="s">
        <v>660</v>
      </c>
      <c r="BK764" t="s">
        <v>102</v>
      </c>
      <c r="BL764" t="s">
        <v>661</v>
      </c>
      <c r="BM764" t="s">
        <v>14383</v>
      </c>
      <c r="BN764" t="s">
        <v>74</v>
      </c>
      <c r="BO764" t="s">
        <v>74</v>
      </c>
      <c r="BP764" t="s">
        <v>74</v>
      </c>
      <c r="BQ764" t="s">
        <v>74</v>
      </c>
      <c r="BR764" t="s">
        <v>105</v>
      </c>
      <c r="BS764" t="s">
        <v>14384</v>
      </c>
      <c r="BT764" t="str">
        <f>HYPERLINK("https%3A%2F%2Fwww.webofscience.com%2Fwos%2Fwoscc%2Ffull-record%2FWOS:000336239700008","View Full Record in Web of Science")</f>
        <v>View Full Record in Web of Science</v>
      </c>
    </row>
    <row r="765" spans="1:72" x14ac:dyDescent="0.15">
      <c r="A765" t="s">
        <v>72</v>
      </c>
      <c r="B765" t="s">
        <v>14385</v>
      </c>
      <c r="C765" t="s">
        <v>74</v>
      </c>
      <c r="D765" t="s">
        <v>74</v>
      </c>
      <c r="E765" t="s">
        <v>74</v>
      </c>
      <c r="F765" t="s">
        <v>14386</v>
      </c>
      <c r="G765" t="s">
        <v>74</v>
      </c>
      <c r="H765" t="s">
        <v>74</v>
      </c>
      <c r="I765" t="s">
        <v>14387</v>
      </c>
      <c r="J765" t="s">
        <v>1629</v>
      </c>
      <c r="K765" t="s">
        <v>74</v>
      </c>
      <c r="L765" t="s">
        <v>74</v>
      </c>
      <c r="M765" t="s">
        <v>78</v>
      </c>
      <c r="N765" t="s">
        <v>11070</v>
      </c>
      <c r="O765" t="s">
        <v>74</v>
      </c>
      <c r="P765" t="s">
        <v>74</v>
      </c>
      <c r="Q765" t="s">
        <v>74</v>
      </c>
      <c r="R765" t="s">
        <v>74</v>
      </c>
      <c r="S765" t="s">
        <v>74</v>
      </c>
      <c r="T765" t="s">
        <v>74</v>
      </c>
      <c r="U765" t="s">
        <v>74</v>
      </c>
      <c r="V765" t="s">
        <v>74</v>
      </c>
      <c r="W765" t="s">
        <v>74</v>
      </c>
      <c r="X765" t="s">
        <v>74</v>
      </c>
      <c r="Y765" t="s">
        <v>74</v>
      </c>
      <c r="Z765" t="s">
        <v>74</v>
      </c>
      <c r="AA765" t="s">
        <v>74</v>
      </c>
      <c r="AB765" t="s">
        <v>74</v>
      </c>
      <c r="AC765" t="s">
        <v>74</v>
      </c>
      <c r="AD765" t="s">
        <v>74</v>
      </c>
      <c r="AE765" t="s">
        <v>74</v>
      </c>
      <c r="AF765" t="s">
        <v>74</v>
      </c>
      <c r="AG765">
        <v>0</v>
      </c>
      <c r="AH765">
        <v>6</v>
      </c>
      <c r="AI765">
        <v>6</v>
      </c>
      <c r="AJ765">
        <v>0</v>
      </c>
      <c r="AK765">
        <v>52</v>
      </c>
      <c r="AL765" t="s">
        <v>1641</v>
      </c>
      <c r="AM765" t="s">
        <v>332</v>
      </c>
      <c r="AN765" t="s">
        <v>1642</v>
      </c>
      <c r="AO765" t="s">
        <v>1643</v>
      </c>
      <c r="AP765" t="s">
        <v>1644</v>
      </c>
      <c r="AQ765" t="s">
        <v>74</v>
      </c>
      <c r="AR765" t="s">
        <v>1629</v>
      </c>
      <c r="AS765" t="s">
        <v>1645</v>
      </c>
      <c r="AT765" t="s">
        <v>14388</v>
      </c>
      <c r="AU765">
        <v>2014</v>
      </c>
      <c r="AV765">
        <v>344</v>
      </c>
      <c r="AW765">
        <v>6185</v>
      </c>
      <c r="AX765" t="s">
        <v>74</v>
      </c>
      <c r="AY765" t="s">
        <v>74</v>
      </c>
      <c r="AZ765" t="s">
        <v>74</v>
      </c>
      <c r="BA765" t="s">
        <v>74</v>
      </c>
      <c r="BB765">
        <v>683</v>
      </c>
      <c r="BC765">
        <v>683</v>
      </c>
      <c r="BD765" t="s">
        <v>74</v>
      </c>
      <c r="BE765" t="s">
        <v>14389</v>
      </c>
      <c r="BF765" t="str">
        <f>HYPERLINK("http://dx.doi.org/10.1126/science.344.6185.683","http://dx.doi.org/10.1126/science.344.6185.683")</f>
        <v>http://dx.doi.org/10.1126/science.344.6185.683</v>
      </c>
      <c r="BG765" t="s">
        <v>74</v>
      </c>
      <c r="BH765" t="s">
        <v>74</v>
      </c>
      <c r="BI765">
        <v>1</v>
      </c>
      <c r="BJ765" t="s">
        <v>660</v>
      </c>
      <c r="BK765" t="s">
        <v>102</v>
      </c>
      <c r="BL765" t="s">
        <v>661</v>
      </c>
      <c r="BM765" t="s">
        <v>14390</v>
      </c>
      <c r="BN765">
        <v>24833370</v>
      </c>
      <c r="BO765" t="s">
        <v>74</v>
      </c>
      <c r="BP765" t="s">
        <v>74</v>
      </c>
      <c r="BQ765" t="s">
        <v>74</v>
      </c>
      <c r="BR765" t="s">
        <v>105</v>
      </c>
      <c r="BS765" t="s">
        <v>14391</v>
      </c>
      <c r="BT765" t="str">
        <f>HYPERLINK("https%3A%2F%2Fwww.webofscience.com%2Fwos%2Fwoscc%2Ffull-record%2FWOS:000335912900013","View Full Record in Web of Science")</f>
        <v>View Full Record in Web of Science</v>
      </c>
    </row>
    <row r="766" spans="1:72" x14ac:dyDescent="0.15">
      <c r="A766" t="s">
        <v>72</v>
      </c>
      <c r="B766" t="s">
        <v>9050</v>
      </c>
      <c r="C766" t="s">
        <v>74</v>
      </c>
      <c r="D766" t="s">
        <v>74</v>
      </c>
      <c r="E766" t="s">
        <v>74</v>
      </c>
      <c r="F766" t="s">
        <v>14392</v>
      </c>
      <c r="G766" t="s">
        <v>74</v>
      </c>
      <c r="H766" t="s">
        <v>74</v>
      </c>
      <c r="I766" t="s">
        <v>14393</v>
      </c>
      <c r="J766" t="s">
        <v>14394</v>
      </c>
      <c r="K766" t="s">
        <v>74</v>
      </c>
      <c r="L766" t="s">
        <v>74</v>
      </c>
      <c r="M766" t="s">
        <v>78</v>
      </c>
      <c r="N766" t="s">
        <v>79</v>
      </c>
      <c r="O766" t="s">
        <v>74</v>
      </c>
      <c r="P766" t="s">
        <v>74</v>
      </c>
      <c r="Q766" t="s">
        <v>74</v>
      </c>
      <c r="R766" t="s">
        <v>74</v>
      </c>
      <c r="S766" t="s">
        <v>74</v>
      </c>
      <c r="T766" t="s">
        <v>74</v>
      </c>
      <c r="U766" t="s">
        <v>14395</v>
      </c>
      <c r="V766" t="s">
        <v>14396</v>
      </c>
      <c r="W766" t="s">
        <v>14397</v>
      </c>
      <c r="X766" t="s">
        <v>14398</v>
      </c>
      <c r="Y766" t="s">
        <v>14399</v>
      </c>
      <c r="Z766" t="s">
        <v>14400</v>
      </c>
      <c r="AA766" t="s">
        <v>14401</v>
      </c>
      <c r="AB766" t="s">
        <v>14402</v>
      </c>
      <c r="AC766" t="s">
        <v>14403</v>
      </c>
      <c r="AD766" t="s">
        <v>14404</v>
      </c>
      <c r="AE766" t="s">
        <v>14405</v>
      </c>
      <c r="AF766" t="s">
        <v>74</v>
      </c>
      <c r="AG766">
        <v>18</v>
      </c>
      <c r="AH766">
        <v>29</v>
      </c>
      <c r="AI766">
        <v>34</v>
      </c>
      <c r="AJ766">
        <v>0</v>
      </c>
      <c r="AK766">
        <v>24</v>
      </c>
      <c r="AL766" t="s">
        <v>7999</v>
      </c>
      <c r="AM766" t="s">
        <v>332</v>
      </c>
      <c r="AN766" t="s">
        <v>8000</v>
      </c>
      <c r="AO766" t="s">
        <v>14406</v>
      </c>
      <c r="AP766" t="s">
        <v>14407</v>
      </c>
      <c r="AQ766" t="s">
        <v>74</v>
      </c>
      <c r="AR766" t="s">
        <v>14408</v>
      </c>
      <c r="AS766" t="s">
        <v>14409</v>
      </c>
      <c r="AT766" t="s">
        <v>14388</v>
      </c>
      <c r="AU766">
        <v>2014</v>
      </c>
      <c r="AV766">
        <v>16</v>
      </c>
      <c r="AW766">
        <v>10</v>
      </c>
      <c r="AX766" t="s">
        <v>74</v>
      </c>
      <c r="AY766" t="s">
        <v>74</v>
      </c>
      <c r="AZ766" t="s">
        <v>74</v>
      </c>
      <c r="BA766" t="s">
        <v>74</v>
      </c>
      <c r="BB766">
        <v>2630</v>
      </c>
      <c r="BC766">
        <v>2633</v>
      </c>
      <c r="BD766" t="s">
        <v>74</v>
      </c>
      <c r="BE766" t="s">
        <v>14410</v>
      </c>
      <c r="BF766" t="str">
        <f>HYPERLINK("http://dx.doi.org/10.1021/ol500792x","http://dx.doi.org/10.1021/ol500792x")</f>
        <v>http://dx.doi.org/10.1021/ol500792x</v>
      </c>
      <c r="BG766" t="s">
        <v>74</v>
      </c>
      <c r="BH766" t="s">
        <v>74</v>
      </c>
      <c r="BI766">
        <v>4</v>
      </c>
      <c r="BJ766" t="s">
        <v>14411</v>
      </c>
      <c r="BK766" t="s">
        <v>14412</v>
      </c>
      <c r="BL766" t="s">
        <v>14413</v>
      </c>
      <c r="BM766" t="s">
        <v>14414</v>
      </c>
      <c r="BN766">
        <v>24779517</v>
      </c>
      <c r="BO766" t="s">
        <v>359</v>
      </c>
      <c r="BP766" t="s">
        <v>74</v>
      </c>
      <c r="BQ766" t="s">
        <v>74</v>
      </c>
      <c r="BR766" t="s">
        <v>105</v>
      </c>
      <c r="BS766" t="s">
        <v>14415</v>
      </c>
      <c r="BT766" t="str">
        <f>HYPERLINK("https%3A%2F%2Fwww.webofscience.com%2Fwos%2Fwoscc%2Ffull-record%2FWOS:000336199200015","View Full Record in Web of Science")</f>
        <v>View Full Record in Web of Science</v>
      </c>
    </row>
    <row r="767" spans="1:72" x14ac:dyDescent="0.15">
      <c r="A767" t="s">
        <v>72</v>
      </c>
      <c r="B767" t="s">
        <v>14416</v>
      </c>
      <c r="C767" t="s">
        <v>74</v>
      </c>
      <c r="D767" t="s">
        <v>74</v>
      </c>
      <c r="E767" t="s">
        <v>74</v>
      </c>
      <c r="F767" t="s">
        <v>14417</v>
      </c>
      <c r="G767" t="s">
        <v>74</v>
      </c>
      <c r="H767" t="s">
        <v>74</v>
      </c>
      <c r="I767" t="s">
        <v>14418</v>
      </c>
      <c r="J767" t="s">
        <v>1629</v>
      </c>
      <c r="K767" t="s">
        <v>74</v>
      </c>
      <c r="L767" t="s">
        <v>74</v>
      </c>
      <c r="M767" t="s">
        <v>78</v>
      </c>
      <c r="N767" t="s">
        <v>1516</v>
      </c>
      <c r="O767" t="s">
        <v>74</v>
      </c>
      <c r="P767" t="s">
        <v>74</v>
      </c>
      <c r="Q767" t="s">
        <v>74</v>
      </c>
      <c r="R767" t="s">
        <v>74</v>
      </c>
      <c r="S767" t="s">
        <v>74</v>
      </c>
      <c r="T767" t="s">
        <v>74</v>
      </c>
      <c r="U767" t="s">
        <v>14419</v>
      </c>
      <c r="V767" t="s">
        <v>74</v>
      </c>
      <c r="W767" t="s">
        <v>14420</v>
      </c>
      <c r="X767" t="s">
        <v>14421</v>
      </c>
      <c r="Y767" t="s">
        <v>14422</v>
      </c>
      <c r="Z767" t="s">
        <v>14423</v>
      </c>
      <c r="AA767" t="s">
        <v>14424</v>
      </c>
      <c r="AB767" t="s">
        <v>14425</v>
      </c>
      <c r="AC767" t="s">
        <v>74</v>
      </c>
      <c r="AD767" t="s">
        <v>74</v>
      </c>
      <c r="AE767" t="s">
        <v>74</v>
      </c>
      <c r="AF767" t="s">
        <v>74</v>
      </c>
      <c r="AG767">
        <v>17</v>
      </c>
      <c r="AH767">
        <v>174</v>
      </c>
      <c r="AI767">
        <v>191</v>
      </c>
      <c r="AJ767">
        <v>1</v>
      </c>
      <c r="AK767">
        <v>97</v>
      </c>
      <c r="AL767" t="s">
        <v>1641</v>
      </c>
      <c r="AM767" t="s">
        <v>332</v>
      </c>
      <c r="AN767" t="s">
        <v>1642</v>
      </c>
      <c r="AO767" t="s">
        <v>1643</v>
      </c>
      <c r="AP767" t="s">
        <v>1644</v>
      </c>
      <c r="AQ767" t="s">
        <v>74</v>
      </c>
      <c r="AR767" t="s">
        <v>1629</v>
      </c>
      <c r="AS767" t="s">
        <v>1645</v>
      </c>
      <c r="AT767" t="s">
        <v>14388</v>
      </c>
      <c r="AU767">
        <v>2014</v>
      </c>
      <c r="AV767">
        <v>344</v>
      </c>
      <c r="AW767">
        <v>6185</v>
      </c>
      <c r="AX767" t="s">
        <v>74</v>
      </c>
      <c r="AY767" t="s">
        <v>74</v>
      </c>
      <c r="AZ767" t="s">
        <v>74</v>
      </c>
      <c r="BA767" t="s">
        <v>74</v>
      </c>
      <c r="BB767">
        <v>696</v>
      </c>
      <c r="BC767">
        <v>698</v>
      </c>
      <c r="BD767" t="s">
        <v>74</v>
      </c>
      <c r="BE767" t="s">
        <v>14426</v>
      </c>
      <c r="BF767" t="str">
        <f>HYPERLINK("http://dx.doi.org/10.1126/science.1251458","http://dx.doi.org/10.1126/science.1251458")</f>
        <v>http://dx.doi.org/10.1126/science.1251458</v>
      </c>
      <c r="BG767" t="s">
        <v>74</v>
      </c>
      <c r="BH767" t="s">
        <v>74</v>
      </c>
      <c r="BI767">
        <v>3</v>
      </c>
      <c r="BJ767" t="s">
        <v>660</v>
      </c>
      <c r="BK767" t="s">
        <v>1690</v>
      </c>
      <c r="BL767" t="s">
        <v>661</v>
      </c>
      <c r="BM767" t="s">
        <v>14390</v>
      </c>
      <c r="BN767">
        <v>24833377</v>
      </c>
      <c r="BO767" t="s">
        <v>262</v>
      </c>
      <c r="BP767" t="s">
        <v>74</v>
      </c>
      <c r="BQ767" t="s">
        <v>74</v>
      </c>
      <c r="BR767" t="s">
        <v>105</v>
      </c>
      <c r="BS767" t="s">
        <v>14427</v>
      </c>
      <c r="BT767" t="str">
        <f>HYPERLINK("https%3A%2F%2Fwww.webofscience.com%2Fwos%2Fwoscc%2Ffull-record%2FWOS:000335912900022","View Full Record in Web of Science")</f>
        <v>View Full Record in Web of Science</v>
      </c>
    </row>
    <row r="768" spans="1:72" x14ac:dyDescent="0.15">
      <c r="A768" t="s">
        <v>72</v>
      </c>
      <c r="B768" t="s">
        <v>14428</v>
      </c>
      <c r="C768" t="s">
        <v>74</v>
      </c>
      <c r="D768" t="s">
        <v>74</v>
      </c>
      <c r="E768" t="s">
        <v>74</v>
      </c>
      <c r="F768" t="s">
        <v>14429</v>
      </c>
      <c r="G768" t="s">
        <v>74</v>
      </c>
      <c r="H768" t="s">
        <v>74</v>
      </c>
      <c r="I768" t="s">
        <v>14430</v>
      </c>
      <c r="J768" t="s">
        <v>1629</v>
      </c>
      <c r="K768" t="s">
        <v>74</v>
      </c>
      <c r="L768" t="s">
        <v>74</v>
      </c>
      <c r="M768" t="s">
        <v>78</v>
      </c>
      <c r="N768" t="s">
        <v>79</v>
      </c>
      <c r="O768" t="s">
        <v>74</v>
      </c>
      <c r="P768" t="s">
        <v>74</v>
      </c>
      <c r="Q768" t="s">
        <v>74</v>
      </c>
      <c r="R768" t="s">
        <v>74</v>
      </c>
      <c r="S768" t="s">
        <v>74</v>
      </c>
      <c r="T768" t="s">
        <v>74</v>
      </c>
      <c r="U768" t="s">
        <v>14431</v>
      </c>
      <c r="V768" t="s">
        <v>14432</v>
      </c>
      <c r="W768" t="s">
        <v>14433</v>
      </c>
      <c r="X768" t="s">
        <v>7774</v>
      </c>
      <c r="Y768" t="s">
        <v>14434</v>
      </c>
      <c r="Z768" t="s">
        <v>74</v>
      </c>
      <c r="AA768" t="s">
        <v>14435</v>
      </c>
      <c r="AB768" t="s">
        <v>14436</v>
      </c>
      <c r="AC768" t="s">
        <v>14437</v>
      </c>
      <c r="AD768" t="s">
        <v>14438</v>
      </c>
      <c r="AE768" t="s">
        <v>14439</v>
      </c>
      <c r="AF768" t="s">
        <v>74</v>
      </c>
      <c r="AG768">
        <v>32</v>
      </c>
      <c r="AH768">
        <v>586</v>
      </c>
      <c r="AI768">
        <v>671</v>
      </c>
      <c r="AJ768">
        <v>4</v>
      </c>
      <c r="AK768">
        <v>259</v>
      </c>
      <c r="AL768" t="s">
        <v>1641</v>
      </c>
      <c r="AM768" t="s">
        <v>332</v>
      </c>
      <c r="AN768" t="s">
        <v>1642</v>
      </c>
      <c r="AO768" t="s">
        <v>1643</v>
      </c>
      <c r="AP768" t="s">
        <v>1644</v>
      </c>
      <c r="AQ768" t="s">
        <v>74</v>
      </c>
      <c r="AR768" t="s">
        <v>1629</v>
      </c>
      <c r="AS768" t="s">
        <v>1645</v>
      </c>
      <c r="AT768" t="s">
        <v>14388</v>
      </c>
      <c r="AU768">
        <v>2014</v>
      </c>
      <c r="AV768">
        <v>344</v>
      </c>
      <c r="AW768">
        <v>6185</v>
      </c>
      <c r="AX768" t="s">
        <v>74</v>
      </c>
      <c r="AY768" t="s">
        <v>74</v>
      </c>
      <c r="AZ768" t="s">
        <v>74</v>
      </c>
      <c r="BA768" t="s">
        <v>74</v>
      </c>
      <c r="BB768">
        <v>735</v>
      </c>
      <c r="BC768">
        <v>738</v>
      </c>
      <c r="BD768" t="s">
        <v>74</v>
      </c>
      <c r="BE768" t="s">
        <v>14440</v>
      </c>
      <c r="BF768" t="str">
        <f>HYPERLINK("http://dx.doi.org/10.1126/science.1249055","http://dx.doi.org/10.1126/science.1249055")</f>
        <v>http://dx.doi.org/10.1126/science.1249055</v>
      </c>
      <c r="BG768" t="s">
        <v>74</v>
      </c>
      <c r="BH768" t="s">
        <v>74</v>
      </c>
      <c r="BI768">
        <v>4</v>
      </c>
      <c r="BJ768" t="s">
        <v>660</v>
      </c>
      <c r="BK768" t="s">
        <v>102</v>
      </c>
      <c r="BL768" t="s">
        <v>661</v>
      </c>
      <c r="BM768" t="s">
        <v>14390</v>
      </c>
      <c r="BN768">
        <v>24821948</v>
      </c>
      <c r="BO768" t="s">
        <v>179</v>
      </c>
      <c r="BP768" t="s">
        <v>3371</v>
      </c>
      <c r="BQ768" t="s">
        <v>3372</v>
      </c>
      <c r="BR768" t="s">
        <v>105</v>
      </c>
      <c r="BS768" t="s">
        <v>14441</v>
      </c>
      <c r="BT768" t="str">
        <f>HYPERLINK("https%3A%2F%2Fwww.webofscience.com%2Fwos%2Fwoscc%2Ffull-record%2FWOS:000335912900038","View Full Record in Web of Science")</f>
        <v>View Full Record in Web of Science</v>
      </c>
    </row>
    <row r="769" spans="1:72" x14ac:dyDescent="0.15">
      <c r="A769" t="s">
        <v>72</v>
      </c>
      <c r="B769" t="s">
        <v>14442</v>
      </c>
      <c r="C769" t="s">
        <v>74</v>
      </c>
      <c r="D769" t="s">
        <v>74</v>
      </c>
      <c r="E769" t="s">
        <v>74</v>
      </c>
      <c r="F769" t="s">
        <v>14443</v>
      </c>
      <c r="G769" t="s">
        <v>74</v>
      </c>
      <c r="H769" t="s">
        <v>74</v>
      </c>
      <c r="I769" t="s">
        <v>14444</v>
      </c>
      <c r="J769" t="s">
        <v>1458</v>
      </c>
      <c r="K769" t="s">
        <v>74</v>
      </c>
      <c r="L769" t="s">
        <v>74</v>
      </c>
      <c r="M769" t="s">
        <v>78</v>
      </c>
      <c r="N769" t="s">
        <v>79</v>
      </c>
      <c r="O769" t="s">
        <v>74</v>
      </c>
      <c r="P769" t="s">
        <v>74</v>
      </c>
      <c r="Q769" t="s">
        <v>74</v>
      </c>
      <c r="R769" t="s">
        <v>74</v>
      </c>
      <c r="S769" t="s">
        <v>74</v>
      </c>
      <c r="T769" t="s">
        <v>14445</v>
      </c>
      <c r="U769" t="s">
        <v>14446</v>
      </c>
      <c r="V769" t="s">
        <v>14447</v>
      </c>
      <c r="W769" t="s">
        <v>14448</v>
      </c>
      <c r="X769" t="s">
        <v>14449</v>
      </c>
      <c r="Y769" t="s">
        <v>14450</v>
      </c>
      <c r="Z769" t="s">
        <v>14451</v>
      </c>
      <c r="AA769" t="s">
        <v>74</v>
      </c>
      <c r="AB769" t="s">
        <v>74</v>
      </c>
      <c r="AC769" t="s">
        <v>14452</v>
      </c>
      <c r="AD769" t="s">
        <v>14453</v>
      </c>
      <c r="AE769" t="s">
        <v>14454</v>
      </c>
      <c r="AF769" t="s">
        <v>74</v>
      </c>
      <c r="AG769">
        <v>47</v>
      </c>
      <c r="AH769">
        <v>33</v>
      </c>
      <c r="AI769">
        <v>34</v>
      </c>
      <c r="AJ769">
        <v>0</v>
      </c>
      <c r="AK769">
        <v>35</v>
      </c>
      <c r="AL769" t="s">
        <v>250</v>
      </c>
      <c r="AM769" t="s">
        <v>251</v>
      </c>
      <c r="AN769" t="s">
        <v>252</v>
      </c>
      <c r="AO769" t="s">
        <v>1471</v>
      </c>
      <c r="AP769" t="s">
        <v>74</v>
      </c>
      <c r="AQ769" t="s">
        <v>74</v>
      </c>
      <c r="AR769" t="s">
        <v>1472</v>
      </c>
      <c r="AS769" t="s">
        <v>1473</v>
      </c>
      <c r="AT769" t="s">
        <v>14455</v>
      </c>
      <c r="AU769">
        <v>2014</v>
      </c>
      <c r="AV769">
        <v>92</v>
      </c>
      <c r="AW769" t="s">
        <v>74</v>
      </c>
      <c r="AX769" t="s">
        <v>74</v>
      </c>
      <c r="AY769" t="s">
        <v>74</v>
      </c>
      <c r="AZ769" t="s">
        <v>258</v>
      </c>
      <c r="BA769" t="s">
        <v>74</v>
      </c>
      <c r="BB769">
        <v>32</v>
      </c>
      <c r="BC769">
        <v>39</v>
      </c>
      <c r="BD769" t="s">
        <v>74</v>
      </c>
      <c r="BE769" t="s">
        <v>14456</v>
      </c>
      <c r="BF769" t="str">
        <f>HYPERLINK("http://dx.doi.org/10.1016/j.quascirev.2013.07.030","http://dx.doi.org/10.1016/j.quascirev.2013.07.030")</f>
        <v>http://dx.doi.org/10.1016/j.quascirev.2013.07.030</v>
      </c>
      <c r="BG769" t="s">
        <v>74</v>
      </c>
      <c r="BH769" t="s">
        <v>74</v>
      </c>
      <c r="BI769">
        <v>8</v>
      </c>
      <c r="BJ769" t="s">
        <v>1427</v>
      </c>
      <c r="BK769" t="s">
        <v>102</v>
      </c>
      <c r="BL769" t="s">
        <v>1428</v>
      </c>
      <c r="BM769" t="s">
        <v>14457</v>
      </c>
      <c r="BN769" t="s">
        <v>74</v>
      </c>
      <c r="BO769" t="s">
        <v>289</v>
      </c>
      <c r="BP769" t="s">
        <v>74</v>
      </c>
      <c r="BQ769" t="s">
        <v>74</v>
      </c>
      <c r="BR769" t="s">
        <v>105</v>
      </c>
      <c r="BS769" t="s">
        <v>14458</v>
      </c>
      <c r="BT769" t="str">
        <f>HYPERLINK("https%3A%2F%2Fwww.webofscience.com%2Fwos%2Fwoscc%2Ffull-record%2FWOS:000337198400003","View Full Record in Web of Science")</f>
        <v>View Full Record in Web of Science</v>
      </c>
    </row>
    <row r="770" spans="1:72" x14ac:dyDescent="0.15">
      <c r="A770" t="s">
        <v>72</v>
      </c>
      <c r="B770" t="s">
        <v>14459</v>
      </c>
      <c r="C770" t="s">
        <v>74</v>
      </c>
      <c r="D770" t="s">
        <v>74</v>
      </c>
      <c r="E770" t="s">
        <v>74</v>
      </c>
      <c r="F770" t="s">
        <v>14460</v>
      </c>
      <c r="G770" t="s">
        <v>74</v>
      </c>
      <c r="H770" t="s">
        <v>74</v>
      </c>
      <c r="I770" t="s">
        <v>14461</v>
      </c>
      <c r="J770" t="s">
        <v>14462</v>
      </c>
      <c r="K770" t="s">
        <v>74</v>
      </c>
      <c r="L770" t="s">
        <v>74</v>
      </c>
      <c r="M770" t="s">
        <v>78</v>
      </c>
      <c r="N770" t="s">
        <v>79</v>
      </c>
      <c r="O770" t="s">
        <v>74</v>
      </c>
      <c r="P770" t="s">
        <v>74</v>
      </c>
      <c r="Q770" t="s">
        <v>74</v>
      </c>
      <c r="R770" t="s">
        <v>74</v>
      </c>
      <c r="S770" t="s">
        <v>74</v>
      </c>
      <c r="T770" t="s">
        <v>14463</v>
      </c>
      <c r="U770" t="s">
        <v>14464</v>
      </c>
      <c r="V770" t="s">
        <v>14465</v>
      </c>
      <c r="W770" t="s">
        <v>14466</v>
      </c>
      <c r="X770" t="s">
        <v>14467</v>
      </c>
      <c r="Y770" t="s">
        <v>14468</v>
      </c>
      <c r="Z770" t="s">
        <v>14469</v>
      </c>
      <c r="AA770" t="s">
        <v>14470</v>
      </c>
      <c r="AB770" t="s">
        <v>14471</v>
      </c>
      <c r="AC770" t="s">
        <v>14472</v>
      </c>
      <c r="AD770" t="s">
        <v>14473</v>
      </c>
      <c r="AE770" t="s">
        <v>14474</v>
      </c>
      <c r="AF770" t="s">
        <v>74</v>
      </c>
      <c r="AG770">
        <v>19</v>
      </c>
      <c r="AH770">
        <v>14</v>
      </c>
      <c r="AI770">
        <v>16</v>
      </c>
      <c r="AJ770">
        <v>1</v>
      </c>
      <c r="AK770">
        <v>7</v>
      </c>
      <c r="AL770" t="s">
        <v>601</v>
      </c>
      <c r="AM770" t="s">
        <v>251</v>
      </c>
      <c r="AN770" t="s">
        <v>602</v>
      </c>
      <c r="AO770" t="s">
        <v>14475</v>
      </c>
      <c r="AP770" t="s">
        <v>14476</v>
      </c>
      <c r="AQ770" t="s">
        <v>74</v>
      </c>
      <c r="AR770" t="s">
        <v>14477</v>
      </c>
      <c r="AS770" t="s">
        <v>14478</v>
      </c>
      <c r="AT770" t="s">
        <v>14455</v>
      </c>
      <c r="AU770">
        <v>2014</v>
      </c>
      <c r="AV770">
        <v>53</v>
      </c>
      <c r="AW770">
        <v>10</v>
      </c>
      <c r="AX770" t="s">
        <v>74</v>
      </c>
      <c r="AY770" t="s">
        <v>74</v>
      </c>
      <c r="AZ770" t="s">
        <v>74</v>
      </c>
      <c r="BA770" t="s">
        <v>74</v>
      </c>
      <c r="BB770">
        <v>1432</v>
      </c>
      <c r="BC770">
        <v>1437</v>
      </c>
      <c r="BD770" t="s">
        <v>74</v>
      </c>
      <c r="BE770" t="s">
        <v>14479</v>
      </c>
      <c r="BF770" t="str">
        <f>HYPERLINK("http://dx.doi.org/10.1016/j.asr.2013.06.026","http://dx.doi.org/10.1016/j.asr.2013.06.026")</f>
        <v>http://dx.doi.org/10.1016/j.asr.2013.06.026</v>
      </c>
      <c r="BG770" t="s">
        <v>74</v>
      </c>
      <c r="BH770" t="s">
        <v>74</v>
      </c>
      <c r="BI770">
        <v>6</v>
      </c>
      <c r="BJ770" t="s">
        <v>14480</v>
      </c>
      <c r="BK770" t="s">
        <v>102</v>
      </c>
      <c r="BL770" t="s">
        <v>14481</v>
      </c>
      <c r="BM770" t="s">
        <v>14482</v>
      </c>
      <c r="BN770" t="s">
        <v>74</v>
      </c>
      <c r="BO770" t="s">
        <v>262</v>
      </c>
      <c r="BP770" t="s">
        <v>74</v>
      </c>
      <c r="BQ770" t="s">
        <v>74</v>
      </c>
      <c r="BR770" t="s">
        <v>105</v>
      </c>
      <c r="BS770" t="s">
        <v>14483</v>
      </c>
      <c r="BT770" t="str">
        <f>HYPERLINK("https%3A%2F%2Fwww.webofscience.com%2Fwos%2Fwoscc%2Ffull-record%2FWOS:000337013700007","View Full Record in Web of Science")</f>
        <v>View Full Record in Web of Science</v>
      </c>
    </row>
    <row r="771" spans="1:72" x14ac:dyDescent="0.15">
      <c r="A771" t="s">
        <v>72</v>
      </c>
      <c r="B771" t="s">
        <v>14484</v>
      </c>
      <c r="C771" t="s">
        <v>74</v>
      </c>
      <c r="D771" t="s">
        <v>74</v>
      </c>
      <c r="E771" t="s">
        <v>74</v>
      </c>
      <c r="F771" t="s">
        <v>14485</v>
      </c>
      <c r="G771" t="s">
        <v>74</v>
      </c>
      <c r="H771" t="s">
        <v>74</v>
      </c>
      <c r="I771" t="s">
        <v>14486</v>
      </c>
      <c r="J771" t="s">
        <v>2984</v>
      </c>
      <c r="K771" t="s">
        <v>74</v>
      </c>
      <c r="L771" t="s">
        <v>74</v>
      </c>
      <c r="M771" t="s">
        <v>78</v>
      </c>
      <c r="N771" t="s">
        <v>79</v>
      </c>
      <c r="O771" t="s">
        <v>74</v>
      </c>
      <c r="P771" t="s">
        <v>74</v>
      </c>
      <c r="Q771" t="s">
        <v>74</v>
      </c>
      <c r="R771" t="s">
        <v>74</v>
      </c>
      <c r="S771" t="s">
        <v>74</v>
      </c>
      <c r="T771" t="s">
        <v>14487</v>
      </c>
      <c r="U771" t="s">
        <v>14488</v>
      </c>
      <c r="V771" t="s">
        <v>14489</v>
      </c>
      <c r="W771" t="s">
        <v>14490</v>
      </c>
      <c r="X771" t="s">
        <v>14491</v>
      </c>
      <c r="Y771" t="s">
        <v>14492</v>
      </c>
      <c r="Z771" t="s">
        <v>14493</v>
      </c>
      <c r="AA771" t="s">
        <v>14494</v>
      </c>
      <c r="AB771" t="s">
        <v>14495</v>
      </c>
      <c r="AC771" t="s">
        <v>14496</v>
      </c>
      <c r="AD771" t="s">
        <v>14496</v>
      </c>
      <c r="AE771" t="s">
        <v>14497</v>
      </c>
      <c r="AF771" t="s">
        <v>74</v>
      </c>
      <c r="AG771">
        <v>83</v>
      </c>
      <c r="AH771">
        <v>21</v>
      </c>
      <c r="AI771">
        <v>22</v>
      </c>
      <c r="AJ771">
        <v>0</v>
      </c>
      <c r="AK771">
        <v>41</v>
      </c>
      <c r="AL771" t="s">
        <v>123</v>
      </c>
      <c r="AM771" t="s">
        <v>124</v>
      </c>
      <c r="AN771" t="s">
        <v>125</v>
      </c>
      <c r="AO771" t="s">
        <v>2997</v>
      </c>
      <c r="AP771" t="s">
        <v>2998</v>
      </c>
      <c r="AQ771" t="s">
        <v>74</v>
      </c>
      <c r="AR771" t="s">
        <v>2999</v>
      </c>
      <c r="AS771" t="s">
        <v>3000</v>
      </c>
      <c r="AT771" t="s">
        <v>14455</v>
      </c>
      <c r="AU771">
        <v>2014</v>
      </c>
      <c r="AV771">
        <v>394</v>
      </c>
      <c r="AW771" t="s">
        <v>74</v>
      </c>
      <c r="AX771" t="s">
        <v>74</v>
      </c>
      <c r="AY771" t="s">
        <v>74</v>
      </c>
      <c r="AZ771" t="s">
        <v>74</v>
      </c>
      <c r="BA771" t="s">
        <v>74</v>
      </c>
      <c r="BB771">
        <v>38</v>
      </c>
      <c r="BC771">
        <v>47</v>
      </c>
      <c r="BD771" t="s">
        <v>74</v>
      </c>
      <c r="BE771" t="s">
        <v>14498</v>
      </c>
      <c r="BF771" t="str">
        <f>HYPERLINK("http://dx.doi.org/10.1016/j.epsl.2014.03.009","http://dx.doi.org/10.1016/j.epsl.2014.03.009")</f>
        <v>http://dx.doi.org/10.1016/j.epsl.2014.03.009</v>
      </c>
      <c r="BG771" t="s">
        <v>74</v>
      </c>
      <c r="BH771" t="s">
        <v>74</v>
      </c>
      <c r="BI771">
        <v>10</v>
      </c>
      <c r="BJ771" t="s">
        <v>425</v>
      </c>
      <c r="BK771" t="s">
        <v>102</v>
      </c>
      <c r="BL771" t="s">
        <v>425</v>
      </c>
      <c r="BM771" t="s">
        <v>14499</v>
      </c>
      <c r="BN771" t="s">
        <v>74</v>
      </c>
      <c r="BO771" t="s">
        <v>74</v>
      </c>
      <c r="BP771" t="s">
        <v>74</v>
      </c>
      <c r="BQ771" t="s">
        <v>74</v>
      </c>
      <c r="BR771" t="s">
        <v>105</v>
      </c>
      <c r="BS771" t="s">
        <v>14500</v>
      </c>
      <c r="BT771" t="str">
        <f>HYPERLINK("https%3A%2F%2Fwww.webofscience.com%2Fwos%2Fwoscc%2Ffull-record%2FWOS:000335613300005","View Full Record in Web of Science")</f>
        <v>View Full Record in Web of Science</v>
      </c>
    </row>
    <row r="772" spans="1:72" x14ac:dyDescent="0.15">
      <c r="A772" t="s">
        <v>72</v>
      </c>
      <c r="B772" t="s">
        <v>14501</v>
      </c>
      <c r="C772" t="s">
        <v>74</v>
      </c>
      <c r="D772" t="s">
        <v>74</v>
      </c>
      <c r="E772" t="s">
        <v>74</v>
      </c>
      <c r="F772" t="s">
        <v>14502</v>
      </c>
      <c r="G772" t="s">
        <v>74</v>
      </c>
      <c r="H772" t="s">
        <v>74</v>
      </c>
      <c r="I772" t="s">
        <v>14503</v>
      </c>
      <c r="J772" t="s">
        <v>2984</v>
      </c>
      <c r="K772" t="s">
        <v>74</v>
      </c>
      <c r="L772" t="s">
        <v>74</v>
      </c>
      <c r="M772" t="s">
        <v>78</v>
      </c>
      <c r="N772" t="s">
        <v>79</v>
      </c>
      <c r="O772" t="s">
        <v>74</v>
      </c>
      <c r="P772" t="s">
        <v>74</v>
      </c>
      <c r="Q772" t="s">
        <v>74</v>
      </c>
      <c r="R772" t="s">
        <v>74</v>
      </c>
      <c r="S772" t="s">
        <v>74</v>
      </c>
      <c r="T772" t="s">
        <v>14504</v>
      </c>
      <c r="U772" t="s">
        <v>14505</v>
      </c>
      <c r="V772" t="s">
        <v>14506</v>
      </c>
      <c r="W772" t="s">
        <v>14507</v>
      </c>
      <c r="X772" t="s">
        <v>14508</v>
      </c>
      <c r="Y772" t="s">
        <v>14509</v>
      </c>
      <c r="Z772" t="s">
        <v>14510</v>
      </c>
      <c r="AA772" t="s">
        <v>14511</v>
      </c>
      <c r="AB772" t="s">
        <v>14512</v>
      </c>
      <c r="AC772" t="s">
        <v>14513</v>
      </c>
      <c r="AD772" t="s">
        <v>14514</v>
      </c>
      <c r="AE772" t="s">
        <v>14515</v>
      </c>
      <c r="AF772" t="s">
        <v>74</v>
      </c>
      <c r="AG772">
        <v>68</v>
      </c>
      <c r="AH772">
        <v>37</v>
      </c>
      <c r="AI772">
        <v>38</v>
      </c>
      <c r="AJ772">
        <v>1</v>
      </c>
      <c r="AK772">
        <v>50</v>
      </c>
      <c r="AL772" t="s">
        <v>753</v>
      </c>
      <c r="AM772" t="s">
        <v>124</v>
      </c>
      <c r="AN772" t="s">
        <v>754</v>
      </c>
      <c r="AO772" t="s">
        <v>2997</v>
      </c>
      <c r="AP772" t="s">
        <v>2998</v>
      </c>
      <c r="AQ772" t="s">
        <v>74</v>
      </c>
      <c r="AR772" t="s">
        <v>2999</v>
      </c>
      <c r="AS772" t="s">
        <v>3000</v>
      </c>
      <c r="AT772" t="s">
        <v>14455</v>
      </c>
      <c r="AU772">
        <v>2014</v>
      </c>
      <c r="AV772">
        <v>394</v>
      </c>
      <c r="AW772" t="s">
        <v>74</v>
      </c>
      <c r="AX772" t="s">
        <v>74</v>
      </c>
      <c r="AY772" t="s">
        <v>74</v>
      </c>
      <c r="AZ772" t="s">
        <v>74</v>
      </c>
      <c r="BA772" t="s">
        <v>74</v>
      </c>
      <c r="BB772">
        <v>99</v>
      </c>
      <c r="BC772">
        <v>110</v>
      </c>
      <c r="BD772" t="s">
        <v>74</v>
      </c>
      <c r="BE772" t="s">
        <v>14516</v>
      </c>
      <c r="BF772" t="str">
        <f>HYPERLINK("http://dx.doi.org/10.1016/j.epsl.2014.03.008","http://dx.doi.org/10.1016/j.epsl.2014.03.008")</f>
        <v>http://dx.doi.org/10.1016/j.epsl.2014.03.008</v>
      </c>
      <c r="BG772" t="s">
        <v>74</v>
      </c>
      <c r="BH772" t="s">
        <v>74</v>
      </c>
      <c r="BI772">
        <v>12</v>
      </c>
      <c r="BJ772" t="s">
        <v>425</v>
      </c>
      <c r="BK772" t="s">
        <v>102</v>
      </c>
      <c r="BL772" t="s">
        <v>425</v>
      </c>
      <c r="BM772" t="s">
        <v>14499</v>
      </c>
      <c r="BN772" t="s">
        <v>74</v>
      </c>
      <c r="BO772" t="s">
        <v>359</v>
      </c>
      <c r="BP772" t="s">
        <v>74</v>
      </c>
      <c r="BQ772" t="s">
        <v>74</v>
      </c>
      <c r="BR772" t="s">
        <v>105</v>
      </c>
      <c r="BS772" t="s">
        <v>14517</v>
      </c>
      <c r="BT772" t="str">
        <f>HYPERLINK("https%3A%2F%2Fwww.webofscience.com%2Fwos%2Fwoscc%2Ffull-record%2FWOS:000335613300011","View Full Record in Web of Science")</f>
        <v>View Full Record in Web of Science</v>
      </c>
    </row>
    <row r="773" spans="1:72" x14ac:dyDescent="0.15">
      <c r="A773" t="s">
        <v>72</v>
      </c>
      <c r="B773" t="s">
        <v>14518</v>
      </c>
      <c r="C773" t="s">
        <v>74</v>
      </c>
      <c r="D773" t="s">
        <v>74</v>
      </c>
      <c r="E773" t="s">
        <v>74</v>
      </c>
      <c r="F773" t="s">
        <v>14519</v>
      </c>
      <c r="G773" t="s">
        <v>74</v>
      </c>
      <c r="H773" t="s">
        <v>74</v>
      </c>
      <c r="I773" t="s">
        <v>14520</v>
      </c>
      <c r="J773" t="s">
        <v>14521</v>
      </c>
      <c r="K773" t="s">
        <v>74</v>
      </c>
      <c r="L773" t="s">
        <v>74</v>
      </c>
      <c r="M773" t="s">
        <v>78</v>
      </c>
      <c r="N773" t="s">
        <v>79</v>
      </c>
      <c r="O773" t="s">
        <v>74</v>
      </c>
      <c r="P773" t="s">
        <v>74</v>
      </c>
      <c r="Q773" t="s">
        <v>74</v>
      </c>
      <c r="R773" t="s">
        <v>74</v>
      </c>
      <c r="S773" t="s">
        <v>74</v>
      </c>
      <c r="T773" t="s">
        <v>14522</v>
      </c>
      <c r="U773" t="s">
        <v>14523</v>
      </c>
      <c r="V773" t="s">
        <v>14524</v>
      </c>
      <c r="W773" t="s">
        <v>14525</v>
      </c>
      <c r="X773" t="s">
        <v>14526</v>
      </c>
      <c r="Y773" t="s">
        <v>14527</v>
      </c>
      <c r="Z773" t="s">
        <v>14528</v>
      </c>
      <c r="AA773" t="s">
        <v>14529</v>
      </c>
      <c r="AB773" t="s">
        <v>14530</v>
      </c>
      <c r="AC773" t="s">
        <v>14531</v>
      </c>
      <c r="AD773" t="s">
        <v>14532</v>
      </c>
      <c r="AE773" t="s">
        <v>14533</v>
      </c>
      <c r="AF773" t="s">
        <v>74</v>
      </c>
      <c r="AG773">
        <v>34</v>
      </c>
      <c r="AH773">
        <v>6</v>
      </c>
      <c r="AI773">
        <v>6</v>
      </c>
      <c r="AJ773">
        <v>0</v>
      </c>
      <c r="AK773">
        <v>15</v>
      </c>
      <c r="AL773" t="s">
        <v>250</v>
      </c>
      <c r="AM773" t="s">
        <v>251</v>
      </c>
      <c r="AN773" t="s">
        <v>252</v>
      </c>
      <c r="AO773" t="s">
        <v>14534</v>
      </c>
      <c r="AP773" t="s">
        <v>14535</v>
      </c>
      <c r="AQ773" t="s">
        <v>74</v>
      </c>
      <c r="AR773" t="s">
        <v>14536</v>
      </c>
      <c r="AS773" t="s">
        <v>14537</v>
      </c>
      <c r="AT773" t="s">
        <v>14455</v>
      </c>
      <c r="AU773">
        <v>2014</v>
      </c>
      <c r="AV773">
        <v>82</v>
      </c>
      <c r="AW773" t="s">
        <v>74</v>
      </c>
      <c r="AX773" t="s">
        <v>74</v>
      </c>
      <c r="AY773" t="s">
        <v>74</v>
      </c>
      <c r="AZ773" t="s">
        <v>74</v>
      </c>
      <c r="BA773" t="s">
        <v>74</v>
      </c>
      <c r="BB773">
        <v>52</v>
      </c>
      <c r="BC773">
        <v>64</v>
      </c>
      <c r="BD773" t="s">
        <v>74</v>
      </c>
      <c r="BE773" t="s">
        <v>14538</v>
      </c>
      <c r="BF773" t="str">
        <f>HYPERLINK("http://dx.doi.org/10.1016/j.oceaneng.2014.02.030","http://dx.doi.org/10.1016/j.oceaneng.2014.02.030")</f>
        <v>http://dx.doi.org/10.1016/j.oceaneng.2014.02.030</v>
      </c>
      <c r="BG773" t="s">
        <v>74</v>
      </c>
      <c r="BH773" t="s">
        <v>74</v>
      </c>
      <c r="BI773">
        <v>13</v>
      </c>
      <c r="BJ773" t="s">
        <v>14539</v>
      </c>
      <c r="BK773" t="s">
        <v>102</v>
      </c>
      <c r="BL773" t="s">
        <v>1863</v>
      </c>
      <c r="BM773" t="s">
        <v>14540</v>
      </c>
      <c r="BN773" t="s">
        <v>74</v>
      </c>
      <c r="BO773" t="s">
        <v>74</v>
      </c>
      <c r="BP773" t="s">
        <v>74</v>
      </c>
      <c r="BQ773" t="s">
        <v>74</v>
      </c>
      <c r="BR773" t="s">
        <v>105</v>
      </c>
      <c r="BS773" t="s">
        <v>14541</v>
      </c>
      <c r="BT773" t="str">
        <f>HYPERLINK("https%3A%2F%2Fwww.webofscience.com%2Fwos%2Fwoscc%2Ffull-record%2FWOS:000335280000006","View Full Record in Web of Science")</f>
        <v>View Full Record in Web of Science</v>
      </c>
    </row>
    <row r="774" spans="1:72" x14ac:dyDescent="0.15">
      <c r="A774" t="s">
        <v>72</v>
      </c>
      <c r="B774" t="s">
        <v>14542</v>
      </c>
      <c r="C774" t="s">
        <v>74</v>
      </c>
      <c r="D774" t="s">
        <v>74</v>
      </c>
      <c r="E774" t="s">
        <v>74</v>
      </c>
      <c r="F774" t="s">
        <v>14543</v>
      </c>
      <c r="G774" t="s">
        <v>74</v>
      </c>
      <c r="H774" t="s">
        <v>74</v>
      </c>
      <c r="I774" t="s">
        <v>14544</v>
      </c>
      <c r="J774" t="s">
        <v>1386</v>
      </c>
      <c r="K774" t="s">
        <v>74</v>
      </c>
      <c r="L774" t="s">
        <v>74</v>
      </c>
      <c r="M774" t="s">
        <v>78</v>
      </c>
      <c r="N774" t="s">
        <v>79</v>
      </c>
      <c r="O774" t="s">
        <v>74</v>
      </c>
      <c r="P774" t="s">
        <v>74</v>
      </c>
      <c r="Q774" t="s">
        <v>74</v>
      </c>
      <c r="R774" t="s">
        <v>74</v>
      </c>
      <c r="S774" t="s">
        <v>74</v>
      </c>
      <c r="T774" t="s">
        <v>14545</v>
      </c>
      <c r="U774" t="s">
        <v>14546</v>
      </c>
      <c r="V774" t="s">
        <v>14547</v>
      </c>
      <c r="W774" t="s">
        <v>14548</v>
      </c>
      <c r="X774" t="s">
        <v>14549</v>
      </c>
      <c r="Y774" t="s">
        <v>14550</v>
      </c>
      <c r="Z774" t="s">
        <v>14551</v>
      </c>
      <c r="AA774" t="s">
        <v>14552</v>
      </c>
      <c r="AB774" t="s">
        <v>14553</v>
      </c>
      <c r="AC774" t="s">
        <v>14554</v>
      </c>
      <c r="AD774" t="s">
        <v>10978</v>
      </c>
      <c r="AE774" t="s">
        <v>14555</v>
      </c>
      <c r="AF774" t="s">
        <v>74</v>
      </c>
      <c r="AG774">
        <v>114</v>
      </c>
      <c r="AH774">
        <v>24</v>
      </c>
      <c r="AI774">
        <v>33</v>
      </c>
      <c r="AJ774">
        <v>0</v>
      </c>
      <c r="AK774">
        <v>21</v>
      </c>
      <c r="AL774" t="s">
        <v>753</v>
      </c>
      <c r="AM774" t="s">
        <v>124</v>
      </c>
      <c r="AN774" t="s">
        <v>754</v>
      </c>
      <c r="AO774" t="s">
        <v>1397</v>
      </c>
      <c r="AP774" t="s">
        <v>1398</v>
      </c>
      <c r="AQ774" t="s">
        <v>74</v>
      </c>
      <c r="AR774" t="s">
        <v>1399</v>
      </c>
      <c r="AS774" t="s">
        <v>1400</v>
      </c>
      <c r="AT774" t="s">
        <v>14455</v>
      </c>
      <c r="AU774">
        <v>2014</v>
      </c>
      <c r="AV774">
        <v>402</v>
      </c>
      <c r="AW774" t="s">
        <v>74</v>
      </c>
      <c r="AX774" t="s">
        <v>74</v>
      </c>
      <c r="AY774" t="s">
        <v>74</v>
      </c>
      <c r="AZ774" t="s">
        <v>74</v>
      </c>
      <c r="BA774" t="s">
        <v>74</v>
      </c>
      <c r="BB774">
        <v>55</v>
      </c>
      <c r="BC774">
        <v>72</v>
      </c>
      <c r="BD774" t="s">
        <v>74</v>
      </c>
      <c r="BE774" t="s">
        <v>14556</v>
      </c>
      <c r="BF774" t="str">
        <f>HYPERLINK("http://dx.doi.org/10.1016/j.palaeo.2014.03.005","http://dx.doi.org/10.1016/j.palaeo.2014.03.005")</f>
        <v>http://dx.doi.org/10.1016/j.palaeo.2014.03.005</v>
      </c>
      <c r="BG774" t="s">
        <v>74</v>
      </c>
      <c r="BH774" t="s">
        <v>74</v>
      </c>
      <c r="BI774">
        <v>18</v>
      </c>
      <c r="BJ774" t="s">
        <v>1402</v>
      </c>
      <c r="BK774" t="s">
        <v>102</v>
      </c>
      <c r="BL774" t="s">
        <v>1403</v>
      </c>
      <c r="BM774" t="s">
        <v>14557</v>
      </c>
      <c r="BN774" t="s">
        <v>74</v>
      </c>
      <c r="BO774" t="s">
        <v>74</v>
      </c>
      <c r="BP774" t="s">
        <v>74</v>
      </c>
      <c r="BQ774" t="s">
        <v>74</v>
      </c>
      <c r="BR774" t="s">
        <v>105</v>
      </c>
      <c r="BS774" t="s">
        <v>14558</v>
      </c>
      <c r="BT774" t="str">
        <f>HYPERLINK("https%3A%2F%2Fwww.webofscience.com%2Fwos%2Fwoscc%2Ffull-record%2FWOS:000335282900005","View Full Record in Web of Science")</f>
        <v>View Full Record in Web of Science</v>
      </c>
    </row>
    <row r="775" spans="1:72" x14ac:dyDescent="0.15">
      <c r="A775" t="s">
        <v>72</v>
      </c>
      <c r="B775" t="s">
        <v>14559</v>
      </c>
      <c r="C775" t="s">
        <v>74</v>
      </c>
      <c r="D775" t="s">
        <v>74</v>
      </c>
      <c r="E775" t="s">
        <v>74</v>
      </c>
      <c r="F775" t="s">
        <v>14560</v>
      </c>
      <c r="G775" t="s">
        <v>74</v>
      </c>
      <c r="H775" t="s">
        <v>74</v>
      </c>
      <c r="I775" t="s">
        <v>14561</v>
      </c>
      <c r="J775" t="s">
        <v>1329</v>
      </c>
      <c r="K775" t="s">
        <v>74</v>
      </c>
      <c r="L775" t="s">
        <v>74</v>
      </c>
      <c r="M775" t="s">
        <v>78</v>
      </c>
      <c r="N775" t="s">
        <v>79</v>
      </c>
      <c r="O775" t="s">
        <v>74</v>
      </c>
      <c r="P775" t="s">
        <v>74</v>
      </c>
      <c r="Q775" t="s">
        <v>74</v>
      </c>
      <c r="R775" t="s">
        <v>74</v>
      </c>
      <c r="S775" t="s">
        <v>74</v>
      </c>
      <c r="T775" t="s">
        <v>74</v>
      </c>
      <c r="U775" t="s">
        <v>14562</v>
      </c>
      <c r="V775" t="s">
        <v>14563</v>
      </c>
      <c r="W775" t="s">
        <v>14564</v>
      </c>
      <c r="X775" t="s">
        <v>14565</v>
      </c>
      <c r="Y775" t="s">
        <v>14566</v>
      </c>
      <c r="Z775" t="s">
        <v>14567</v>
      </c>
      <c r="AA775" t="s">
        <v>14568</v>
      </c>
      <c r="AB775" t="s">
        <v>14569</v>
      </c>
      <c r="AC775" t="s">
        <v>14570</v>
      </c>
      <c r="AD775" t="s">
        <v>14571</v>
      </c>
      <c r="AE775" t="s">
        <v>14572</v>
      </c>
      <c r="AF775" t="s">
        <v>74</v>
      </c>
      <c r="AG775">
        <v>145</v>
      </c>
      <c r="AH775">
        <v>86</v>
      </c>
      <c r="AI775">
        <v>97</v>
      </c>
      <c r="AJ775">
        <v>5</v>
      </c>
      <c r="AK775">
        <v>82</v>
      </c>
      <c r="AL775" t="s">
        <v>250</v>
      </c>
      <c r="AM775" t="s">
        <v>251</v>
      </c>
      <c r="AN775" t="s">
        <v>252</v>
      </c>
      <c r="AO775" t="s">
        <v>1341</v>
      </c>
      <c r="AP775" t="s">
        <v>1342</v>
      </c>
      <c r="AQ775" t="s">
        <v>74</v>
      </c>
      <c r="AR775" t="s">
        <v>1343</v>
      </c>
      <c r="AS775" t="s">
        <v>1344</v>
      </c>
      <c r="AT775" t="s">
        <v>14455</v>
      </c>
      <c r="AU775">
        <v>2014</v>
      </c>
      <c r="AV775">
        <v>133</v>
      </c>
      <c r="AW775" t="s">
        <v>74</v>
      </c>
      <c r="AX775" t="s">
        <v>74</v>
      </c>
      <c r="AY775" t="s">
        <v>74</v>
      </c>
      <c r="AZ775" t="s">
        <v>74</v>
      </c>
      <c r="BA775" t="s">
        <v>74</v>
      </c>
      <c r="BB775">
        <v>47</v>
      </c>
      <c r="BC775">
        <v>67</v>
      </c>
      <c r="BD775" t="s">
        <v>74</v>
      </c>
      <c r="BE775" t="s">
        <v>14573</v>
      </c>
      <c r="BF775" t="str">
        <f>HYPERLINK("http://dx.doi.org/10.1016/j.gca.2014.02.023","http://dx.doi.org/10.1016/j.gca.2014.02.023")</f>
        <v>http://dx.doi.org/10.1016/j.gca.2014.02.023</v>
      </c>
      <c r="BG775" t="s">
        <v>74</v>
      </c>
      <c r="BH775" t="s">
        <v>74</v>
      </c>
      <c r="BI775">
        <v>21</v>
      </c>
      <c r="BJ775" t="s">
        <v>425</v>
      </c>
      <c r="BK775" t="s">
        <v>102</v>
      </c>
      <c r="BL775" t="s">
        <v>425</v>
      </c>
      <c r="BM775" t="s">
        <v>14574</v>
      </c>
      <c r="BN775" t="s">
        <v>74</v>
      </c>
      <c r="BO775" t="s">
        <v>5136</v>
      </c>
      <c r="BP775" t="s">
        <v>74</v>
      </c>
      <c r="BQ775" t="s">
        <v>74</v>
      </c>
      <c r="BR775" t="s">
        <v>105</v>
      </c>
      <c r="BS775" t="s">
        <v>14575</v>
      </c>
      <c r="BT775" t="str">
        <f>HYPERLINK("https%3A%2F%2Fwww.webofscience.com%2Fwos%2Fwoscc%2Ffull-record%2FWOS:000334833600004","View Full Record in Web of Science")</f>
        <v>View Full Record in Web of Science</v>
      </c>
    </row>
    <row r="776" spans="1:72" x14ac:dyDescent="0.15">
      <c r="A776" t="s">
        <v>72</v>
      </c>
      <c r="B776" t="s">
        <v>14576</v>
      </c>
      <c r="C776" t="s">
        <v>74</v>
      </c>
      <c r="D776" t="s">
        <v>74</v>
      </c>
      <c r="E776" t="s">
        <v>74</v>
      </c>
      <c r="F776" t="s">
        <v>14577</v>
      </c>
      <c r="G776" t="s">
        <v>74</v>
      </c>
      <c r="H776" t="s">
        <v>74</v>
      </c>
      <c r="I776" t="s">
        <v>14578</v>
      </c>
      <c r="J776" t="s">
        <v>1279</v>
      </c>
      <c r="K776" t="s">
        <v>74</v>
      </c>
      <c r="L776" t="s">
        <v>74</v>
      </c>
      <c r="M776" t="s">
        <v>78</v>
      </c>
      <c r="N776" t="s">
        <v>79</v>
      </c>
      <c r="O776" t="s">
        <v>74</v>
      </c>
      <c r="P776" t="s">
        <v>74</v>
      </c>
      <c r="Q776" t="s">
        <v>74</v>
      </c>
      <c r="R776" t="s">
        <v>74</v>
      </c>
      <c r="S776" t="s">
        <v>74</v>
      </c>
      <c r="T776" t="s">
        <v>14579</v>
      </c>
      <c r="U776" t="s">
        <v>14580</v>
      </c>
      <c r="V776" t="s">
        <v>14581</v>
      </c>
      <c r="W776" t="s">
        <v>14582</v>
      </c>
      <c r="X776" t="s">
        <v>14583</v>
      </c>
      <c r="Y776" t="s">
        <v>14584</v>
      </c>
      <c r="Z776" t="s">
        <v>14585</v>
      </c>
      <c r="AA776" t="s">
        <v>14586</v>
      </c>
      <c r="AB776" t="s">
        <v>14587</v>
      </c>
      <c r="AC776" t="s">
        <v>14588</v>
      </c>
      <c r="AD776" t="s">
        <v>14589</v>
      </c>
      <c r="AE776" t="s">
        <v>14590</v>
      </c>
      <c r="AF776" t="s">
        <v>74</v>
      </c>
      <c r="AG776">
        <v>40</v>
      </c>
      <c r="AH776">
        <v>12</v>
      </c>
      <c r="AI776">
        <v>15</v>
      </c>
      <c r="AJ776">
        <v>0</v>
      </c>
      <c r="AK776">
        <v>21</v>
      </c>
      <c r="AL776" t="s">
        <v>5410</v>
      </c>
      <c r="AM776" t="s">
        <v>1293</v>
      </c>
      <c r="AN776" t="s">
        <v>5411</v>
      </c>
      <c r="AO776" t="s">
        <v>1295</v>
      </c>
      <c r="AP776" t="s">
        <v>74</v>
      </c>
      <c r="AQ776" t="s">
        <v>74</v>
      </c>
      <c r="AR776" t="s">
        <v>1296</v>
      </c>
      <c r="AS776" t="s">
        <v>1297</v>
      </c>
      <c r="AT776" t="s">
        <v>14455</v>
      </c>
      <c r="AU776">
        <v>2014</v>
      </c>
      <c r="AV776">
        <v>3</v>
      </c>
      <c r="AW776">
        <v>5</v>
      </c>
      <c r="AX776" t="s">
        <v>74</v>
      </c>
      <c r="AY776" t="s">
        <v>74</v>
      </c>
      <c r="AZ776" t="s">
        <v>74</v>
      </c>
      <c r="BA776" t="s">
        <v>74</v>
      </c>
      <c r="BB776">
        <v>379</v>
      </c>
      <c r="BC776">
        <v>386</v>
      </c>
      <c r="BD776" t="s">
        <v>74</v>
      </c>
      <c r="BE776" t="s">
        <v>14591</v>
      </c>
      <c r="BF776" t="str">
        <f>HYPERLINK("http://dx.doi.org/10.1242/bio.20146130","http://dx.doi.org/10.1242/bio.20146130")</f>
        <v>http://dx.doi.org/10.1242/bio.20146130</v>
      </c>
      <c r="BG776" t="s">
        <v>74</v>
      </c>
      <c r="BH776" t="s">
        <v>74</v>
      </c>
      <c r="BI776">
        <v>8</v>
      </c>
      <c r="BJ776" t="s">
        <v>1300</v>
      </c>
      <c r="BK776" t="s">
        <v>102</v>
      </c>
      <c r="BL776" t="s">
        <v>1301</v>
      </c>
      <c r="BM776" t="s">
        <v>14592</v>
      </c>
      <c r="BN776">
        <v>24771620</v>
      </c>
      <c r="BO776" t="s">
        <v>206</v>
      </c>
      <c r="BP776" t="s">
        <v>74</v>
      </c>
      <c r="BQ776" t="s">
        <v>74</v>
      </c>
      <c r="BR776" t="s">
        <v>105</v>
      </c>
      <c r="BS776" t="s">
        <v>14593</v>
      </c>
      <c r="BT776" t="str">
        <f>HYPERLINK("https%3A%2F%2Fwww.webofscience.com%2Fwos%2Fwoscc%2Ffull-record%2FWOS:000348068100009","View Full Record in Web of Science")</f>
        <v>View Full Record in Web of Science</v>
      </c>
    </row>
    <row r="777" spans="1:72" x14ac:dyDescent="0.15">
      <c r="A777" t="s">
        <v>72</v>
      </c>
      <c r="B777" t="s">
        <v>14594</v>
      </c>
      <c r="C777" t="s">
        <v>74</v>
      </c>
      <c r="D777" t="s">
        <v>74</v>
      </c>
      <c r="E777" t="s">
        <v>74</v>
      </c>
      <c r="F777" t="s">
        <v>14595</v>
      </c>
      <c r="G777" t="s">
        <v>74</v>
      </c>
      <c r="H777" t="s">
        <v>74</v>
      </c>
      <c r="I777" t="s">
        <v>14596</v>
      </c>
      <c r="J777" t="s">
        <v>2984</v>
      </c>
      <c r="K777" t="s">
        <v>74</v>
      </c>
      <c r="L777" t="s">
        <v>74</v>
      </c>
      <c r="M777" t="s">
        <v>78</v>
      </c>
      <c r="N777" t="s">
        <v>79</v>
      </c>
      <c r="O777" t="s">
        <v>74</v>
      </c>
      <c r="P777" t="s">
        <v>74</v>
      </c>
      <c r="Q777" t="s">
        <v>74</v>
      </c>
      <c r="R777" t="s">
        <v>74</v>
      </c>
      <c r="S777" t="s">
        <v>74</v>
      </c>
      <c r="T777" t="s">
        <v>14597</v>
      </c>
      <c r="U777" t="s">
        <v>14598</v>
      </c>
      <c r="V777" t="s">
        <v>14599</v>
      </c>
      <c r="W777" t="s">
        <v>14600</v>
      </c>
      <c r="X777" t="s">
        <v>14601</v>
      </c>
      <c r="Y777" t="s">
        <v>14602</v>
      </c>
      <c r="Z777" t="s">
        <v>14603</v>
      </c>
      <c r="AA777" t="s">
        <v>14604</v>
      </c>
      <c r="AB777" t="s">
        <v>14605</v>
      </c>
      <c r="AC777" t="s">
        <v>14606</v>
      </c>
      <c r="AD777" t="s">
        <v>14607</v>
      </c>
      <c r="AE777" t="s">
        <v>14608</v>
      </c>
      <c r="AF777" t="s">
        <v>74</v>
      </c>
      <c r="AG777">
        <v>102</v>
      </c>
      <c r="AH777">
        <v>40</v>
      </c>
      <c r="AI777">
        <v>41</v>
      </c>
      <c r="AJ777">
        <v>0</v>
      </c>
      <c r="AK777">
        <v>47</v>
      </c>
      <c r="AL777" t="s">
        <v>123</v>
      </c>
      <c r="AM777" t="s">
        <v>124</v>
      </c>
      <c r="AN777" t="s">
        <v>125</v>
      </c>
      <c r="AO777" t="s">
        <v>2997</v>
      </c>
      <c r="AP777" t="s">
        <v>2998</v>
      </c>
      <c r="AQ777" t="s">
        <v>74</v>
      </c>
      <c r="AR777" t="s">
        <v>2999</v>
      </c>
      <c r="AS777" t="s">
        <v>3000</v>
      </c>
      <c r="AT777" t="s">
        <v>14455</v>
      </c>
      <c r="AU777">
        <v>2014</v>
      </c>
      <c r="AV777">
        <v>394</v>
      </c>
      <c r="AW777" t="s">
        <v>74</v>
      </c>
      <c r="AX777" t="s">
        <v>74</v>
      </c>
      <c r="AY777" t="s">
        <v>74</v>
      </c>
      <c r="AZ777" t="s">
        <v>74</v>
      </c>
      <c r="BA777" t="s">
        <v>74</v>
      </c>
      <c r="BB777">
        <v>229</v>
      </c>
      <c r="BC777">
        <v>241</v>
      </c>
      <c r="BD777" t="s">
        <v>74</v>
      </c>
      <c r="BE777" t="s">
        <v>14609</v>
      </c>
      <c r="BF777" t="str">
        <f>HYPERLINK("http://dx.doi.org/10.1016/j.epsl.2014.03.012","http://dx.doi.org/10.1016/j.epsl.2014.03.012")</f>
        <v>http://dx.doi.org/10.1016/j.epsl.2014.03.012</v>
      </c>
      <c r="BG777" t="s">
        <v>74</v>
      </c>
      <c r="BH777" t="s">
        <v>74</v>
      </c>
      <c r="BI777">
        <v>13</v>
      </c>
      <c r="BJ777" t="s">
        <v>425</v>
      </c>
      <c r="BK777" t="s">
        <v>102</v>
      </c>
      <c r="BL777" t="s">
        <v>425</v>
      </c>
      <c r="BM777" t="s">
        <v>14499</v>
      </c>
      <c r="BN777" t="s">
        <v>74</v>
      </c>
      <c r="BO777" t="s">
        <v>359</v>
      </c>
      <c r="BP777" t="s">
        <v>74</v>
      </c>
      <c r="BQ777" t="s">
        <v>74</v>
      </c>
      <c r="BR777" t="s">
        <v>105</v>
      </c>
      <c r="BS777" t="s">
        <v>14610</v>
      </c>
      <c r="BT777" t="str">
        <f>HYPERLINK("https%3A%2F%2Fwww.webofscience.com%2Fwos%2Fwoscc%2Ffull-record%2FWOS:000335613300023","View Full Record in Web of Science")</f>
        <v>View Full Record in Web of Science</v>
      </c>
    </row>
    <row r="778" spans="1:72" x14ac:dyDescent="0.15">
      <c r="A778" t="s">
        <v>72</v>
      </c>
      <c r="B778" t="s">
        <v>14611</v>
      </c>
      <c r="C778" t="s">
        <v>74</v>
      </c>
      <c r="D778" t="s">
        <v>74</v>
      </c>
      <c r="E778" t="s">
        <v>74</v>
      </c>
      <c r="F778" t="s">
        <v>14612</v>
      </c>
      <c r="G778" t="s">
        <v>74</v>
      </c>
      <c r="H778" t="s">
        <v>74</v>
      </c>
      <c r="I778" t="s">
        <v>14613</v>
      </c>
      <c r="J778" t="s">
        <v>14614</v>
      </c>
      <c r="K778" t="s">
        <v>74</v>
      </c>
      <c r="L778" t="s">
        <v>74</v>
      </c>
      <c r="M778" t="s">
        <v>78</v>
      </c>
      <c r="N778" t="s">
        <v>79</v>
      </c>
      <c r="O778" t="s">
        <v>74</v>
      </c>
      <c r="P778" t="s">
        <v>74</v>
      </c>
      <c r="Q778" t="s">
        <v>74</v>
      </c>
      <c r="R778" t="s">
        <v>74</v>
      </c>
      <c r="S778" t="s">
        <v>74</v>
      </c>
      <c r="T778" t="s">
        <v>14615</v>
      </c>
      <c r="U778" t="s">
        <v>14616</v>
      </c>
      <c r="V778" t="s">
        <v>14617</v>
      </c>
      <c r="W778" t="s">
        <v>14618</v>
      </c>
      <c r="X778" t="s">
        <v>14619</v>
      </c>
      <c r="Y778" t="s">
        <v>14620</v>
      </c>
      <c r="Z778" t="s">
        <v>14621</v>
      </c>
      <c r="AA778" t="s">
        <v>74</v>
      </c>
      <c r="AB778" t="s">
        <v>14622</v>
      </c>
      <c r="AC778" t="s">
        <v>14623</v>
      </c>
      <c r="AD778" t="s">
        <v>14624</v>
      </c>
      <c r="AE778" t="s">
        <v>14625</v>
      </c>
      <c r="AF778" t="s">
        <v>74</v>
      </c>
      <c r="AG778">
        <v>84</v>
      </c>
      <c r="AH778">
        <v>14</v>
      </c>
      <c r="AI778">
        <v>15</v>
      </c>
      <c r="AJ778">
        <v>0</v>
      </c>
      <c r="AK778">
        <v>19</v>
      </c>
      <c r="AL778" t="s">
        <v>123</v>
      </c>
      <c r="AM778" t="s">
        <v>124</v>
      </c>
      <c r="AN778" t="s">
        <v>125</v>
      </c>
      <c r="AO778" t="s">
        <v>14626</v>
      </c>
      <c r="AP778" t="s">
        <v>14627</v>
      </c>
      <c r="AQ778" t="s">
        <v>74</v>
      </c>
      <c r="AR778" t="s">
        <v>14628</v>
      </c>
      <c r="AS778" t="s">
        <v>14629</v>
      </c>
      <c r="AT778" t="s">
        <v>14455</v>
      </c>
      <c r="AU778">
        <v>2014</v>
      </c>
      <c r="AV778">
        <v>305</v>
      </c>
      <c r="AW778" t="s">
        <v>74</v>
      </c>
      <c r="AX778" t="s">
        <v>74</v>
      </c>
      <c r="AY778" t="s">
        <v>74</v>
      </c>
      <c r="AZ778" t="s">
        <v>74</v>
      </c>
      <c r="BA778" t="s">
        <v>74</v>
      </c>
      <c r="BB778">
        <v>1</v>
      </c>
      <c r="BC778">
        <v>16</v>
      </c>
      <c r="BD778" t="s">
        <v>74</v>
      </c>
      <c r="BE778" t="s">
        <v>14630</v>
      </c>
      <c r="BF778" t="str">
        <f>HYPERLINK("http://dx.doi.org/10.1016/j.sedgeo.2014.02.008","http://dx.doi.org/10.1016/j.sedgeo.2014.02.008")</f>
        <v>http://dx.doi.org/10.1016/j.sedgeo.2014.02.008</v>
      </c>
      <c r="BG778" t="s">
        <v>74</v>
      </c>
      <c r="BH778" t="s">
        <v>74</v>
      </c>
      <c r="BI778">
        <v>16</v>
      </c>
      <c r="BJ778" t="s">
        <v>686</v>
      </c>
      <c r="BK778" t="s">
        <v>102</v>
      </c>
      <c r="BL778" t="s">
        <v>686</v>
      </c>
      <c r="BM778" t="s">
        <v>14631</v>
      </c>
      <c r="BN778" t="s">
        <v>74</v>
      </c>
      <c r="BO778" t="s">
        <v>74</v>
      </c>
      <c r="BP778" t="s">
        <v>74</v>
      </c>
      <c r="BQ778" t="s">
        <v>74</v>
      </c>
      <c r="BR778" t="s">
        <v>105</v>
      </c>
      <c r="BS778" t="s">
        <v>14632</v>
      </c>
      <c r="BT778" t="str">
        <f>HYPERLINK("https%3A%2F%2Fwww.webofscience.com%2Fwos%2Fwoscc%2Ffull-record%2FWOS:000336891600001","View Full Record in Web of Science")</f>
        <v>View Full Record in Web of Science</v>
      </c>
    </row>
    <row r="779" spans="1:72" x14ac:dyDescent="0.15">
      <c r="A779" t="s">
        <v>72</v>
      </c>
      <c r="B779" t="s">
        <v>14633</v>
      </c>
      <c r="C779" t="s">
        <v>74</v>
      </c>
      <c r="D779" t="s">
        <v>74</v>
      </c>
      <c r="E779" t="s">
        <v>74</v>
      </c>
      <c r="F779" t="s">
        <v>14634</v>
      </c>
      <c r="G779" t="s">
        <v>74</v>
      </c>
      <c r="H779" t="s">
        <v>74</v>
      </c>
      <c r="I779" t="s">
        <v>14635</v>
      </c>
      <c r="J779" t="s">
        <v>1083</v>
      </c>
      <c r="K779" t="s">
        <v>74</v>
      </c>
      <c r="L779" t="s">
        <v>74</v>
      </c>
      <c r="M779" t="s">
        <v>78</v>
      </c>
      <c r="N779" t="s">
        <v>79</v>
      </c>
      <c r="O779" t="s">
        <v>74</v>
      </c>
      <c r="P779" t="s">
        <v>74</v>
      </c>
      <c r="Q779" t="s">
        <v>74</v>
      </c>
      <c r="R779" t="s">
        <v>74</v>
      </c>
      <c r="S779" t="s">
        <v>74</v>
      </c>
      <c r="T779" t="s">
        <v>74</v>
      </c>
      <c r="U779" t="s">
        <v>14636</v>
      </c>
      <c r="V779" t="s">
        <v>14637</v>
      </c>
      <c r="W779" t="s">
        <v>14638</v>
      </c>
      <c r="X779" t="s">
        <v>14639</v>
      </c>
      <c r="Y779" t="s">
        <v>14640</v>
      </c>
      <c r="Z779" t="s">
        <v>14641</v>
      </c>
      <c r="AA779" t="s">
        <v>14642</v>
      </c>
      <c r="AB779" t="s">
        <v>14643</v>
      </c>
      <c r="AC779" t="s">
        <v>14644</v>
      </c>
      <c r="AD779" t="s">
        <v>14645</v>
      </c>
      <c r="AE779" t="s">
        <v>14646</v>
      </c>
      <c r="AF779" t="s">
        <v>74</v>
      </c>
      <c r="AG779">
        <v>37</v>
      </c>
      <c r="AH779">
        <v>9</v>
      </c>
      <c r="AI779">
        <v>11</v>
      </c>
      <c r="AJ779">
        <v>0</v>
      </c>
      <c r="AK779">
        <v>25</v>
      </c>
      <c r="AL779" t="s">
        <v>1090</v>
      </c>
      <c r="AM779" t="s">
        <v>1091</v>
      </c>
      <c r="AN779" t="s">
        <v>1092</v>
      </c>
      <c r="AO779" t="s">
        <v>1093</v>
      </c>
      <c r="AP779" t="s">
        <v>74</v>
      </c>
      <c r="AQ779" t="s">
        <v>74</v>
      </c>
      <c r="AR779" t="s">
        <v>1083</v>
      </c>
      <c r="AS779" t="s">
        <v>1094</v>
      </c>
      <c r="AT779" t="s">
        <v>14647</v>
      </c>
      <c r="AU779">
        <v>2014</v>
      </c>
      <c r="AV779">
        <v>9</v>
      </c>
      <c r="AW779">
        <v>5</v>
      </c>
      <c r="AX779" t="s">
        <v>74</v>
      </c>
      <c r="AY779" t="s">
        <v>74</v>
      </c>
      <c r="AZ779" t="s">
        <v>74</v>
      </c>
      <c r="BA779" t="s">
        <v>74</v>
      </c>
      <c r="BB779" t="s">
        <v>74</v>
      </c>
      <c r="BC779" t="s">
        <v>74</v>
      </c>
      <c r="BD779" t="s">
        <v>14648</v>
      </c>
      <c r="BE779" t="s">
        <v>14649</v>
      </c>
      <c r="BF779" t="str">
        <f>HYPERLINK("http://dx.doi.org/10.1371/journal.pone.0095602","http://dx.doi.org/10.1371/journal.pone.0095602")</f>
        <v>http://dx.doi.org/10.1371/journal.pone.0095602</v>
      </c>
      <c r="BG779" t="s">
        <v>74</v>
      </c>
      <c r="BH779" t="s">
        <v>74</v>
      </c>
      <c r="BI779">
        <v>11</v>
      </c>
      <c r="BJ779" t="s">
        <v>660</v>
      </c>
      <c r="BK779" t="s">
        <v>102</v>
      </c>
      <c r="BL779" t="s">
        <v>661</v>
      </c>
      <c r="BM779" t="s">
        <v>14650</v>
      </c>
      <c r="BN779">
        <v>24827919</v>
      </c>
      <c r="BO779" t="s">
        <v>8437</v>
      </c>
      <c r="BP779" t="s">
        <v>74</v>
      </c>
      <c r="BQ779" t="s">
        <v>74</v>
      </c>
      <c r="BR779" t="s">
        <v>105</v>
      </c>
      <c r="BS779" t="s">
        <v>14651</v>
      </c>
      <c r="BT779" t="str">
        <f>HYPERLINK("https%3A%2F%2Fwww.webofscience.com%2Fwos%2Fwoscc%2Ffull-record%2FWOS:000336857400013","View Full Record in Web of Science")</f>
        <v>View Full Record in Web of Science</v>
      </c>
    </row>
    <row r="780" spans="1:72" x14ac:dyDescent="0.15">
      <c r="A780" t="s">
        <v>72</v>
      </c>
      <c r="B780" t="s">
        <v>14652</v>
      </c>
      <c r="C780" t="s">
        <v>74</v>
      </c>
      <c r="D780" t="s">
        <v>74</v>
      </c>
      <c r="E780" t="s">
        <v>74</v>
      </c>
      <c r="F780" t="s">
        <v>14653</v>
      </c>
      <c r="G780" t="s">
        <v>74</v>
      </c>
      <c r="H780" t="s">
        <v>74</v>
      </c>
      <c r="I780" t="s">
        <v>14654</v>
      </c>
      <c r="J780" t="s">
        <v>14209</v>
      </c>
      <c r="K780" t="s">
        <v>74</v>
      </c>
      <c r="L780" t="s">
        <v>74</v>
      </c>
      <c r="M780" t="s">
        <v>78</v>
      </c>
      <c r="N780" t="s">
        <v>79</v>
      </c>
      <c r="O780" t="s">
        <v>74</v>
      </c>
      <c r="P780" t="s">
        <v>74</v>
      </c>
      <c r="Q780" t="s">
        <v>74</v>
      </c>
      <c r="R780" t="s">
        <v>74</v>
      </c>
      <c r="S780" t="s">
        <v>74</v>
      </c>
      <c r="T780" t="s">
        <v>14655</v>
      </c>
      <c r="U780" t="s">
        <v>14656</v>
      </c>
      <c r="V780" t="s">
        <v>14657</v>
      </c>
      <c r="W780" t="s">
        <v>14658</v>
      </c>
      <c r="X780" t="s">
        <v>14659</v>
      </c>
      <c r="Y780" t="s">
        <v>14660</v>
      </c>
      <c r="Z780" t="s">
        <v>4970</v>
      </c>
      <c r="AA780" t="s">
        <v>14661</v>
      </c>
      <c r="AB780" t="s">
        <v>14662</v>
      </c>
      <c r="AC780" t="s">
        <v>14663</v>
      </c>
      <c r="AD780" t="s">
        <v>14664</v>
      </c>
      <c r="AE780" t="s">
        <v>14665</v>
      </c>
      <c r="AF780" t="s">
        <v>74</v>
      </c>
      <c r="AG780">
        <v>56</v>
      </c>
      <c r="AH780">
        <v>10</v>
      </c>
      <c r="AI780">
        <v>12</v>
      </c>
      <c r="AJ780">
        <v>0</v>
      </c>
      <c r="AK780">
        <v>17</v>
      </c>
      <c r="AL780" t="s">
        <v>1246</v>
      </c>
      <c r="AM780" t="s">
        <v>1247</v>
      </c>
      <c r="AN780" t="s">
        <v>1248</v>
      </c>
      <c r="AO780" t="s">
        <v>14223</v>
      </c>
      <c r="AP780" t="s">
        <v>14224</v>
      </c>
      <c r="AQ780" t="s">
        <v>74</v>
      </c>
      <c r="AR780" t="s">
        <v>14209</v>
      </c>
      <c r="AS780" t="s">
        <v>14225</v>
      </c>
      <c r="AT780" t="s">
        <v>14647</v>
      </c>
      <c r="AU780">
        <v>2014</v>
      </c>
      <c r="AV780">
        <v>167</v>
      </c>
      <c r="AW780">
        <v>3</v>
      </c>
      <c r="AX780" t="s">
        <v>74</v>
      </c>
      <c r="AY780" t="s">
        <v>74</v>
      </c>
      <c r="AZ780" t="s">
        <v>74</v>
      </c>
      <c r="BA780" t="s">
        <v>74</v>
      </c>
      <c r="BB780">
        <v>256</v>
      </c>
      <c r="BC780">
        <v>266</v>
      </c>
      <c r="BD780" t="s">
        <v>74</v>
      </c>
      <c r="BE780" t="s">
        <v>14666</v>
      </c>
      <c r="BF780" t="str">
        <f>HYPERLINK("http://dx.doi.org/10.11646/phytotaxa.167.3.4","http://dx.doi.org/10.11646/phytotaxa.167.3.4")</f>
        <v>http://dx.doi.org/10.11646/phytotaxa.167.3.4</v>
      </c>
      <c r="BG780" t="s">
        <v>74</v>
      </c>
      <c r="BH780" t="s">
        <v>74</v>
      </c>
      <c r="BI780">
        <v>11</v>
      </c>
      <c r="BJ780" t="s">
        <v>8464</v>
      </c>
      <c r="BK780" t="s">
        <v>102</v>
      </c>
      <c r="BL780" t="s">
        <v>8464</v>
      </c>
      <c r="BM780" t="s">
        <v>14667</v>
      </c>
      <c r="BN780" t="s">
        <v>74</v>
      </c>
      <c r="BO780" t="s">
        <v>74</v>
      </c>
      <c r="BP780" t="s">
        <v>74</v>
      </c>
      <c r="BQ780" t="s">
        <v>74</v>
      </c>
      <c r="BR780" t="s">
        <v>105</v>
      </c>
      <c r="BS780" t="s">
        <v>14668</v>
      </c>
      <c r="BT780" t="str">
        <f>HYPERLINK("https%3A%2F%2Fwww.webofscience.com%2Fwos%2Fwoscc%2Ffull-record%2FWOS:000335889800004","View Full Record in Web of Science")</f>
        <v>View Full Record in Web of Science</v>
      </c>
    </row>
    <row r="781" spans="1:72" x14ac:dyDescent="0.15">
      <c r="A781" t="s">
        <v>72</v>
      </c>
      <c r="B781" t="s">
        <v>14669</v>
      </c>
      <c r="C781" t="s">
        <v>74</v>
      </c>
      <c r="D781" t="s">
        <v>74</v>
      </c>
      <c r="E781" t="s">
        <v>74</v>
      </c>
      <c r="F781" t="s">
        <v>14670</v>
      </c>
      <c r="G781" t="s">
        <v>74</v>
      </c>
      <c r="H781" t="s">
        <v>74</v>
      </c>
      <c r="I781" t="s">
        <v>14671</v>
      </c>
      <c r="J781" t="s">
        <v>1083</v>
      </c>
      <c r="K781" t="s">
        <v>74</v>
      </c>
      <c r="L781" t="s">
        <v>74</v>
      </c>
      <c r="M781" t="s">
        <v>78</v>
      </c>
      <c r="N781" t="s">
        <v>79</v>
      </c>
      <c r="O781" t="s">
        <v>74</v>
      </c>
      <c r="P781" t="s">
        <v>74</v>
      </c>
      <c r="Q781" t="s">
        <v>74</v>
      </c>
      <c r="R781" t="s">
        <v>74</v>
      </c>
      <c r="S781" t="s">
        <v>74</v>
      </c>
      <c r="T781" t="s">
        <v>74</v>
      </c>
      <c r="U781" t="s">
        <v>14672</v>
      </c>
      <c r="V781" t="s">
        <v>14673</v>
      </c>
      <c r="W781" t="s">
        <v>14674</v>
      </c>
      <c r="X781" t="s">
        <v>14675</v>
      </c>
      <c r="Y781" t="s">
        <v>14676</v>
      </c>
      <c r="Z781" t="s">
        <v>14677</v>
      </c>
      <c r="AA781" t="s">
        <v>13645</v>
      </c>
      <c r="AB781" t="s">
        <v>14678</v>
      </c>
      <c r="AC781" t="s">
        <v>14679</v>
      </c>
      <c r="AD781" t="s">
        <v>14680</v>
      </c>
      <c r="AE781" t="s">
        <v>14681</v>
      </c>
      <c r="AF781" t="s">
        <v>74</v>
      </c>
      <c r="AG781">
        <v>88</v>
      </c>
      <c r="AH781">
        <v>20</v>
      </c>
      <c r="AI781">
        <v>20</v>
      </c>
      <c r="AJ781">
        <v>0</v>
      </c>
      <c r="AK781">
        <v>53</v>
      </c>
      <c r="AL781" t="s">
        <v>1090</v>
      </c>
      <c r="AM781" t="s">
        <v>1091</v>
      </c>
      <c r="AN781" t="s">
        <v>1092</v>
      </c>
      <c r="AO781" t="s">
        <v>1093</v>
      </c>
      <c r="AP781" t="s">
        <v>74</v>
      </c>
      <c r="AQ781" t="s">
        <v>74</v>
      </c>
      <c r="AR781" t="s">
        <v>1083</v>
      </c>
      <c r="AS781" t="s">
        <v>1094</v>
      </c>
      <c r="AT781" t="s">
        <v>14647</v>
      </c>
      <c r="AU781">
        <v>2014</v>
      </c>
      <c r="AV781">
        <v>9</v>
      </c>
      <c r="AW781">
        <v>5</v>
      </c>
      <c r="AX781" t="s">
        <v>74</v>
      </c>
      <c r="AY781" t="s">
        <v>74</v>
      </c>
      <c r="AZ781" t="s">
        <v>74</v>
      </c>
      <c r="BA781" t="s">
        <v>74</v>
      </c>
      <c r="BB781" t="s">
        <v>74</v>
      </c>
      <c r="BC781" t="s">
        <v>74</v>
      </c>
      <c r="BD781" t="s">
        <v>14682</v>
      </c>
      <c r="BE781" t="s">
        <v>14683</v>
      </c>
      <c r="BF781" t="str">
        <f>HYPERLINK("http://dx.doi.org/10.1371/journal.pone.0097164","http://dx.doi.org/10.1371/journal.pone.0097164")</f>
        <v>http://dx.doi.org/10.1371/journal.pone.0097164</v>
      </c>
      <c r="BG781" t="s">
        <v>74</v>
      </c>
      <c r="BH781" t="s">
        <v>74</v>
      </c>
      <c r="BI781">
        <v>12</v>
      </c>
      <c r="BJ781" t="s">
        <v>660</v>
      </c>
      <c r="BK781" t="s">
        <v>102</v>
      </c>
      <c r="BL781" t="s">
        <v>661</v>
      </c>
      <c r="BM781" t="s">
        <v>14650</v>
      </c>
      <c r="BN781">
        <v>24828545</v>
      </c>
      <c r="BO781" t="s">
        <v>11886</v>
      </c>
      <c r="BP781" t="s">
        <v>74</v>
      </c>
      <c r="BQ781" t="s">
        <v>74</v>
      </c>
      <c r="BR781" t="s">
        <v>105</v>
      </c>
      <c r="BS781" t="s">
        <v>14684</v>
      </c>
      <c r="BT781" t="str">
        <f>HYPERLINK("https%3A%2F%2Fwww.webofscience.com%2Fwos%2Fwoscc%2Ffull-record%2FWOS:000336857400062","View Full Record in Web of Science")</f>
        <v>View Full Record in Web of Science</v>
      </c>
    </row>
    <row r="782" spans="1:72" x14ac:dyDescent="0.15">
      <c r="A782" t="s">
        <v>72</v>
      </c>
      <c r="B782" t="s">
        <v>1080</v>
      </c>
      <c r="C782" t="s">
        <v>74</v>
      </c>
      <c r="D782" t="s">
        <v>74</v>
      </c>
      <c r="E782" t="s">
        <v>74</v>
      </c>
      <c r="F782" t="s">
        <v>1081</v>
      </c>
      <c r="G782" t="s">
        <v>74</v>
      </c>
      <c r="H782" t="s">
        <v>74</v>
      </c>
      <c r="I782" t="s">
        <v>14685</v>
      </c>
      <c r="J782" t="s">
        <v>1083</v>
      </c>
      <c r="K782" t="s">
        <v>74</v>
      </c>
      <c r="L782" t="s">
        <v>74</v>
      </c>
      <c r="M782" t="s">
        <v>78</v>
      </c>
      <c r="N782" t="s">
        <v>79</v>
      </c>
      <c r="O782" t="s">
        <v>74</v>
      </c>
      <c r="P782" t="s">
        <v>74</v>
      </c>
      <c r="Q782" t="s">
        <v>74</v>
      </c>
      <c r="R782" t="s">
        <v>74</v>
      </c>
      <c r="S782" t="s">
        <v>74</v>
      </c>
      <c r="T782" t="s">
        <v>74</v>
      </c>
      <c r="U782" t="s">
        <v>14686</v>
      </c>
      <c r="V782" t="s">
        <v>14687</v>
      </c>
      <c r="W782" t="s">
        <v>14688</v>
      </c>
      <c r="X782" t="s">
        <v>14689</v>
      </c>
      <c r="Y782" t="s">
        <v>14690</v>
      </c>
      <c r="Z782" t="s">
        <v>14691</v>
      </c>
      <c r="AA782" t="s">
        <v>14692</v>
      </c>
      <c r="AB782" t="s">
        <v>14693</v>
      </c>
      <c r="AC782" t="s">
        <v>14694</v>
      </c>
      <c r="AD782" t="s">
        <v>14695</v>
      </c>
      <c r="AE782" t="s">
        <v>14696</v>
      </c>
      <c r="AF782" t="s">
        <v>74</v>
      </c>
      <c r="AG782">
        <v>99</v>
      </c>
      <c r="AH782">
        <v>95</v>
      </c>
      <c r="AI782">
        <v>103</v>
      </c>
      <c r="AJ782">
        <v>0</v>
      </c>
      <c r="AK782">
        <v>80</v>
      </c>
      <c r="AL782" t="s">
        <v>1090</v>
      </c>
      <c r="AM782" t="s">
        <v>1091</v>
      </c>
      <c r="AN782" t="s">
        <v>1092</v>
      </c>
      <c r="AO782" t="s">
        <v>1093</v>
      </c>
      <c r="AP782" t="s">
        <v>74</v>
      </c>
      <c r="AQ782" t="s">
        <v>74</v>
      </c>
      <c r="AR782" t="s">
        <v>1083</v>
      </c>
      <c r="AS782" t="s">
        <v>1094</v>
      </c>
      <c r="AT782" t="s">
        <v>14697</v>
      </c>
      <c r="AU782">
        <v>2014</v>
      </c>
      <c r="AV782">
        <v>9</v>
      </c>
      <c r="AW782">
        <v>5</v>
      </c>
      <c r="AX782" t="s">
        <v>74</v>
      </c>
      <c r="AY782" t="s">
        <v>74</v>
      </c>
      <c r="AZ782" t="s">
        <v>74</v>
      </c>
      <c r="BA782" t="s">
        <v>74</v>
      </c>
      <c r="BB782" t="s">
        <v>74</v>
      </c>
      <c r="BC782" t="s">
        <v>74</v>
      </c>
      <c r="BD782" t="s">
        <v>14698</v>
      </c>
      <c r="BE782" t="s">
        <v>14699</v>
      </c>
      <c r="BF782" t="str">
        <f>HYPERLINK("http://dx.doi.org/10.1371/journal.pone.0097235","http://dx.doi.org/10.1371/journal.pone.0097235")</f>
        <v>http://dx.doi.org/10.1371/journal.pone.0097235</v>
      </c>
      <c r="BG782" t="s">
        <v>74</v>
      </c>
      <c r="BH782" t="s">
        <v>74</v>
      </c>
      <c r="BI782">
        <v>9</v>
      </c>
      <c r="BJ782" t="s">
        <v>660</v>
      </c>
      <c r="BK782" t="s">
        <v>102</v>
      </c>
      <c r="BL782" t="s">
        <v>661</v>
      </c>
      <c r="BM782" t="s">
        <v>14700</v>
      </c>
      <c r="BN782">
        <v>24824089</v>
      </c>
      <c r="BO782" t="s">
        <v>14701</v>
      </c>
      <c r="BP782" t="s">
        <v>74</v>
      </c>
      <c r="BQ782" t="s">
        <v>74</v>
      </c>
      <c r="BR782" t="s">
        <v>105</v>
      </c>
      <c r="BS782" t="s">
        <v>14702</v>
      </c>
      <c r="BT782" t="str">
        <f>HYPERLINK("https%3A%2F%2Fwww.webofscience.com%2Fwos%2Fwoscc%2Ffull-record%2FWOS:000336369200078","View Full Record in Web of Science")</f>
        <v>View Full Record in Web of Science</v>
      </c>
    </row>
    <row r="783" spans="1:72" x14ac:dyDescent="0.15">
      <c r="A783" t="s">
        <v>72</v>
      </c>
      <c r="B783" t="s">
        <v>14703</v>
      </c>
      <c r="C783" t="s">
        <v>74</v>
      </c>
      <c r="D783" t="s">
        <v>74</v>
      </c>
      <c r="E783" t="s">
        <v>74</v>
      </c>
      <c r="F783" t="s">
        <v>14704</v>
      </c>
      <c r="G783" t="s">
        <v>74</v>
      </c>
      <c r="H783" t="s">
        <v>74</v>
      </c>
      <c r="I783" t="s">
        <v>14705</v>
      </c>
      <c r="J783" t="s">
        <v>1083</v>
      </c>
      <c r="K783" t="s">
        <v>74</v>
      </c>
      <c r="L783" t="s">
        <v>74</v>
      </c>
      <c r="M783" t="s">
        <v>78</v>
      </c>
      <c r="N783" t="s">
        <v>79</v>
      </c>
      <c r="O783" t="s">
        <v>74</v>
      </c>
      <c r="P783" t="s">
        <v>74</v>
      </c>
      <c r="Q783" t="s">
        <v>74</v>
      </c>
      <c r="R783" t="s">
        <v>74</v>
      </c>
      <c r="S783" t="s">
        <v>74</v>
      </c>
      <c r="T783" t="s">
        <v>74</v>
      </c>
      <c r="U783" t="s">
        <v>14706</v>
      </c>
      <c r="V783" t="s">
        <v>14707</v>
      </c>
      <c r="W783" t="s">
        <v>14708</v>
      </c>
      <c r="X783" t="s">
        <v>14709</v>
      </c>
      <c r="Y783" t="s">
        <v>14710</v>
      </c>
      <c r="Z783" t="s">
        <v>14711</v>
      </c>
      <c r="AA783" t="s">
        <v>14712</v>
      </c>
      <c r="AB783" t="s">
        <v>14713</v>
      </c>
      <c r="AC783" t="s">
        <v>14714</v>
      </c>
      <c r="AD783" t="s">
        <v>14715</v>
      </c>
      <c r="AE783" t="s">
        <v>14716</v>
      </c>
      <c r="AF783" t="s">
        <v>74</v>
      </c>
      <c r="AG783">
        <v>66</v>
      </c>
      <c r="AH783">
        <v>34</v>
      </c>
      <c r="AI783">
        <v>41</v>
      </c>
      <c r="AJ783">
        <v>4</v>
      </c>
      <c r="AK783">
        <v>102</v>
      </c>
      <c r="AL783" t="s">
        <v>1090</v>
      </c>
      <c r="AM783" t="s">
        <v>1091</v>
      </c>
      <c r="AN783" t="s">
        <v>1092</v>
      </c>
      <c r="AO783" t="s">
        <v>1093</v>
      </c>
      <c r="AP783" t="s">
        <v>74</v>
      </c>
      <c r="AQ783" t="s">
        <v>74</v>
      </c>
      <c r="AR783" t="s">
        <v>1083</v>
      </c>
      <c r="AS783" t="s">
        <v>1094</v>
      </c>
      <c r="AT783" t="s">
        <v>14717</v>
      </c>
      <c r="AU783">
        <v>2014</v>
      </c>
      <c r="AV783">
        <v>9</v>
      </c>
      <c r="AW783">
        <v>5</v>
      </c>
      <c r="AX783" t="s">
        <v>74</v>
      </c>
      <c r="AY783" t="s">
        <v>74</v>
      </c>
      <c r="AZ783" t="s">
        <v>74</v>
      </c>
      <c r="BA783" t="s">
        <v>74</v>
      </c>
      <c r="BB783" t="s">
        <v>74</v>
      </c>
      <c r="BC783" t="s">
        <v>74</v>
      </c>
      <c r="BD783" t="s">
        <v>14718</v>
      </c>
      <c r="BE783" t="s">
        <v>14719</v>
      </c>
      <c r="BF783" t="str">
        <f>HYPERLINK("http://dx.doi.org/10.1371/journal.pone.0096081","http://dx.doi.org/10.1371/journal.pone.0096081")</f>
        <v>http://dx.doi.org/10.1371/journal.pone.0096081</v>
      </c>
      <c r="BG783" t="s">
        <v>74</v>
      </c>
      <c r="BH783" t="s">
        <v>74</v>
      </c>
      <c r="BI783">
        <v>14</v>
      </c>
      <c r="BJ783" t="s">
        <v>660</v>
      </c>
      <c r="BK783" t="s">
        <v>102</v>
      </c>
      <c r="BL783" t="s">
        <v>661</v>
      </c>
      <c r="BM783" t="s">
        <v>14720</v>
      </c>
      <c r="BN783">
        <v>24819926</v>
      </c>
      <c r="BO783" t="s">
        <v>1381</v>
      </c>
      <c r="BP783" t="s">
        <v>74</v>
      </c>
      <c r="BQ783" t="s">
        <v>74</v>
      </c>
      <c r="BR783" t="s">
        <v>105</v>
      </c>
      <c r="BS783" t="s">
        <v>14721</v>
      </c>
      <c r="BT783" t="str">
        <f>HYPERLINK("https%3A%2F%2Fwww.webofscience.com%2Fwos%2Fwoscc%2Ffull-record%2FWOS:000336653300011","View Full Record in Web of Science")</f>
        <v>View Full Record in Web of Science</v>
      </c>
    </row>
    <row r="784" spans="1:72" x14ac:dyDescent="0.15">
      <c r="A784" t="s">
        <v>72</v>
      </c>
      <c r="B784" t="s">
        <v>14722</v>
      </c>
      <c r="C784" t="s">
        <v>74</v>
      </c>
      <c r="D784" t="s">
        <v>74</v>
      </c>
      <c r="E784" t="s">
        <v>74</v>
      </c>
      <c r="F784" t="s">
        <v>14723</v>
      </c>
      <c r="G784" t="s">
        <v>74</v>
      </c>
      <c r="H784" t="s">
        <v>74</v>
      </c>
      <c r="I784" t="s">
        <v>14724</v>
      </c>
      <c r="J784" t="s">
        <v>1083</v>
      </c>
      <c r="K784" t="s">
        <v>74</v>
      </c>
      <c r="L784" t="s">
        <v>74</v>
      </c>
      <c r="M784" t="s">
        <v>78</v>
      </c>
      <c r="N784" t="s">
        <v>79</v>
      </c>
      <c r="O784" t="s">
        <v>74</v>
      </c>
      <c r="P784" t="s">
        <v>74</v>
      </c>
      <c r="Q784" t="s">
        <v>74</v>
      </c>
      <c r="R784" t="s">
        <v>74</v>
      </c>
      <c r="S784" t="s">
        <v>74</v>
      </c>
      <c r="T784" t="s">
        <v>74</v>
      </c>
      <c r="U784" t="s">
        <v>14725</v>
      </c>
      <c r="V784" t="s">
        <v>14726</v>
      </c>
      <c r="W784" t="s">
        <v>14727</v>
      </c>
      <c r="X784" t="s">
        <v>14728</v>
      </c>
      <c r="Y784" t="s">
        <v>14729</v>
      </c>
      <c r="Z784" t="s">
        <v>14730</v>
      </c>
      <c r="AA784" t="s">
        <v>14731</v>
      </c>
      <c r="AB784" t="s">
        <v>14732</v>
      </c>
      <c r="AC784" t="s">
        <v>14733</v>
      </c>
      <c r="AD784" t="s">
        <v>14734</v>
      </c>
      <c r="AE784" t="s">
        <v>14735</v>
      </c>
      <c r="AF784" t="s">
        <v>74</v>
      </c>
      <c r="AG784">
        <v>37</v>
      </c>
      <c r="AH784">
        <v>73</v>
      </c>
      <c r="AI784">
        <v>79</v>
      </c>
      <c r="AJ784">
        <v>0</v>
      </c>
      <c r="AK784">
        <v>45</v>
      </c>
      <c r="AL784" t="s">
        <v>1090</v>
      </c>
      <c r="AM784" t="s">
        <v>1091</v>
      </c>
      <c r="AN784" t="s">
        <v>1092</v>
      </c>
      <c r="AO784" t="s">
        <v>1093</v>
      </c>
      <c r="AP784" t="s">
        <v>74</v>
      </c>
      <c r="AQ784" t="s">
        <v>74</v>
      </c>
      <c r="AR784" t="s">
        <v>1083</v>
      </c>
      <c r="AS784" t="s">
        <v>1094</v>
      </c>
      <c r="AT784" t="s">
        <v>14717</v>
      </c>
      <c r="AU784">
        <v>2014</v>
      </c>
      <c r="AV784">
        <v>9</v>
      </c>
      <c r="AW784">
        <v>5</v>
      </c>
      <c r="AX784" t="s">
        <v>74</v>
      </c>
      <c r="AY784" t="s">
        <v>74</v>
      </c>
      <c r="AZ784" t="s">
        <v>74</v>
      </c>
      <c r="BA784" t="s">
        <v>74</v>
      </c>
      <c r="BB784" t="s">
        <v>74</v>
      </c>
      <c r="BC784" t="s">
        <v>74</v>
      </c>
      <c r="BD784" t="s">
        <v>14736</v>
      </c>
      <c r="BE784" t="s">
        <v>14737</v>
      </c>
      <c r="BF784" t="str">
        <f>HYPERLINK("http://dx.doi.org/10.1371/journal.pone.0097323","http://dx.doi.org/10.1371/journal.pone.0097323")</f>
        <v>http://dx.doi.org/10.1371/journal.pone.0097323</v>
      </c>
      <c r="BG784" t="s">
        <v>74</v>
      </c>
      <c r="BH784" t="s">
        <v>74</v>
      </c>
      <c r="BI784">
        <v>23</v>
      </c>
      <c r="BJ784" t="s">
        <v>660</v>
      </c>
      <c r="BK784" t="s">
        <v>102</v>
      </c>
      <c r="BL784" t="s">
        <v>661</v>
      </c>
      <c r="BM784" t="s">
        <v>14720</v>
      </c>
      <c r="BN784">
        <v>24819537</v>
      </c>
      <c r="BO784" t="s">
        <v>11886</v>
      </c>
      <c r="BP784" t="s">
        <v>74</v>
      </c>
      <c r="BQ784" t="s">
        <v>74</v>
      </c>
      <c r="BR784" t="s">
        <v>105</v>
      </c>
      <c r="BS784" t="s">
        <v>14738</v>
      </c>
      <c r="BT784" t="str">
        <f>HYPERLINK("https%3A%2F%2Fwww.webofscience.com%2Fwos%2Fwoscc%2Ffull-record%2FWOS:000336653300107","View Full Record in Web of Science")</f>
        <v>View Full Record in Web of Science</v>
      </c>
    </row>
    <row r="785" spans="1:72" x14ac:dyDescent="0.15">
      <c r="A785" t="s">
        <v>72</v>
      </c>
      <c r="B785" t="s">
        <v>14739</v>
      </c>
      <c r="C785" t="s">
        <v>74</v>
      </c>
      <c r="D785" t="s">
        <v>74</v>
      </c>
      <c r="E785" t="s">
        <v>74</v>
      </c>
      <c r="F785" t="s">
        <v>14740</v>
      </c>
      <c r="G785" t="s">
        <v>74</v>
      </c>
      <c r="H785" t="s">
        <v>74</v>
      </c>
      <c r="I785" t="s">
        <v>14741</v>
      </c>
      <c r="J785" t="s">
        <v>7860</v>
      </c>
      <c r="K785" t="s">
        <v>74</v>
      </c>
      <c r="L785" t="s">
        <v>74</v>
      </c>
      <c r="M785" t="s">
        <v>78</v>
      </c>
      <c r="N785" t="s">
        <v>79</v>
      </c>
      <c r="O785" t="s">
        <v>74</v>
      </c>
      <c r="P785" t="s">
        <v>74</v>
      </c>
      <c r="Q785" t="s">
        <v>74</v>
      </c>
      <c r="R785" t="s">
        <v>74</v>
      </c>
      <c r="S785" t="s">
        <v>74</v>
      </c>
      <c r="T785" t="s">
        <v>14742</v>
      </c>
      <c r="U785" t="s">
        <v>14743</v>
      </c>
      <c r="V785" t="s">
        <v>14744</v>
      </c>
      <c r="W785" t="s">
        <v>14745</v>
      </c>
      <c r="X785" t="s">
        <v>14746</v>
      </c>
      <c r="Y785" t="s">
        <v>14747</v>
      </c>
      <c r="Z785" t="s">
        <v>14748</v>
      </c>
      <c r="AA785" t="s">
        <v>14749</v>
      </c>
      <c r="AB785" t="s">
        <v>14750</v>
      </c>
      <c r="AC785" t="s">
        <v>14751</v>
      </c>
      <c r="AD785" t="s">
        <v>14752</v>
      </c>
      <c r="AE785" t="s">
        <v>14753</v>
      </c>
      <c r="AF785" t="s">
        <v>74</v>
      </c>
      <c r="AG785">
        <v>69</v>
      </c>
      <c r="AH785">
        <v>38</v>
      </c>
      <c r="AI785">
        <v>38</v>
      </c>
      <c r="AJ785">
        <v>0</v>
      </c>
      <c r="AK785">
        <v>44</v>
      </c>
      <c r="AL785" t="s">
        <v>1070</v>
      </c>
      <c r="AM785" t="s">
        <v>654</v>
      </c>
      <c r="AN785" t="s">
        <v>1071</v>
      </c>
      <c r="AO785" t="s">
        <v>7873</v>
      </c>
      <c r="AP785" t="s">
        <v>7874</v>
      </c>
      <c r="AQ785" t="s">
        <v>74</v>
      </c>
      <c r="AR785" t="s">
        <v>7875</v>
      </c>
      <c r="AS785" t="s">
        <v>7876</v>
      </c>
      <c r="AT785" t="s">
        <v>14754</v>
      </c>
      <c r="AU785">
        <v>2014</v>
      </c>
      <c r="AV785">
        <v>281</v>
      </c>
      <c r="AW785">
        <v>1782</v>
      </c>
      <c r="AX785" t="s">
        <v>74</v>
      </c>
      <c r="AY785" t="s">
        <v>74</v>
      </c>
      <c r="AZ785" t="s">
        <v>74</v>
      </c>
      <c r="BA785" t="s">
        <v>74</v>
      </c>
      <c r="BB785" t="s">
        <v>74</v>
      </c>
      <c r="BC785" t="s">
        <v>74</v>
      </c>
      <c r="BD785">
        <v>20132842</v>
      </c>
      <c r="BE785" t="s">
        <v>14755</v>
      </c>
      <c r="BF785" t="str">
        <f>HYPERLINK("http://dx.doi.org/10.1098/rspb.2013.2842","http://dx.doi.org/10.1098/rspb.2013.2842")</f>
        <v>http://dx.doi.org/10.1098/rspb.2013.2842</v>
      </c>
      <c r="BG785" t="s">
        <v>74</v>
      </c>
      <c r="BH785" t="s">
        <v>74</v>
      </c>
      <c r="BI785">
        <v>8</v>
      </c>
      <c r="BJ785" t="s">
        <v>3368</v>
      </c>
      <c r="BK785" t="s">
        <v>102</v>
      </c>
      <c r="BL785" t="s">
        <v>3369</v>
      </c>
      <c r="BM785" t="s">
        <v>14756</v>
      </c>
      <c r="BN785">
        <v>24619437</v>
      </c>
      <c r="BO785" t="s">
        <v>2037</v>
      </c>
      <c r="BP785" t="s">
        <v>74</v>
      </c>
      <c r="BQ785" t="s">
        <v>74</v>
      </c>
      <c r="BR785" t="s">
        <v>105</v>
      </c>
      <c r="BS785" t="s">
        <v>14757</v>
      </c>
      <c r="BT785" t="str">
        <f>HYPERLINK("https%3A%2F%2Fwww.webofscience.com%2Fwos%2Fwoscc%2Ffull-record%2FWOS:000334410100006","View Full Record in Web of Science")</f>
        <v>View Full Record in Web of Science</v>
      </c>
    </row>
    <row r="786" spans="1:72" x14ac:dyDescent="0.15">
      <c r="A786" t="s">
        <v>72</v>
      </c>
      <c r="B786" t="s">
        <v>14758</v>
      </c>
      <c r="C786" t="s">
        <v>74</v>
      </c>
      <c r="D786" t="s">
        <v>74</v>
      </c>
      <c r="E786" t="s">
        <v>74</v>
      </c>
      <c r="F786" t="s">
        <v>14759</v>
      </c>
      <c r="G786" t="s">
        <v>74</v>
      </c>
      <c r="H786" t="s">
        <v>74</v>
      </c>
      <c r="I786" t="s">
        <v>14760</v>
      </c>
      <c r="J786" t="s">
        <v>1194</v>
      </c>
      <c r="K786" t="s">
        <v>74</v>
      </c>
      <c r="L786" t="s">
        <v>74</v>
      </c>
      <c r="M786" t="s">
        <v>78</v>
      </c>
      <c r="N786" t="s">
        <v>79</v>
      </c>
      <c r="O786" t="s">
        <v>74</v>
      </c>
      <c r="P786" t="s">
        <v>74</v>
      </c>
      <c r="Q786" t="s">
        <v>74</v>
      </c>
      <c r="R786" t="s">
        <v>74</v>
      </c>
      <c r="S786" t="s">
        <v>74</v>
      </c>
      <c r="T786" t="s">
        <v>14761</v>
      </c>
      <c r="U786" t="s">
        <v>14762</v>
      </c>
      <c r="V786" t="s">
        <v>14763</v>
      </c>
      <c r="W786" t="s">
        <v>14764</v>
      </c>
      <c r="X786" t="s">
        <v>14765</v>
      </c>
      <c r="Y786" t="s">
        <v>14766</v>
      </c>
      <c r="Z786" t="s">
        <v>14767</v>
      </c>
      <c r="AA786" t="s">
        <v>14768</v>
      </c>
      <c r="AB786" t="s">
        <v>14769</v>
      </c>
      <c r="AC786" t="s">
        <v>14770</v>
      </c>
      <c r="AD786" t="s">
        <v>14771</v>
      </c>
      <c r="AE786" t="s">
        <v>14772</v>
      </c>
      <c r="AF786" t="s">
        <v>74</v>
      </c>
      <c r="AG786">
        <v>63</v>
      </c>
      <c r="AH786">
        <v>114</v>
      </c>
      <c r="AI786">
        <v>123</v>
      </c>
      <c r="AJ786">
        <v>2</v>
      </c>
      <c r="AK786">
        <v>52</v>
      </c>
      <c r="AL786" t="s">
        <v>1207</v>
      </c>
      <c r="AM786" t="s">
        <v>332</v>
      </c>
      <c r="AN786" t="s">
        <v>1208</v>
      </c>
      <c r="AO786" t="s">
        <v>1209</v>
      </c>
      <c r="AP786" t="s">
        <v>74</v>
      </c>
      <c r="AQ786" t="s">
        <v>74</v>
      </c>
      <c r="AR786" t="s">
        <v>1210</v>
      </c>
      <c r="AS786" t="s">
        <v>1211</v>
      </c>
      <c r="AT786" t="s">
        <v>14773</v>
      </c>
      <c r="AU786">
        <v>2014</v>
      </c>
      <c r="AV786">
        <v>111</v>
      </c>
      <c r="AW786">
        <v>18</v>
      </c>
      <c r="AX786" t="s">
        <v>74</v>
      </c>
      <c r="AY786" t="s">
        <v>74</v>
      </c>
      <c r="AZ786" t="s">
        <v>74</v>
      </c>
      <c r="BA786" t="s">
        <v>74</v>
      </c>
      <c r="BB786">
        <v>6582</v>
      </c>
      <c r="BC786">
        <v>6587</v>
      </c>
      <c r="BD786" t="s">
        <v>74</v>
      </c>
      <c r="BE786" t="s">
        <v>14774</v>
      </c>
      <c r="BF786" t="str">
        <f>HYPERLINK("http://dx.doi.org/10.1073/pnas.1321441111","http://dx.doi.org/10.1073/pnas.1321441111")</f>
        <v>http://dx.doi.org/10.1073/pnas.1321441111</v>
      </c>
      <c r="BG786" t="s">
        <v>74</v>
      </c>
      <c r="BH786" t="s">
        <v>74</v>
      </c>
      <c r="BI786">
        <v>6</v>
      </c>
      <c r="BJ786" t="s">
        <v>660</v>
      </c>
      <c r="BK786" t="s">
        <v>102</v>
      </c>
      <c r="BL786" t="s">
        <v>661</v>
      </c>
      <c r="BM786" t="s">
        <v>14775</v>
      </c>
      <c r="BN786">
        <v>24753570</v>
      </c>
      <c r="BO786" t="s">
        <v>4566</v>
      </c>
      <c r="BP786" t="s">
        <v>74</v>
      </c>
      <c r="BQ786" t="s">
        <v>74</v>
      </c>
      <c r="BR786" t="s">
        <v>105</v>
      </c>
      <c r="BS786" t="s">
        <v>14776</v>
      </c>
      <c r="BT786" t="str">
        <f>HYPERLINK("https%3A%2F%2Fwww.webofscience.com%2Fwos%2Fwoscc%2Ffull-record%2FWOS:000335477300031","View Full Record in Web of Science")</f>
        <v>View Full Record in Web of Science</v>
      </c>
    </row>
    <row r="787" spans="1:72" x14ac:dyDescent="0.15">
      <c r="A787" t="s">
        <v>72</v>
      </c>
      <c r="B787" t="s">
        <v>14777</v>
      </c>
      <c r="C787" t="s">
        <v>74</v>
      </c>
      <c r="D787" t="s">
        <v>74</v>
      </c>
      <c r="E787" t="s">
        <v>74</v>
      </c>
      <c r="F787" t="s">
        <v>14778</v>
      </c>
      <c r="G787" t="s">
        <v>74</v>
      </c>
      <c r="H787" t="s">
        <v>74</v>
      </c>
      <c r="I787" t="s">
        <v>14779</v>
      </c>
      <c r="J787" t="s">
        <v>11002</v>
      </c>
      <c r="K787" t="s">
        <v>74</v>
      </c>
      <c r="L787" t="s">
        <v>74</v>
      </c>
      <c r="M787" t="s">
        <v>78</v>
      </c>
      <c r="N787" t="s">
        <v>79</v>
      </c>
      <c r="O787" t="s">
        <v>74</v>
      </c>
      <c r="P787" t="s">
        <v>74</v>
      </c>
      <c r="Q787" t="s">
        <v>74</v>
      </c>
      <c r="R787" t="s">
        <v>74</v>
      </c>
      <c r="S787" t="s">
        <v>74</v>
      </c>
      <c r="T787" t="s">
        <v>74</v>
      </c>
      <c r="U787" t="s">
        <v>14780</v>
      </c>
      <c r="V787" t="s">
        <v>14781</v>
      </c>
      <c r="W787" t="s">
        <v>14782</v>
      </c>
      <c r="X787" t="s">
        <v>14783</v>
      </c>
      <c r="Y787" t="s">
        <v>14784</v>
      </c>
      <c r="Z787" t="s">
        <v>14785</v>
      </c>
      <c r="AA787" t="s">
        <v>14786</v>
      </c>
      <c r="AB787" t="s">
        <v>14787</v>
      </c>
      <c r="AC787" t="s">
        <v>14788</v>
      </c>
      <c r="AD787" t="s">
        <v>14789</v>
      </c>
      <c r="AE787" t="s">
        <v>14790</v>
      </c>
      <c r="AF787" t="s">
        <v>74</v>
      </c>
      <c r="AG787">
        <v>74</v>
      </c>
      <c r="AH787">
        <v>366</v>
      </c>
      <c r="AI787">
        <v>410</v>
      </c>
      <c r="AJ787">
        <v>6</v>
      </c>
      <c r="AK787">
        <v>170</v>
      </c>
      <c r="AL787" t="s">
        <v>11007</v>
      </c>
      <c r="AM787" t="s">
        <v>1293</v>
      </c>
      <c r="AN787" t="s">
        <v>11008</v>
      </c>
      <c r="AO787" t="s">
        <v>11009</v>
      </c>
      <c r="AP787" t="s">
        <v>11010</v>
      </c>
      <c r="AQ787" t="s">
        <v>74</v>
      </c>
      <c r="AR787" t="s">
        <v>11011</v>
      </c>
      <c r="AS787" t="s">
        <v>11012</v>
      </c>
      <c r="AT787" t="s">
        <v>14791</v>
      </c>
      <c r="AU787">
        <v>2014</v>
      </c>
      <c r="AV787">
        <v>24</v>
      </c>
      <c r="AW787">
        <v>9</v>
      </c>
      <c r="AX787" t="s">
        <v>74</v>
      </c>
      <c r="AY787" t="s">
        <v>74</v>
      </c>
      <c r="AZ787" t="s">
        <v>74</v>
      </c>
      <c r="BA787" t="s">
        <v>74</v>
      </c>
      <c r="BB787">
        <v>919</v>
      </c>
      <c r="BC787">
        <v>930</v>
      </c>
      <c r="BD787" t="s">
        <v>74</v>
      </c>
      <c r="BE787" t="s">
        <v>14792</v>
      </c>
      <c r="BF787" t="str">
        <f>HYPERLINK("http://dx.doi.org/10.1016/j.cub.2014.03.011","http://dx.doi.org/10.1016/j.cub.2014.03.011")</f>
        <v>http://dx.doi.org/10.1016/j.cub.2014.03.011</v>
      </c>
      <c r="BG787" t="s">
        <v>74</v>
      </c>
      <c r="BH787" t="s">
        <v>74</v>
      </c>
      <c r="BI787">
        <v>12</v>
      </c>
      <c r="BJ787" t="s">
        <v>11016</v>
      </c>
      <c r="BK787" t="s">
        <v>102</v>
      </c>
      <c r="BL787" t="s">
        <v>11017</v>
      </c>
      <c r="BM787" t="s">
        <v>14793</v>
      </c>
      <c r="BN787">
        <v>24726155</v>
      </c>
      <c r="BO787" t="s">
        <v>4028</v>
      </c>
      <c r="BP787" t="s">
        <v>3371</v>
      </c>
      <c r="BQ787" t="s">
        <v>3372</v>
      </c>
      <c r="BR787" t="s">
        <v>105</v>
      </c>
      <c r="BS787" t="s">
        <v>14794</v>
      </c>
      <c r="BT787" t="str">
        <f>HYPERLINK("https%3A%2F%2Fwww.webofscience.com%2Fwos%2Fwoscc%2Ffull-record%2FWOS:000335542300015","View Full Record in Web of Science")</f>
        <v>View Full Record in Web of Science</v>
      </c>
    </row>
    <row r="788" spans="1:72" x14ac:dyDescent="0.15">
      <c r="A788" t="s">
        <v>72</v>
      </c>
      <c r="B788" t="s">
        <v>14795</v>
      </c>
      <c r="C788" t="s">
        <v>74</v>
      </c>
      <c r="D788" t="s">
        <v>74</v>
      </c>
      <c r="E788" t="s">
        <v>74</v>
      </c>
      <c r="F788" t="s">
        <v>14796</v>
      </c>
      <c r="G788" t="s">
        <v>74</v>
      </c>
      <c r="H788" t="s">
        <v>74</v>
      </c>
      <c r="I788" t="s">
        <v>14797</v>
      </c>
      <c r="J788" t="s">
        <v>14798</v>
      </c>
      <c r="K788" t="s">
        <v>74</v>
      </c>
      <c r="L788" t="s">
        <v>74</v>
      </c>
      <c r="M788" t="s">
        <v>78</v>
      </c>
      <c r="N788" t="s">
        <v>79</v>
      </c>
      <c r="O788" t="s">
        <v>74</v>
      </c>
      <c r="P788" t="s">
        <v>74</v>
      </c>
      <c r="Q788" t="s">
        <v>74</v>
      </c>
      <c r="R788" t="s">
        <v>74</v>
      </c>
      <c r="S788" t="s">
        <v>74</v>
      </c>
      <c r="T788" t="s">
        <v>14799</v>
      </c>
      <c r="U788" t="s">
        <v>14800</v>
      </c>
      <c r="V788" t="s">
        <v>14801</v>
      </c>
      <c r="W788" t="s">
        <v>14802</v>
      </c>
      <c r="X788" t="s">
        <v>14803</v>
      </c>
      <c r="Y788" t="s">
        <v>14804</v>
      </c>
      <c r="Z788" t="s">
        <v>14805</v>
      </c>
      <c r="AA788" t="s">
        <v>74</v>
      </c>
      <c r="AB788" t="s">
        <v>74</v>
      </c>
      <c r="AC788" t="s">
        <v>14806</v>
      </c>
      <c r="AD788" t="s">
        <v>14807</v>
      </c>
      <c r="AE788" t="s">
        <v>14808</v>
      </c>
      <c r="AF788" t="s">
        <v>74</v>
      </c>
      <c r="AG788">
        <v>41</v>
      </c>
      <c r="AH788">
        <v>62</v>
      </c>
      <c r="AI788">
        <v>67</v>
      </c>
      <c r="AJ788">
        <v>1</v>
      </c>
      <c r="AK788">
        <v>49</v>
      </c>
      <c r="AL788" t="s">
        <v>1005</v>
      </c>
      <c r="AM788" t="s">
        <v>1006</v>
      </c>
      <c r="AN788" t="s">
        <v>1007</v>
      </c>
      <c r="AO788" t="s">
        <v>14809</v>
      </c>
      <c r="AP788" t="s">
        <v>74</v>
      </c>
      <c r="AQ788" t="s">
        <v>74</v>
      </c>
      <c r="AR788" t="s">
        <v>14810</v>
      </c>
      <c r="AS788" t="s">
        <v>14811</v>
      </c>
      <c r="AT788" t="s">
        <v>14791</v>
      </c>
      <c r="AU788">
        <v>2014</v>
      </c>
      <c r="AV788">
        <v>5</v>
      </c>
      <c r="AW788" t="s">
        <v>74</v>
      </c>
      <c r="AX788" t="s">
        <v>74</v>
      </c>
      <c r="AY788" t="s">
        <v>74</v>
      </c>
      <c r="AZ788" t="s">
        <v>74</v>
      </c>
      <c r="BA788" t="s">
        <v>74</v>
      </c>
      <c r="BB788" t="s">
        <v>74</v>
      </c>
      <c r="BC788" t="s">
        <v>74</v>
      </c>
      <c r="BD788">
        <v>173</v>
      </c>
      <c r="BE788" t="s">
        <v>14812</v>
      </c>
      <c r="BF788" t="str">
        <f>HYPERLINK("http://dx.doi.org/10.3389/fphys.2014.00173","http://dx.doi.org/10.3389/fphys.2014.00173")</f>
        <v>http://dx.doi.org/10.3389/fphys.2014.00173</v>
      </c>
      <c r="BG788" t="s">
        <v>74</v>
      </c>
      <c r="BH788" t="s">
        <v>74</v>
      </c>
      <c r="BI788">
        <v>9</v>
      </c>
      <c r="BJ788" t="s">
        <v>14813</v>
      </c>
      <c r="BK788" t="s">
        <v>102</v>
      </c>
      <c r="BL788" t="s">
        <v>14813</v>
      </c>
      <c r="BM788" t="s">
        <v>14814</v>
      </c>
      <c r="BN788">
        <v>24847277</v>
      </c>
      <c r="BO788" t="s">
        <v>206</v>
      </c>
      <c r="BP788" t="s">
        <v>74</v>
      </c>
      <c r="BQ788" t="s">
        <v>74</v>
      </c>
      <c r="BR788" t="s">
        <v>105</v>
      </c>
      <c r="BS788" t="s">
        <v>14815</v>
      </c>
      <c r="BT788" t="str">
        <f>HYPERLINK("https%3A%2F%2Fwww.webofscience.com%2Fwos%2Fwoscc%2Ffull-record%2FWOS:000347045500001","View Full Record in Web of Science")</f>
        <v>View Full Record in Web of Science</v>
      </c>
    </row>
    <row r="789" spans="1:72" x14ac:dyDescent="0.15">
      <c r="A789" t="s">
        <v>72</v>
      </c>
      <c r="B789" t="s">
        <v>14816</v>
      </c>
      <c r="C789" t="s">
        <v>74</v>
      </c>
      <c r="D789" t="s">
        <v>74</v>
      </c>
      <c r="E789" t="s">
        <v>74</v>
      </c>
      <c r="F789" t="s">
        <v>14817</v>
      </c>
      <c r="G789" t="s">
        <v>74</v>
      </c>
      <c r="H789" t="s">
        <v>74</v>
      </c>
      <c r="I789" t="s">
        <v>14818</v>
      </c>
      <c r="J789" t="s">
        <v>4318</v>
      </c>
      <c r="K789" t="s">
        <v>74</v>
      </c>
      <c r="L789" t="s">
        <v>74</v>
      </c>
      <c r="M789" t="s">
        <v>78</v>
      </c>
      <c r="N789" t="s">
        <v>79</v>
      </c>
      <c r="O789" t="s">
        <v>74</v>
      </c>
      <c r="P789" t="s">
        <v>74</v>
      </c>
      <c r="Q789" t="s">
        <v>74</v>
      </c>
      <c r="R789" t="s">
        <v>74</v>
      </c>
      <c r="S789" t="s">
        <v>74</v>
      </c>
      <c r="T789" t="s">
        <v>14819</v>
      </c>
      <c r="U789" t="s">
        <v>14820</v>
      </c>
      <c r="V789" t="s">
        <v>14821</v>
      </c>
      <c r="W789" t="s">
        <v>14822</v>
      </c>
      <c r="X789" t="s">
        <v>14823</v>
      </c>
      <c r="Y789" t="s">
        <v>14824</v>
      </c>
      <c r="Z789" t="s">
        <v>14825</v>
      </c>
      <c r="AA789" t="s">
        <v>14826</v>
      </c>
      <c r="AB789" t="s">
        <v>14827</v>
      </c>
      <c r="AC789" t="s">
        <v>14828</v>
      </c>
      <c r="AD789" t="s">
        <v>1595</v>
      </c>
      <c r="AE789" t="s">
        <v>14829</v>
      </c>
      <c r="AF789" t="s">
        <v>74</v>
      </c>
      <c r="AG789">
        <v>117</v>
      </c>
      <c r="AH789">
        <v>36</v>
      </c>
      <c r="AI789">
        <v>41</v>
      </c>
      <c r="AJ789">
        <v>2</v>
      </c>
      <c r="AK789">
        <v>29</v>
      </c>
      <c r="AL789" t="s">
        <v>753</v>
      </c>
      <c r="AM789" t="s">
        <v>124</v>
      </c>
      <c r="AN789" t="s">
        <v>754</v>
      </c>
      <c r="AO789" t="s">
        <v>4331</v>
      </c>
      <c r="AP789" t="s">
        <v>4332</v>
      </c>
      <c r="AQ789" t="s">
        <v>74</v>
      </c>
      <c r="AR789" t="s">
        <v>4333</v>
      </c>
      <c r="AS789" t="s">
        <v>4334</v>
      </c>
      <c r="AT789" t="s">
        <v>14830</v>
      </c>
      <c r="AU789">
        <v>2014</v>
      </c>
      <c r="AV789">
        <v>25</v>
      </c>
      <c r="AW789">
        <v>4</v>
      </c>
      <c r="AX789" t="s">
        <v>74</v>
      </c>
      <c r="AY789" t="s">
        <v>74</v>
      </c>
      <c r="AZ789" t="s">
        <v>258</v>
      </c>
      <c r="BA789" t="s">
        <v>74</v>
      </c>
      <c r="BB789">
        <v>1660</v>
      </c>
      <c r="BC789">
        <v>1679</v>
      </c>
      <c r="BD789" t="s">
        <v>74</v>
      </c>
      <c r="BE789" t="s">
        <v>14831</v>
      </c>
      <c r="BF789" t="str">
        <f>HYPERLINK("http://dx.doi.org/10.1016/j.gr.2013.06.013","http://dx.doi.org/10.1016/j.gr.2013.06.013")</f>
        <v>http://dx.doi.org/10.1016/j.gr.2013.06.013</v>
      </c>
      <c r="BG789" t="s">
        <v>74</v>
      </c>
      <c r="BH789" t="s">
        <v>74</v>
      </c>
      <c r="BI789">
        <v>20</v>
      </c>
      <c r="BJ789" t="s">
        <v>685</v>
      </c>
      <c r="BK789" t="s">
        <v>102</v>
      </c>
      <c r="BL789" t="s">
        <v>686</v>
      </c>
      <c r="BM789" t="s">
        <v>14832</v>
      </c>
      <c r="BN789" t="s">
        <v>74</v>
      </c>
      <c r="BO789" t="s">
        <v>359</v>
      </c>
      <c r="BP789" t="s">
        <v>74</v>
      </c>
      <c r="BQ789" t="s">
        <v>74</v>
      </c>
      <c r="BR789" t="s">
        <v>105</v>
      </c>
      <c r="BS789" t="s">
        <v>14833</v>
      </c>
      <c r="BT789" t="str">
        <f>HYPERLINK("https%3A%2F%2Fwww.webofscience.com%2Fwos%2Fwoscc%2Ffull-record%2FWOS:000347279400024","View Full Record in Web of Science")</f>
        <v>View Full Record in Web of Science</v>
      </c>
    </row>
    <row r="790" spans="1:72" x14ac:dyDescent="0.15">
      <c r="A790" t="s">
        <v>72</v>
      </c>
      <c r="B790" t="s">
        <v>14834</v>
      </c>
      <c r="C790" t="s">
        <v>74</v>
      </c>
      <c r="D790" t="s">
        <v>74</v>
      </c>
      <c r="E790" t="s">
        <v>74</v>
      </c>
      <c r="F790" t="s">
        <v>14835</v>
      </c>
      <c r="G790" t="s">
        <v>74</v>
      </c>
      <c r="H790" t="s">
        <v>74</v>
      </c>
      <c r="I790" t="s">
        <v>14836</v>
      </c>
      <c r="J790" t="s">
        <v>8851</v>
      </c>
      <c r="K790" t="s">
        <v>74</v>
      </c>
      <c r="L790" t="s">
        <v>74</v>
      </c>
      <c r="M790" t="s">
        <v>78</v>
      </c>
      <c r="N790" t="s">
        <v>79</v>
      </c>
      <c r="O790" t="s">
        <v>74</v>
      </c>
      <c r="P790" t="s">
        <v>74</v>
      </c>
      <c r="Q790" t="s">
        <v>74</v>
      </c>
      <c r="R790" t="s">
        <v>74</v>
      </c>
      <c r="S790" t="s">
        <v>74</v>
      </c>
      <c r="T790" t="s">
        <v>74</v>
      </c>
      <c r="U790" t="s">
        <v>14837</v>
      </c>
      <c r="V790" t="s">
        <v>14838</v>
      </c>
      <c r="W790" t="s">
        <v>14839</v>
      </c>
      <c r="X790" t="s">
        <v>14840</v>
      </c>
      <c r="Y790" t="s">
        <v>14841</v>
      </c>
      <c r="Z790" t="s">
        <v>14842</v>
      </c>
      <c r="AA790" t="s">
        <v>74</v>
      </c>
      <c r="AB790" t="s">
        <v>14843</v>
      </c>
      <c r="AC790" t="s">
        <v>14844</v>
      </c>
      <c r="AD790" t="s">
        <v>14845</v>
      </c>
      <c r="AE790" t="s">
        <v>14846</v>
      </c>
      <c r="AF790" t="s">
        <v>74</v>
      </c>
      <c r="AG790">
        <v>55</v>
      </c>
      <c r="AH790">
        <v>20</v>
      </c>
      <c r="AI790">
        <v>22</v>
      </c>
      <c r="AJ790">
        <v>0</v>
      </c>
      <c r="AK790">
        <v>26</v>
      </c>
      <c r="AL790" t="s">
        <v>171</v>
      </c>
      <c r="AM790" t="s">
        <v>93</v>
      </c>
      <c r="AN790" t="s">
        <v>94</v>
      </c>
      <c r="AO790" t="s">
        <v>8863</v>
      </c>
      <c r="AP790" t="s">
        <v>8864</v>
      </c>
      <c r="AQ790" t="s">
        <v>74</v>
      </c>
      <c r="AR790" t="s">
        <v>8865</v>
      </c>
      <c r="AS790" t="s">
        <v>8866</v>
      </c>
      <c r="AT790" t="s">
        <v>14830</v>
      </c>
      <c r="AU790">
        <v>2014</v>
      </c>
      <c r="AV790">
        <v>59</v>
      </c>
      <c r="AW790">
        <v>3</v>
      </c>
      <c r="AX790" t="s">
        <v>74</v>
      </c>
      <c r="AY790" t="s">
        <v>74</v>
      </c>
      <c r="AZ790" t="s">
        <v>74</v>
      </c>
      <c r="BA790" t="s">
        <v>74</v>
      </c>
      <c r="BB790">
        <v>674</v>
      </c>
      <c r="BC790">
        <v>688</v>
      </c>
      <c r="BD790" t="s">
        <v>74</v>
      </c>
      <c r="BE790" t="s">
        <v>14847</v>
      </c>
      <c r="BF790" t="str">
        <f>HYPERLINK("http://dx.doi.org/10.4319/lo.2014.59.3.0674","http://dx.doi.org/10.4319/lo.2014.59.3.0674")</f>
        <v>http://dx.doi.org/10.4319/lo.2014.59.3.0674</v>
      </c>
      <c r="BG790" t="s">
        <v>74</v>
      </c>
      <c r="BH790" t="s">
        <v>74</v>
      </c>
      <c r="BI790">
        <v>15</v>
      </c>
      <c r="BJ790" t="s">
        <v>8868</v>
      </c>
      <c r="BK790" t="s">
        <v>102</v>
      </c>
      <c r="BL790" t="s">
        <v>2511</v>
      </c>
      <c r="BM790" t="s">
        <v>14848</v>
      </c>
      <c r="BN790" t="s">
        <v>74</v>
      </c>
      <c r="BO790" t="s">
        <v>12652</v>
      </c>
      <c r="BP790" t="s">
        <v>74</v>
      </c>
      <c r="BQ790" t="s">
        <v>74</v>
      </c>
      <c r="BR790" t="s">
        <v>105</v>
      </c>
      <c r="BS790" t="s">
        <v>14849</v>
      </c>
      <c r="BT790" t="str">
        <f>HYPERLINK("https%3A%2F%2Fwww.webofscience.com%2Fwos%2Fwoscc%2Ffull-record%2FWOS:000339904300004","View Full Record in Web of Science")</f>
        <v>View Full Record in Web of Science</v>
      </c>
    </row>
    <row r="791" spans="1:72" x14ac:dyDescent="0.15">
      <c r="A791" t="s">
        <v>72</v>
      </c>
      <c r="B791" t="s">
        <v>14850</v>
      </c>
      <c r="C791" t="s">
        <v>74</v>
      </c>
      <c r="D791" t="s">
        <v>74</v>
      </c>
      <c r="E791" t="s">
        <v>74</v>
      </c>
      <c r="F791" t="s">
        <v>14851</v>
      </c>
      <c r="G791" t="s">
        <v>74</v>
      </c>
      <c r="H791" t="s">
        <v>74</v>
      </c>
      <c r="I791" t="s">
        <v>14852</v>
      </c>
      <c r="J791" t="s">
        <v>8851</v>
      </c>
      <c r="K791" t="s">
        <v>74</v>
      </c>
      <c r="L791" t="s">
        <v>74</v>
      </c>
      <c r="M791" t="s">
        <v>78</v>
      </c>
      <c r="N791" t="s">
        <v>79</v>
      </c>
      <c r="O791" t="s">
        <v>74</v>
      </c>
      <c r="P791" t="s">
        <v>74</v>
      </c>
      <c r="Q791" t="s">
        <v>74</v>
      </c>
      <c r="R791" t="s">
        <v>74</v>
      </c>
      <c r="S791" t="s">
        <v>74</v>
      </c>
      <c r="T791" t="s">
        <v>74</v>
      </c>
      <c r="U791" t="s">
        <v>14853</v>
      </c>
      <c r="V791" t="s">
        <v>14854</v>
      </c>
      <c r="W791" t="s">
        <v>14855</v>
      </c>
      <c r="X791" t="s">
        <v>14856</v>
      </c>
      <c r="Y791" t="s">
        <v>14857</v>
      </c>
      <c r="Z791" t="s">
        <v>14858</v>
      </c>
      <c r="AA791" t="s">
        <v>14859</v>
      </c>
      <c r="AB791" t="s">
        <v>14860</v>
      </c>
      <c r="AC791" t="s">
        <v>14861</v>
      </c>
      <c r="AD791" t="s">
        <v>14862</v>
      </c>
      <c r="AE791" t="s">
        <v>14863</v>
      </c>
      <c r="AF791" t="s">
        <v>74</v>
      </c>
      <c r="AG791">
        <v>72</v>
      </c>
      <c r="AH791">
        <v>59</v>
      </c>
      <c r="AI791">
        <v>71</v>
      </c>
      <c r="AJ791">
        <v>0</v>
      </c>
      <c r="AK791">
        <v>43</v>
      </c>
      <c r="AL791" t="s">
        <v>171</v>
      </c>
      <c r="AM791" t="s">
        <v>93</v>
      </c>
      <c r="AN791" t="s">
        <v>94</v>
      </c>
      <c r="AO791" t="s">
        <v>8863</v>
      </c>
      <c r="AP791" t="s">
        <v>8864</v>
      </c>
      <c r="AQ791" t="s">
        <v>74</v>
      </c>
      <c r="AR791" t="s">
        <v>8865</v>
      </c>
      <c r="AS791" t="s">
        <v>8866</v>
      </c>
      <c r="AT791" t="s">
        <v>14830</v>
      </c>
      <c r="AU791">
        <v>2014</v>
      </c>
      <c r="AV791">
        <v>59</v>
      </c>
      <c r="AW791">
        <v>3</v>
      </c>
      <c r="AX791" t="s">
        <v>74</v>
      </c>
      <c r="AY791" t="s">
        <v>74</v>
      </c>
      <c r="AZ791" t="s">
        <v>74</v>
      </c>
      <c r="BA791" t="s">
        <v>74</v>
      </c>
      <c r="BB791">
        <v>769</v>
      </c>
      <c r="BC791">
        <v>787</v>
      </c>
      <c r="BD791" t="s">
        <v>74</v>
      </c>
      <c r="BE791" t="s">
        <v>14864</v>
      </c>
      <c r="BF791" t="str">
        <f>HYPERLINK("http://dx.doi.org/10.4319/lo.2014.59.3.0769","http://dx.doi.org/10.4319/lo.2014.59.3.0769")</f>
        <v>http://dx.doi.org/10.4319/lo.2014.59.3.0769</v>
      </c>
      <c r="BG791" t="s">
        <v>74</v>
      </c>
      <c r="BH791" t="s">
        <v>74</v>
      </c>
      <c r="BI791">
        <v>19</v>
      </c>
      <c r="BJ791" t="s">
        <v>8868</v>
      </c>
      <c r="BK791" t="s">
        <v>102</v>
      </c>
      <c r="BL791" t="s">
        <v>2511</v>
      </c>
      <c r="BM791" t="s">
        <v>14848</v>
      </c>
      <c r="BN791" t="s">
        <v>74</v>
      </c>
      <c r="BO791" t="s">
        <v>74</v>
      </c>
      <c r="BP791" t="s">
        <v>74</v>
      </c>
      <c r="BQ791" t="s">
        <v>74</v>
      </c>
      <c r="BR791" t="s">
        <v>105</v>
      </c>
      <c r="BS791" t="s">
        <v>14865</v>
      </c>
      <c r="BT791" t="str">
        <f>HYPERLINK("https%3A%2F%2Fwww.webofscience.com%2Fwos%2Fwoscc%2Ffull-record%2FWOS:000339904300011","View Full Record in Web of Science")</f>
        <v>View Full Record in Web of Science</v>
      </c>
    </row>
    <row r="792" spans="1:72" x14ac:dyDescent="0.15">
      <c r="A792" t="s">
        <v>72</v>
      </c>
      <c r="B792" t="s">
        <v>14866</v>
      </c>
      <c r="C792" t="s">
        <v>74</v>
      </c>
      <c r="D792" t="s">
        <v>74</v>
      </c>
      <c r="E792" t="s">
        <v>74</v>
      </c>
      <c r="F792" t="s">
        <v>14867</v>
      </c>
      <c r="G792" t="s">
        <v>74</v>
      </c>
      <c r="H792" t="s">
        <v>74</v>
      </c>
      <c r="I792" t="s">
        <v>14868</v>
      </c>
      <c r="J792" t="s">
        <v>8851</v>
      </c>
      <c r="K792" t="s">
        <v>74</v>
      </c>
      <c r="L792" t="s">
        <v>74</v>
      </c>
      <c r="M792" t="s">
        <v>78</v>
      </c>
      <c r="N792" t="s">
        <v>79</v>
      </c>
      <c r="O792" t="s">
        <v>74</v>
      </c>
      <c r="P792" t="s">
        <v>74</v>
      </c>
      <c r="Q792" t="s">
        <v>74</v>
      </c>
      <c r="R792" t="s">
        <v>74</v>
      </c>
      <c r="S792" t="s">
        <v>74</v>
      </c>
      <c r="T792" t="s">
        <v>74</v>
      </c>
      <c r="U792" t="s">
        <v>14869</v>
      </c>
      <c r="V792" t="s">
        <v>14870</v>
      </c>
      <c r="W792" t="s">
        <v>14871</v>
      </c>
      <c r="X792" t="s">
        <v>14872</v>
      </c>
      <c r="Y792" t="s">
        <v>14873</v>
      </c>
      <c r="Z792" t="s">
        <v>14874</v>
      </c>
      <c r="AA792" t="s">
        <v>14875</v>
      </c>
      <c r="AB792" t="s">
        <v>14876</v>
      </c>
      <c r="AC792" t="s">
        <v>14877</v>
      </c>
      <c r="AD792" t="s">
        <v>14878</v>
      </c>
      <c r="AE792" t="s">
        <v>14879</v>
      </c>
      <c r="AF792" t="s">
        <v>74</v>
      </c>
      <c r="AG792">
        <v>52</v>
      </c>
      <c r="AH792">
        <v>16</v>
      </c>
      <c r="AI792">
        <v>21</v>
      </c>
      <c r="AJ792">
        <v>1</v>
      </c>
      <c r="AK792">
        <v>30</v>
      </c>
      <c r="AL792" t="s">
        <v>171</v>
      </c>
      <c r="AM792" t="s">
        <v>93</v>
      </c>
      <c r="AN792" t="s">
        <v>94</v>
      </c>
      <c r="AO792" t="s">
        <v>8863</v>
      </c>
      <c r="AP792" t="s">
        <v>8864</v>
      </c>
      <c r="AQ792" t="s">
        <v>74</v>
      </c>
      <c r="AR792" t="s">
        <v>8865</v>
      </c>
      <c r="AS792" t="s">
        <v>8866</v>
      </c>
      <c r="AT792" t="s">
        <v>14830</v>
      </c>
      <c r="AU792">
        <v>2014</v>
      </c>
      <c r="AV792">
        <v>59</v>
      </c>
      <c r="AW792">
        <v>3</v>
      </c>
      <c r="AX792" t="s">
        <v>74</v>
      </c>
      <c r="AY792" t="s">
        <v>74</v>
      </c>
      <c r="AZ792" t="s">
        <v>74</v>
      </c>
      <c r="BA792" t="s">
        <v>74</v>
      </c>
      <c r="BB792">
        <v>811</v>
      </c>
      <c r="BC792">
        <v>826</v>
      </c>
      <c r="BD792" t="s">
        <v>74</v>
      </c>
      <c r="BE792" t="s">
        <v>14880</v>
      </c>
      <c r="BF792" t="str">
        <f>HYPERLINK("http://dx.doi.org/10.4319/lo.2014.59.3.0811","http://dx.doi.org/10.4319/lo.2014.59.3.0811")</f>
        <v>http://dx.doi.org/10.4319/lo.2014.59.3.0811</v>
      </c>
      <c r="BG792" t="s">
        <v>74</v>
      </c>
      <c r="BH792" t="s">
        <v>74</v>
      </c>
      <c r="BI792">
        <v>16</v>
      </c>
      <c r="BJ792" t="s">
        <v>8868</v>
      </c>
      <c r="BK792" t="s">
        <v>102</v>
      </c>
      <c r="BL792" t="s">
        <v>2511</v>
      </c>
      <c r="BM792" t="s">
        <v>14848</v>
      </c>
      <c r="BN792" t="s">
        <v>74</v>
      </c>
      <c r="BO792" t="s">
        <v>427</v>
      </c>
      <c r="BP792" t="s">
        <v>74</v>
      </c>
      <c r="BQ792" t="s">
        <v>74</v>
      </c>
      <c r="BR792" t="s">
        <v>105</v>
      </c>
      <c r="BS792" t="s">
        <v>14881</v>
      </c>
      <c r="BT792" t="str">
        <f>HYPERLINK("https%3A%2F%2Fwww.webofscience.com%2Fwos%2Fwoscc%2Ffull-record%2FWOS:000339904300014","View Full Record in Web of Science")</f>
        <v>View Full Record in Web of Science</v>
      </c>
    </row>
    <row r="793" spans="1:72" x14ac:dyDescent="0.15">
      <c r="A793" t="s">
        <v>72</v>
      </c>
      <c r="B793" t="s">
        <v>14882</v>
      </c>
      <c r="C793" t="s">
        <v>74</v>
      </c>
      <c r="D793" t="s">
        <v>74</v>
      </c>
      <c r="E793" t="s">
        <v>74</v>
      </c>
      <c r="F793" t="s">
        <v>14883</v>
      </c>
      <c r="G793" t="s">
        <v>74</v>
      </c>
      <c r="H793" t="s">
        <v>74</v>
      </c>
      <c r="I793" t="s">
        <v>14884</v>
      </c>
      <c r="J793" t="s">
        <v>14885</v>
      </c>
      <c r="K793" t="s">
        <v>74</v>
      </c>
      <c r="L793" t="s">
        <v>74</v>
      </c>
      <c r="M793" t="s">
        <v>78</v>
      </c>
      <c r="N793" t="s">
        <v>79</v>
      </c>
      <c r="O793" t="s">
        <v>74</v>
      </c>
      <c r="P793" t="s">
        <v>74</v>
      </c>
      <c r="Q793" t="s">
        <v>74</v>
      </c>
      <c r="R793" t="s">
        <v>74</v>
      </c>
      <c r="S793" t="s">
        <v>74</v>
      </c>
      <c r="T793" t="s">
        <v>14886</v>
      </c>
      <c r="U793" t="s">
        <v>14887</v>
      </c>
      <c r="V793" t="s">
        <v>14888</v>
      </c>
      <c r="W793" t="s">
        <v>14889</v>
      </c>
      <c r="X793" t="s">
        <v>14890</v>
      </c>
      <c r="Y793" t="s">
        <v>14891</v>
      </c>
      <c r="Z793" t="s">
        <v>14892</v>
      </c>
      <c r="AA793" t="s">
        <v>14893</v>
      </c>
      <c r="AB793" t="s">
        <v>14894</v>
      </c>
      <c r="AC793" t="s">
        <v>74</v>
      </c>
      <c r="AD793" t="s">
        <v>74</v>
      </c>
      <c r="AE793" t="s">
        <v>74</v>
      </c>
      <c r="AF793" t="s">
        <v>74</v>
      </c>
      <c r="AG793">
        <v>47</v>
      </c>
      <c r="AH793">
        <v>13</v>
      </c>
      <c r="AI793">
        <v>15</v>
      </c>
      <c r="AJ793">
        <v>0</v>
      </c>
      <c r="AK793">
        <v>13</v>
      </c>
      <c r="AL793" t="s">
        <v>14895</v>
      </c>
      <c r="AM793" t="s">
        <v>14896</v>
      </c>
      <c r="AN793" t="s">
        <v>14897</v>
      </c>
      <c r="AO793" t="s">
        <v>14898</v>
      </c>
      <c r="AP793" t="s">
        <v>14899</v>
      </c>
      <c r="AQ793" t="s">
        <v>74</v>
      </c>
      <c r="AR793" t="s">
        <v>14900</v>
      </c>
      <c r="AS793" t="s">
        <v>14901</v>
      </c>
      <c r="AT793" t="s">
        <v>14902</v>
      </c>
      <c r="AU793">
        <v>2014</v>
      </c>
      <c r="AV793">
        <v>47</v>
      </c>
      <c r="AW793">
        <v>3</v>
      </c>
      <c r="AX793" t="s">
        <v>74</v>
      </c>
      <c r="AY793" t="s">
        <v>74</v>
      </c>
      <c r="AZ793" t="s">
        <v>74</v>
      </c>
      <c r="BA793" t="s">
        <v>74</v>
      </c>
      <c r="BB793">
        <v>77</v>
      </c>
      <c r="BC793">
        <v>85</v>
      </c>
      <c r="BD793" t="s">
        <v>74</v>
      </c>
      <c r="BE793" t="s">
        <v>14903</v>
      </c>
      <c r="BF793" t="str">
        <f>HYPERLINK("http://dx.doi.org/10.1016/j.geobios.2014.03.003","http://dx.doi.org/10.1016/j.geobios.2014.03.003")</f>
        <v>http://dx.doi.org/10.1016/j.geobios.2014.03.003</v>
      </c>
      <c r="BG793" t="s">
        <v>74</v>
      </c>
      <c r="BH793" t="s">
        <v>74</v>
      </c>
      <c r="BI793">
        <v>9</v>
      </c>
      <c r="BJ793" t="s">
        <v>2604</v>
      </c>
      <c r="BK793" t="s">
        <v>102</v>
      </c>
      <c r="BL793" t="s">
        <v>2604</v>
      </c>
      <c r="BM793" t="s">
        <v>14904</v>
      </c>
      <c r="BN793" t="s">
        <v>74</v>
      </c>
      <c r="BO793" t="s">
        <v>1274</v>
      </c>
      <c r="BP793" t="s">
        <v>74</v>
      </c>
      <c r="BQ793" t="s">
        <v>74</v>
      </c>
      <c r="BR793" t="s">
        <v>105</v>
      </c>
      <c r="BS793" t="s">
        <v>14905</v>
      </c>
      <c r="BT793" t="str">
        <f>HYPERLINK("https%3A%2F%2Fwww.webofscience.com%2Fwos%2Fwoscc%2Ffull-record%2FWOS:000339706600001","View Full Record in Web of Science")</f>
        <v>View Full Record in Web of Science</v>
      </c>
    </row>
    <row r="794" spans="1:72" x14ac:dyDescent="0.15">
      <c r="A794" t="s">
        <v>72</v>
      </c>
      <c r="B794" t="s">
        <v>14906</v>
      </c>
      <c r="C794" t="s">
        <v>74</v>
      </c>
      <c r="D794" t="s">
        <v>74</v>
      </c>
      <c r="E794" t="s">
        <v>74</v>
      </c>
      <c r="F794" t="s">
        <v>14907</v>
      </c>
      <c r="G794" t="s">
        <v>74</v>
      </c>
      <c r="H794" t="s">
        <v>74</v>
      </c>
      <c r="I794" t="s">
        <v>14908</v>
      </c>
      <c r="J794" t="s">
        <v>14909</v>
      </c>
      <c r="K794" t="s">
        <v>74</v>
      </c>
      <c r="L794" t="s">
        <v>74</v>
      </c>
      <c r="M794" t="s">
        <v>78</v>
      </c>
      <c r="N794" t="s">
        <v>79</v>
      </c>
      <c r="O794" t="s">
        <v>74</v>
      </c>
      <c r="P794" t="s">
        <v>74</v>
      </c>
      <c r="Q794" t="s">
        <v>74</v>
      </c>
      <c r="R794" t="s">
        <v>74</v>
      </c>
      <c r="S794" t="s">
        <v>74</v>
      </c>
      <c r="T794" t="s">
        <v>14910</v>
      </c>
      <c r="U794" t="s">
        <v>14911</v>
      </c>
      <c r="V794" t="s">
        <v>14912</v>
      </c>
      <c r="W794" t="s">
        <v>14913</v>
      </c>
      <c r="X794" t="s">
        <v>14914</v>
      </c>
      <c r="Y794" t="s">
        <v>14915</v>
      </c>
      <c r="Z794" t="s">
        <v>14916</v>
      </c>
      <c r="AA794" t="s">
        <v>14917</v>
      </c>
      <c r="AB794" t="s">
        <v>74</v>
      </c>
      <c r="AC794" t="s">
        <v>14918</v>
      </c>
      <c r="AD794" t="s">
        <v>14919</v>
      </c>
      <c r="AE794" t="s">
        <v>14920</v>
      </c>
      <c r="AF794" t="s">
        <v>74</v>
      </c>
      <c r="AG794">
        <v>39</v>
      </c>
      <c r="AH794">
        <v>69</v>
      </c>
      <c r="AI794">
        <v>76</v>
      </c>
      <c r="AJ794">
        <v>0</v>
      </c>
      <c r="AK794">
        <v>6</v>
      </c>
      <c r="AL794" t="s">
        <v>1805</v>
      </c>
      <c r="AM794" t="s">
        <v>1806</v>
      </c>
      <c r="AN794" t="s">
        <v>1807</v>
      </c>
      <c r="AO794" t="s">
        <v>14921</v>
      </c>
      <c r="AP794" t="s">
        <v>14922</v>
      </c>
      <c r="AQ794" t="s">
        <v>74</v>
      </c>
      <c r="AR794" t="s">
        <v>14923</v>
      </c>
      <c r="AS794" t="s">
        <v>14924</v>
      </c>
      <c r="AT794" t="s">
        <v>14830</v>
      </c>
      <c r="AU794">
        <v>2014</v>
      </c>
      <c r="AV794">
        <v>212</v>
      </c>
      <c r="AW794">
        <v>1</v>
      </c>
      <c r="AX794" t="s">
        <v>74</v>
      </c>
      <c r="AY794" t="s">
        <v>74</v>
      </c>
      <c r="AZ794" t="s">
        <v>74</v>
      </c>
      <c r="BA794" t="s">
        <v>74</v>
      </c>
      <c r="BB794" t="s">
        <v>74</v>
      </c>
      <c r="BC794" t="s">
        <v>74</v>
      </c>
      <c r="BD794">
        <v>4</v>
      </c>
      <c r="BE794" t="s">
        <v>14925</v>
      </c>
      <c r="BF794" t="str">
        <f>HYPERLINK("http://dx.doi.org/10.1088/0067-0049/212/1/4","http://dx.doi.org/10.1088/0067-0049/212/1/4")</f>
        <v>http://dx.doi.org/10.1088/0067-0049/212/1/4</v>
      </c>
      <c r="BG794" t="s">
        <v>74</v>
      </c>
      <c r="BH794" t="s">
        <v>74</v>
      </c>
      <c r="BI794">
        <v>15</v>
      </c>
      <c r="BJ794" t="s">
        <v>339</v>
      </c>
      <c r="BK794" t="s">
        <v>102</v>
      </c>
      <c r="BL794" t="s">
        <v>339</v>
      </c>
      <c r="BM794" t="s">
        <v>14926</v>
      </c>
      <c r="BN794" t="s">
        <v>74</v>
      </c>
      <c r="BO794" t="s">
        <v>179</v>
      </c>
      <c r="BP794" t="s">
        <v>74</v>
      </c>
      <c r="BQ794" t="s">
        <v>74</v>
      </c>
      <c r="BR794" t="s">
        <v>105</v>
      </c>
      <c r="BS794" t="s">
        <v>14927</v>
      </c>
      <c r="BT794" t="str">
        <f>HYPERLINK("https%3A%2F%2Fwww.webofscience.com%2Fwos%2Fwoscc%2Ffull-record%2FWOS:000339232600004","View Full Record in Web of Science")</f>
        <v>View Full Record in Web of Science</v>
      </c>
    </row>
    <row r="795" spans="1:72" x14ac:dyDescent="0.15">
      <c r="A795" t="s">
        <v>72</v>
      </c>
      <c r="B795" t="s">
        <v>14928</v>
      </c>
      <c r="C795" t="s">
        <v>74</v>
      </c>
      <c r="D795" t="s">
        <v>74</v>
      </c>
      <c r="E795" t="s">
        <v>74</v>
      </c>
      <c r="F795" t="s">
        <v>14929</v>
      </c>
      <c r="G795" t="s">
        <v>74</v>
      </c>
      <c r="H795" t="s">
        <v>74</v>
      </c>
      <c r="I795" t="s">
        <v>14930</v>
      </c>
      <c r="J795" t="s">
        <v>14931</v>
      </c>
      <c r="K795" t="s">
        <v>74</v>
      </c>
      <c r="L795" t="s">
        <v>74</v>
      </c>
      <c r="M795" t="s">
        <v>78</v>
      </c>
      <c r="N795" t="s">
        <v>79</v>
      </c>
      <c r="O795" t="s">
        <v>74</v>
      </c>
      <c r="P795" t="s">
        <v>74</v>
      </c>
      <c r="Q795" t="s">
        <v>74</v>
      </c>
      <c r="R795" t="s">
        <v>74</v>
      </c>
      <c r="S795" t="s">
        <v>74</v>
      </c>
      <c r="T795" t="s">
        <v>74</v>
      </c>
      <c r="U795" t="s">
        <v>14932</v>
      </c>
      <c r="V795" t="s">
        <v>14933</v>
      </c>
      <c r="W795" t="s">
        <v>14934</v>
      </c>
      <c r="X795" t="s">
        <v>14935</v>
      </c>
      <c r="Y795" t="s">
        <v>14936</v>
      </c>
      <c r="Z795" t="s">
        <v>14937</v>
      </c>
      <c r="AA795" t="s">
        <v>14938</v>
      </c>
      <c r="AB795" t="s">
        <v>14939</v>
      </c>
      <c r="AC795" t="s">
        <v>14940</v>
      </c>
      <c r="AD795" t="s">
        <v>14941</v>
      </c>
      <c r="AE795" t="s">
        <v>14942</v>
      </c>
      <c r="AF795" t="s">
        <v>74</v>
      </c>
      <c r="AG795">
        <v>62</v>
      </c>
      <c r="AH795">
        <v>57</v>
      </c>
      <c r="AI795">
        <v>62</v>
      </c>
      <c r="AJ795">
        <v>1</v>
      </c>
      <c r="AK795">
        <v>27</v>
      </c>
      <c r="AL795" t="s">
        <v>9678</v>
      </c>
      <c r="AM795" t="s">
        <v>332</v>
      </c>
      <c r="AN795" t="s">
        <v>9679</v>
      </c>
      <c r="AO795" t="s">
        <v>14943</v>
      </c>
      <c r="AP795" t="s">
        <v>74</v>
      </c>
      <c r="AQ795" t="s">
        <v>74</v>
      </c>
      <c r="AR795" t="s">
        <v>14931</v>
      </c>
      <c r="AS795" t="s">
        <v>14944</v>
      </c>
      <c r="AT795" t="s">
        <v>14902</v>
      </c>
      <c r="AU795">
        <v>2014</v>
      </c>
      <c r="AV795">
        <v>5</v>
      </c>
      <c r="AW795">
        <v>3</v>
      </c>
      <c r="AX795" t="s">
        <v>74</v>
      </c>
      <c r="AY795" t="s">
        <v>74</v>
      </c>
      <c r="AZ795" t="s">
        <v>74</v>
      </c>
      <c r="BA795" t="s">
        <v>74</v>
      </c>
      <c r="BB795" t="s">
        <v>74</v>
      </c>
      <c r="BC795" t="s">
        <v>74</v>
      </c>
      <c r="BD795" t="s">
        <v>14945</v>
      </c>
      <c r="BE795" t="s">
        <v>14946</v>
      </c>
      <c r="BF795" t="str">
        <f>HYPERLINK("http://dx.doi.org/10.1128/mBio.01098-14","http://dx.doi.org/10.1128/mBio.01098-14")</f>
        <v>http://dx.doi.org/10.1128/mBio.01098-14</v>
      </c>
      <c r="BG795" t="s">
        <v>74</v>
      </c>
      <c r="BH795" t="s">
        <v>74</v>
      </c>
      <c r="BI795">
        <v>9</v>
      </c>
      <c r="BJ795" t="s">
        <v>1012</v>
      </c>
      <c r="BK795" t="s">
        <v>102</v>
      </c>
      <c r="BL795" t="s">
        <v>1012</v>
      </c>
      <c r="BM795" t="s">
        <v>14947</v>
      </c>
      <c r="BN795">
        <v>24803521</v>
      </c>
      <c r="BO795" t="s">
        <v>206</v>
      </c>
      <c r="BP795" t="s">
        <v>74</v>
      </c>
      <c r="BQ795" t="s">
        <v>74</v>
      </c>
      <c r="BR795" t="s">
        <v>105</v>
      </c>
      <c r="BS795" t="s">
        <v>14948</v>
      </c>
      <c r="BT795" t="str">
        <f>HYPERLINK("https%3A%2F%2Fwww.webofscience.com%2Fwos%2Fwoscc%2Ffull-record%2FWOS:000338875900032","View Full Record in Web of Science")</f>
        <v>View Full Record in Web of Science</v>
      </c>
    </row>
    <row r="796" spans="1:72" x14ac:dyDescent="0.15">
      <c r="A796" t="s">
        <v>72</v>
      </c>
      <c r="B796" t="s">
        <v>14949</v>
      </c>
      <c r="C796" t="s">
        <v>74</v>
      </c>
      <c r="D796" t="s">
        <v>74</v>
      </c>
      <c r="E796" t="s">
        <v>74</v>
      </c>
      <c r="F796" t="s">
        <v>14950</v>
      </c>
      <c r="G796" t="s">
        <v>74</v>
      </c>
      <c r="H796" t="s">
        <v>74</v>
      </c>
      <c r="I796" t="s">
        <v>14951</v>
      </c>
      <c r="J796" t="s">
        <v>8680</v>
      </c>
      <c r="K796" t="s">
        <v>74</v>
      </c>
      <c r="L796" t="s">
        <v>74</v>
      </c>
      <c r="M796" t="s">
        <v>78</v>
      </c>
      <c r="N796" t="s">
        <v>79</v>
      </c>
      <c r="O796" t="s">
        <v>74</v>
      </c>
      <c r="P796" t="s">
        <v>74</v>
      </c>
      <c r="Q796" t="s">
        <v>74</v>
      </c>
      <c r="R796" t="s">
        <v>74</v>
      </c>
      <c r="S796" t="s">
        <v>74</v>
      </c>
      <c r="T796" t="s">
        <v>74</v>
      </c>
      <c r="U796" t="s">
        <v>14952</v>
      </c>
      <c r="V796" t="s">
        <v>14953</v>
      </c>
      <c r="W796" t="s">
        <v>14954</v>
      </c>
      <c r="X796" t="s">
        <v>8684</v>
      </c>
      <c r="Y796" t="s">
        <v>14955</v>
      </c>
      <c r="Z796" t="s">
        <v>14956</v>
      </c>
      <c r="AA796" t="s">
        <v>14957</v>
      </c>
      <c r="AB796" t="s">
        <v>74</v>
      </c>
      <c r="AC796" t="s">
        <v>14958</v>
      </c>
      <c r="AD796" t="s">
        <v>2767</v>
      </c>
      <c r="AE796" t="s">
        <v>14959</v>
      </c>
      <c r="AF796" t="s">
        <v>74</v>
      </c>
      <c r="AG796">
        <v>50</v>
      </c>
      <c r="AH796">
        <v>11</v>
      </c>
      <c r="AI796">
        <v>14</v>
      </c>
      <c r="AJ796">
        <v>0</v>
      </c>
      <c r="AK796">
        <v>4</v>
      </c>
      <c r="AL796" t="s">
        <v>2306</v>
      </c>
      <c r="AM796" t="s">
        <v>576</v>
      </c>
      <c r="AN796" t="s">
        <v>2307</v>
      </c>
      <c r="AO796" t="s">
        <v>8692</v>
      </c>
      <c r="AP796" t="s">
        <v>8693</v>
      </c>
      <c r="AQ796" t="s">
        <v>74</v>
      </c>
      <c r="AR796" t="s">
        <v>8694</v>
      </c>
      <c r="AS796" t="s">
        <v>8695</v>
      </c>
      <c r="AT796" t="s">
        <v>14830</v>
      </c>
      <c r="AU796">
        <v>2014</v>
      </c>
      <c r="AV796">
        <v>54</v>
      </c>
      <c r="AW796">
        <v>3</v>
      </c>
      <c r="AX796" t="s">
        <v>74</v>
      </c>
      <c r="AY796" t="s">
        <v>74</v>
      </c>
      <c r="AZ796" t="s">
        <v>74</v>
      </c>
      <c r="BA796" t="s">
        <v>74</v>
      </c>
      <c r="BB796">
        <v>365</v>
      </c>
      <c r="BC796">
        <v>373</v>
      </c>
      <c r="BD796" t="s">
        <v>74</v>
      </c>
      <c r="BE796" t="s">
        <v>14960</v>
      </c>
      <c r="BF796" t="str">
        <f>HYPERLINK("http://dx.doi.org/10.1134/S0001437014020234","http://dx.doi.org/10.1134/S0001437014020234")</f>
        <v>http://dx.doi.org/10.1134/S0001437014020234</v>
      </c>
      <c r="BG796" t="s">
        <v>74</v>
      </c>
      <c r="BH796" t="s">
        <v>74</v>
      </c>
      <c r="BI796">
        <v>9</v>
      </c>
      <c r="BJ796" t="s">
        <v>152</v>
      </c>
      <c r="BK796" t="s">
        <v>102</v>
      </c>
      <c r="BL796" t="s">
        <v>152</v>
      </c>
      <c r="BM796" t="s">
        <v>14961</v>
      </c>
      <c r="BN796" t="s">
        <v>74</v>
      </c>
      <c r="BO796" t="s">
        <v>74</v>
      </c>
      <c r="BP796" t="s">
        <v>74</v>
      </c>
      <c r="BQ796" t="s">
        <v>74</v>
      </c>
      <c r="BR796" t="s">
        <v>105</v>
      </c>
      <c r="BS796" t="s">
        <v>14962</v>
      </c>
      <c r="BT796" t="str">
        <f>HYPERLINK("https%3A%2F%2Fwww.webofscience.com%2Fwos%2Fwoscc%2Ffull-record%2FWOS:000338998300010","View Full Record in Web of Science")</f>
        <v>View Full Record in Web of Science</v>
      </c>
    </row>
    <row r="797" spans="1:72" x14ac:dyDescent="0.15">
      <c r="A797" t="s">
        <v>72</v>
      </c>
      <c r="B797" t="s">
        <v>14963</v>
      </c>
      <c r="C797" t="s">
        <v>74</v>
      </c>
      <c r="D797" t="s">
        <v>74</v>
      </c>
      <c r="E797" t="s">
        <v>74</v>
      </c>
      <c r="F797" t="s">
        <v>14964</v>
      </c>
      <c r="G797" t="s">
        <v>74</v>
      </c>
      <c r="H797" t="s">
        <v>74</v>
      </c>
      <c r="I797" t="s">
        <v>14965</v>
      </c>
      <c r="J797" t="s">
        <v>3677</v>
      </c>
      <c r="K797" t="s">
        <v>74</v>
      </c>
      <c r="L797" t="s">
        <v>74</v>
      </c>
      <c r="M797" t="s">
        <v>78</v>
      </c>
      <c r="N797" t="s">
        <v>79</v>
      </c>
      <c r="O797" t="s">
        <v>74</v>
      </c>
      <c r="P797" t="s">
        <v>74</v>
      </c>
      <c r="Q797" t="s">
        <v>74</v>
      </c>
      <c r="R797" t="s">
        <v>74</v>
      </c>
      <c r="S797" t="s">
        <v>74</v>
      </c>
      <c r="T797" t="s">
        <v>14966</v>
      </c>
      <c r="U797" t="s">
        <v>14967</v>
      </c>
      <c r="V797" t="s">
        <v>14968</v>
      </c>
      <c r="W797" t="s">
        <v>14969</v>
      </c>
      <c r="X797" t="s">
        <v>14970</v>
      </c>
      <c r="Y797" t="s">
        <v>14971</v>
      </c>
      <c r="Z797" t="s">
        <v>14972</v>
      </c>
      <c r="AA797" t="s">
        <v>14973</v>
      </c>
      <c r="AB797" t="s">
        <v>14974</v>
      </c>
      <c r="AC797" t="s">
        <v>14975</v>
      </c>
      <c r="AD797" t="s">
        <v>14976</v>
      </c>
      <c r="AE797" t="s">
        <v>14977</v>
      </c>
      <c r="AF797" t="s">
        <v>74</v>
      </c>
      <c r="AG797">
        <v>71</v>
      </c>
      <c r="AH797">
        <v>25</v>
      </c>
      <c r="AI797">
        <v>27</v>
      </c>
      <c r="AJ797">
        <v>2</v>
      </c>
      <c r="AK797">
        <v>52</v>
      </c>
      <c r="AL797" t="s">
        <v>1292</v>
      </c>
      <c r="AM797" t="s">
        <v>1293</v>
      </c>
      <c r="AN797" t="s">
        <v>1294</v>
      </c>
      <c r="AO797" t="s">
        <v>3688</v>
      </c>
      <c r="AP797" t="s">
        <v>3689</v>
      </c>
      <c r="AQ797" t="s">
        <v>74</v>
      </c>
      <c r="AR797" t="s">
        <v>3690</v>
      </c>
      <c r="AS797" t="s">
        <v>3691</v>
      </c>
      <c r="AT797" t="s">
        <v>14830</v>
      </c>
      <c r="AU797">
        <v>2014</v>
      </c>
      <c r="AV797">
        <v>217</v>
      </c>
      <c r="AW797">
        <v>10</v>
      </c>
      <c r="AX797" t="s">
        <v>74</v>
      </c>
      <c r="AY797" t="s">
        <v>74</v>
      </c>
      <c r="AZ797" t="s">
        <v>74</v>
      </c>
      <c r="BA797" t="s">
        <v>74</v>
      </c>
      <c r="BB797">
        <v>1701</v>
      </c>
      <c r="BC797">
        <v>1709</v>
      </c>
      <c r="BD797" t="s">
        <v>74</v>
      </c>
      <c r="BE797" t="s">
        <v>14978</v>
      </c>
      <c r="BF797" t="str">
        <f>HYPERLINK("http://dx.doi.org/10.1242/jeb.097931","http://dx.doi.org/10.1242/jeb.097931")</f>
        <v>http://dx.doi.org/10.1242/jeb.097931</v>
      </c>
      <c r="BG797" t="s">
        <v>74</v>
      </c>
      <c r="BH797" t="s">
        <v>74</v>
      </c>
      <c r="BI797">
        <v>9</v>
      </c>
      <c r="BJ797" t="s">
        <v>1300</v>
      </c>
      <c r="BK797" t="s">
        <v>102</v>
      </c>
      <c r="BL797" t="s">
        <v>1301</v>
      </c>
      <c r="BM797" t="s">
        <v>14979</v>
      </c>
      <c r="BN797">
        <v>24526721</v>
      </c>
      <c r="BO797" t="s">
        <v>1053</v>
      </c>
      <c r="BP797" t="s">
        <v>74</v>
      </c>
      <c r="BQ797" t="s">
        <v>74</v>
      </c>
      <c r="BR797" t="s">
        <v>105</v>
      </c>
      <c r="BS797" t="s">
        <v>14980</v>
      </c>
      <c r="BT797" t="str">
        <f>HYPERLINK("https%3A%2F%2Fwww.webofscience.com%2Fwos%2Fwoscc%2Ffull-record%2FWOS:000338517700013","View Full Record in Web of Science")</f>
        <v>View Full Record in Web of Science</v>
      </c>
    </row>
    <row r="798" spans="1:72" x14ac:dyDescent="0.15">
      <c r="A798" t="s">
        <v>72</v>
      </c>
      <c r="B798" t="s">
        <v>14981</v>
      </c>
      <c r="C798" t="s">
        <v>74</v>
      </c>
      <c r="D798" t="s">
        <v>74</v>
      </c>
      <c r="E798" t="s">
        <v>74</v>
      </c>
      <c r="F798" t="s">
        <v>14982</v>
      </c>
      <c r="G798" t="s">
        <v>74</v>
      </c>
      <c r="H798" t="s">
        <v>74</v>
      </c>
      <c r="I798" t="s">
        <v>14983</v>
      </c>
      <c r="J798" t="s">
        <v>14984</v>
      </c>
      <c r="K798" t="s">
        <v>74</v>
      </c>
      <c r="L798" t="s">
        <v>74</v>
      </c>
      <c r="M798" t="s">
        <v>78</v>
      </c>
      <c r="N798" t="s">
        <v>79</v>
      </c>
      <c r="O798" t="s">
        <v>74</v>
      </c>
      <c r="P798" t="s">
        <v>74</v>
      </c>
      <c r="Q798" t="s">
        <v>74</v>
      </c>
      <c r="R798" t="s">
        <v>74</v>
      </c>
      <c r="S798" t="s">
        <v>74</v>
      </c>
      <c r="T798" t="s">
        <v>74</v>
      </c>
      <c r="U798" t="s">
        <v>14985</v>
      </c>
      <c r="V798" t="s">
        <v>14986</v>
      </c>
      <c r="W798" t="s">
        <v>14987</v>
      </c>
      <c r="X798" t="s">
        <v>14988</v>
      </c>
      <c r="Y798" t="s">
        <v>14989</v>
      </c>
      <c r="Z798" t="s">
        <v>14990</v>
      </c>
      <c r="AA798" t="s">
        <v>14991</v>
      </c>
      <c r="AB798" t="s">
        <v>14992</v>
      </c>
      <c r="AC798" t="s">
        <v>14993</v>
      </c>
      <c r="AD798" t="s">
        <v>14994</v>
      </c>
      <c r="AE798" t="s">
        <v>14995</v>
      </c>
      <c r="AF798" t="s">
        <v>74</v>
      </c>
      <c r="AG798">
        <v>26</v>
      </c>
      <c r="AH798">
        <v>4</v>
      </c>
      <c r="AI798">
        <v>4</v>
      </c>
      <c r="AJ798">
        <v>0</v>
      </c>
      <c r="AK798">
        <v>13</v>
      </c>
      <c r="AL798" t="s">
        <v>14996</v>
      </c>
      <c r="AM798" t="s">
        <v>2230</v>
      </c>
      <c r="AN798" t="s">
        <v>14997</v>
      </c>
      <c r="AO798" t="s">
        <v>14998</v>
      </c>
      <c r="AP798" t="s">
        <v>14999</v>
      </c>
      <c r="AQ798" t="s">
        <v>74</v>
      </c>
      <c r="AR798" t="s">
        <v>14984</v>
      </c>
      <c r="AS798" t="s">
        <v>15000</v>
      </c>
      <c r="AT798" t="s">
        <v>14830</v>
      </c>
      <c r="AU798">
        <v>2014</v>
      </c>
      <c r="AV798">
        <v>87</v>
      </c>
      <c r="AW798">
        <v>5</v>
      </c>
      <c r="AX798" t="s">
        <v>74</v>
      </c>
      <c r="AY798" t="s">
        <v>74</v>
      </c>
      <c r="AZ798" t="s">
        <v>74</v>
      </c>
      <c r="BA798" t="s">
        <v>74</v>
      </c>
      <c r="BB798">
        <v>540</v>
      </c>
      <c r="BC798">
        <v>550</v>
      </c>
      <c r="BD798" t="s">
        <v>74</v>
      </c>
      <c r="BE798" t="s">
        <v>15001</v>
      </c>
      <c r="BF798" t="str">
        <f>HYPERLINK("http://dx.doi.org/10.1163/15685403-00003308","http://dx.doi.org/10.1163/15685403-00003308")</f>
        <v>http://dx.doi.org/10.1163/15685403-00003308</v>
      </c>
      <c r="BG798" t="s">
        <v>74</v>
      </c>
      <c r="BH798" t="s">
        <v>74</v>
      </c>
      <c r="BI798">
        <v>11</v>
      </c>
      <c r="BJ798" t="s">
        <v>130</v>
      </c>
      <c r="BK798" t="s">
        <v>102</v>
      </c>
      <c r="BL798" t="s">
        <v>130</v>
      </c>
      <c r="BM798" t="s">
        <v>15002</v>
      </c>
      <c r="BN798" t="s">
        <v>74</v>
      </c>
      <c r="BO798" t="s">
        <v>74</v>
      </c>
      <c r="BP798" t="s">
        <v>74</v>
      </c>
      <c r="BQ798" t="s">
        <v>74</v>
      </c>
      <c r="BR798" t="s">
        <v>105</v>
      </c>
      <c r="BS798" t="s">
        <v>15003</v>
      </c>
      <c r="BT798" t="str">
        <f>HYPERLINK("https%3A%2F%2Fwww.webofscience.com%2Fwos%2Fwoscc%2Ffull-record%2FWOS:000337928100003","View Full Record in Web of Science")</f>
        <v>View Full Record in Web of Science</v>
      </c>
    </row>
    <row r="799" spans="1:72" x14ac:dyDescent="0.15">
      <c r="A799" t="s">
        <v>72</v>
      </c>
      <c r="B799" t="s">
        <v>15004</v>
      </c>
      <c r="C799" t="s">
        <v>74</v>
      </c>
      <c r="D799" t="s">
        <v>74</v>
      </c>
      <c r="E799" t="s">
        <v>74</v>
      </c>
      <c r="F799" t="s">
        <v>15005</v>
      </c>
      <c r="G799" t="s">
        <v>74</v>
      </c>
      <c r="H799" t="s">
        <v>74</v>
      </c>
      <c r="I799" t="s">
        <v>15006</v>
      </c>
      <c r="J799" t="s">
        <v>6978</v>
      </c>
      <c r="K799" t="s">
        <v>74</v>
      </c>
      <c r="L799" t="s">
        <v>74</v>
      </c>
      <c r="M799" t="s">
        <v>78</v>
      </c>
      <c r="N799" t="s">
        <v>79</v>
      </c>
      <c r="O799" t="s">
        <v>74</v>
      </c>
      <c r="P799" t="s">
        <v>74</v>
      </c>
      <c r="Q799" t="s">
        <v>74</v>
      </c>
      <c r="R799" t="s">
        <v>74</v>
      </c>
      <c r="S799" t="s">
        <v>74</v>
      </c>
      <c r="T799" t="s">
        <v>74</v>
      </c>
      <c r="U799" t="s">
        <v>15007</v>
      </c>
      <c r="V799" t="s">
        <v>15008</v>
      </c>
      <c r="W799" t="s">
        <v>15009</v>
      </c>
      <c r="X799" t="s">
        <v>15010</v>
      </c>
      <c r="Y799" t="s">
        <v>15011</v>
      </c>
      <c r="Z799" t="s">
        <v>15012</v>
      </c>
      <c r="AA799" t="s">
        <v>15013</v>
      </c>
      <c r="AB799" t="s">
        <v>74</v>
      </c>
      <c r="AC799" t="s">
        <v>15014</v>
      </c>
      <c r="AD799" t="s">
        <v>15015</v>
      </c>
      <c r="AE799" t="s">
        <v>15016</v>
      </c>
      <c r="AF799" t="s">
        <v>74</v>
      </c>
      <c r="AG799">
        <v>25</v>
      </c>
      <c r="AH799">
        <v>7</v>
      </c>
      <c r="AI799">
        <v>9</v>
      </c>
      <c r="AJ799">
        <v>1</v>
      </c>
      <c r="AK799">
        <v>12</v>
      </c>
      <c r="AL799" t="s">
        <v>11715</v>
      </c>
      <c r="AM799" t="s">
        <v>654</v>
      </c>
      <c r="AN799" t="s">
        <v>15017</v>
      </c>
      <c r="AO799" t="s">
        <v>6993</v>
      </c>
      <c r="AP799" t="s">
        <v>6994</v>
      </c>
      <c r="AQ799" t="s">
        <v>74</v>
      </c>
      <c r="AR799" t="s">
        <v>6995</v>
      </c>
      <c r="AS799" t="s">
        <v>6996</v>
      </c>
      <c r="AT799" t="s">
        <v>14830</v>
      </c>
      <c r="AU799">
        <v>2014</v>
      </c>
      <c r="AV799">
        <v>64</v>
      </c>
      <c r="AW799" t="s">
        <v>74</v>
      </c>
      <c r="AX799">
        <v>5</v>
      </c>
      <c r="AY799" t="s">
        <v>74</v>
      </c>
      <c r="AZ799" t="s">
        <v>74</v>
      </c>
      <c r="BA799" t="s">
        <v>74</v>
      </c>
      <c r="BB799">
        <v>1566</v>
      </c>
      <c r="BC799">
        <v>1572</v>
      </c>
      <c r="BD799" t="s">
        <v>74</v>
      </c>
      <c r="BE799" t="s">
        <v>15018</v>
      </c>
      <c r="BF799" t="str">
        <f>HYPERLINK("http://dx.doi.org/10.1099/ijs.0.057695-0","http://dx.doi.org/10.1099/ijs.0.057695-0")</f>
        <v>http://dx.doi.org/10.1099/ijs.0.057695-0</v>
      </c>
      <c r="BG799" t="s">
        <v>74</v>
      </c>
      <c r="BH799" t="s">
        <v>74</v>
      </c>
      <c r="BI799">
        <v>7</v>
      </c>
      <c r="BJ799" t="s">
        <v>1012</v>
      </c>
      <c r="BK799" t="s">
        <v>102</v>
      </c>
      <c r="BL799" t="s">
        <v>1012</v>
      </c>
      <c r="BM799" t="s">
        <v>15019</v>
      </c>
      <c r="BN799">
        <v>24478211</v>
      </c>
      <c r="BO799" t="s">
        <v>179</v>
      </c>
      <c r="BP799" t="s">
        <v>74</v>
      </c>
      <c r="BQ799" t="s">
        <v>74</v>
      </c>
      <c r="BR799" t="s">
        <v>105</v>
      </c>
      <c r="BS799" t="s">
        <v>15020</v>
      </c>
      <c r="BT799" t="str">
        <f>HYPERLINK("https%3A%2F%2Fwww.webofscience.com%2Fwos%2Fwoscc%2Ffull-record%2FWOS:000337931100017","View Full Record in Web of Science")</f>
        <v>View Full Record in Web of Science</v>
      </c>
    </row>
    <row r="800" spans="1:72" x14ac:dyDescent="0.15">
      <c r="A800" t="s">
        <v>72</v>
      </c>
      <c r="B800" t="s">
        <v>15021</v>
      </c>
      <c r="C800" t="s">
        <v>74</v>
      </c>
      <c r="D800" t="s">
        <v>74</v>
      </c>
      <c r="E800" t="s">
        <v>74</v>
      </c>
      <c r="F800" t="s">
        <v>15022</v>
      </c>
      <c r="G800" t="s">
        <v>74</v>
      </c>
      <c r="H800" t="s">
        <v>74</v>
      </c>
      <c r="I800" t="s">
        <v>15023</v>
      </c>
      <c r="J800" t="s">
        <v>15024</v>
      </c>
      <c r="K800" t="s">
        <v>74</v>
      </c>
      <c r="L800" t="s">
        <v>74</v>
      </c>
      <c r="M800" t="s">
        <v>78</v>
      </c>
      <c r="N800" t="s">
        <v>79</v>
      </c>
      <c r="O800" t="s">
        <v>74</v>
      </c>
      <c r="P800" t="s">
        <v>74</v>
      </c>
      <c r="Q800" t="s">
        <v>74</v>
      </c>
      <c r="R800" t="s">
        <v>74</v>
      </c>
      <c r="S800" t="s">
        <v>74</v>
      </c>
      <c r="T800" t="s">
        <v>15025</v>
      </c>
      <c r="U800" t="s">
        <v>15026</v>
      </c>
      <c r="V800" t="s">
        <v>15027</v>
      </c>
      <c r="W800" t="s">
        <v>15028</v>
      </c>
      <c r="X800" t="s">
        <v>15029</v>
      </c>
      <c r="Y800" t="s">
        <v>15030</v>
      </c>
      <c r="Z800" t="s">
        <v>15031</v>
      </c>
      <c r="AA800" t="s">
        <v>15032</v>
      </c>
      <c r="AB800" t="s">
        <v>15033</v>
      </c>
      <c r="AC800" t="s">
        <v>15034</v>
      </c>
      <c r="AD800" t="s">
        <v>15034</v>
      </c>
      <c r="AE800" t="s">
        <v>15035</v>
      </c>
      <c r="AF800" t="s">
        <v>74</v>
      </c>
      <c r="AG800">
        <v>153</v>
      </c>
      <c r="AH800">
        <v>17</v>
      </c>
      <c r="AI800">
        <v>17</v>
      </c>
      <c r="AJ800">
        <v>1</v>
      </c>
      <c r="AK800">
        <v>17</v>
      </c>
      <c r="AL800" t="s">
        <v>14895</v>
      </c>
      <c r="AM800" t="s">
        <v>14896</v>
      </c>
      <c r="AN800" t="s">
        <v>14897</v>
      </c>
      <c r="AO800" t="s">
        <v>15036</v>
      </c>
      <c r="AP800" t="s">
        <v>15037</v>
      </c>
      <c r="AQ800" t="s">
        <v>74</v>
      </c>
      <c r="AR800" t="s">
        <v>15038</v>
      </c>
      <c r="AS800" t="s">
        <v>15039</v>
      </c>
      <c r="AT800" t="s">
        <v>14902</v>
      </c>
      <c r="AU800">
        <v>2014</v>
      </c>
      <c r="AV800">
        <v>13</v>
      </c>
      <c r="AW800">
        <v>4</v>
      </c>
      <c r="AX800" t="s">
        <v>74</v>
      </c>
      <c r="AY800" t="s">
        <v>74</v>
      </c>
      <c r="AZ800" t="s">
        <v>74</v>
      </c>
      <c r="BA800" t="s">
        <v>74</v>
      </c>
      <c r="BB800">
        <v>235</v>
      </c>
      <c r="BC800">
        <v>258</v>
      </c>
      <c r="BD800" t="s">
        <v>74</v>
      </c>
      <c r="BE800" t="s">
        <v>15040</v>
      </c>
      <c r="BF800" t="str">
        <f>HYPERLINK("http://dx.doi.org/10.1016/j.crpv.2013.10.003","http://dx.doi.org/10.1016/j.crpv.2013.10.003")</f>
        <v>http://dx.doi.org/10.1016/j.crpv.2013.10.003</v>
      </c>
      <c r="BG800" t="s">
        <v>74</v>
      </c>
      <c r="BH800" t="s">
        <v>74</v>
      </c>
      <c r="BI800">
        <v>24</v>
      </c>
      <c r="BJ800" t="s">
        <v>2604</v>
      </c>
      <c r="BK800" t="s">
        <v>102</v>
      </c>
      <c r="BL800" t="s">
        <v>2604</v>
      </c>
      <c r="BM800" t="s">
        <v>15041</v>
      </c>
      <c r="BN800" t="s">
        <v>74</v>
      </c>
      <c r="BO800" t="s">
        <v>74</v>
      </c>
      <c r="BP800" t="s">
        <v>74</v>
      </c>
      <c r="BQ800" t="s">
        <v>74</v>
      </c>
      <c r="BR800" t="s">
        <v>105</v>
      </c>
      <c r="BS800" t="s">
        <v>15042</v>
      </c>
      <c r="BT800" t="str">
        <f>HYPERLINK("https%3A%2F%2Fwww.webofscience.com%2Fwos%2Fwoscc%2Ffull-record%2FWOS:000337655400001","View Full Record in Web of Science")</f>
        <v>View Full Record in Web of Science</v>
      </c>
    </row>
    <row r="801" spans="1:72" x14ac:dyDescent="0.15">
      <c r="A801" t="s">
        <v>72</v>
      </c>
      <c r="B801" t="s">
        <v>15043</v>
      </c>
      <c r="C801" t="s">
        <v>74</v>
      </c>
      <c r="D801" t="s">
        <v>74</v>
      </c>
      <c r="E801" t="s">
        <v>74</v>
      </c>
      <c r="F801" t="s">
        <v>15044</v>
      </c>
      <c r="G801" t="s">
        <v>74</v>
      </c>
      <c r="H801" t="s">
        <v>74</v>
      </c>
      <c r="I801" t="s">
        <v>15045</v>
      </c>
      <c r="J801" t="s">
        <v>3184</v>
      </c>
      <c r="K801" t="s">
        <v>74</v>
      </c>
      <c r="L801" t="s">
        <v>74</v>
      </c>
      <c r="M801" t="s">
        <v>78</v>
      </c>
      <c r="N801" t="s">
        <v>79</v>
      </c>
      <c r="O801" t="s">
        <v>74</v>
      </c>
      <c r="P801" t="s">
        <v>74</v>
      </c>
      <c r="Q801" t="s">
        <v>74</v>
      </c>
      <c r="R801" t="s">
        <v>74</v>
      </c>
      <c r="S801" t="s">
        <v>74</v>
      </c>
      <c r="T801" t="s">
        <v>74</v>
      </c>
      <c r="U801" t="s">
        <v>15046</v>
      </c>
      <c r="V801" t="s">
        <v>15047</v>
      </c>
      <c r="W801" t="s">
        <v>15048</v>
      </c>
      <c r="X801" t="s">
        <v>15049</v>
      </c>
      <c r="Y801" t="s">
        <v>15050</v>
      </c>
      <c r="Z801" t="s">
        <v>15051</v>
      </c>
      <c r="AA801" t="s">
        <v>15052</v>
      </c>
      <c r="AB801" t="s">
        <v>74</v>
      </c>
      <c r="AC801" t="s">
        <v>15053</v>
      </c>
      <c r="AD801" t="s">
        <v>15053</v>
      </c>
      <c r="AE801" t="s">
        <v>15054</v>
      </c>
      <c r="AF801" t="s">
        <v>74</v>
      </c>
      <c r="AG801">
        <v>54</v>
      </c>
      <c r="AH801">
        <v>17</v>
      </c>
      <c r="AI801">
        <v>19</v>
      </c>
      <c r="AJ801">
        <v>0</v>
      </c>
      <c r="AK801">
        <v>21</v>
      </c>
      <c r="AL801" t="s">
        <v>2353</v>
      </c>
      <c r="AM801" t="s">
        <v>576</v>
      </c>
      <c r="AN801" t="s">
        <v>2354</v>
      </c>
      <c r="AO801" t="s">
        <v>3196</v>
      </c>
      <c r="AP801" t="s">
        <v>3197</v>
      </c>
      <c r="AQ801" t="s">
        <v>74</v>
      </c>
      <c r="AR801" t="s">
        <v>3198</v>
      </c>
      <c r="AS801" t="s">
        <v>3199</v>
      </c>
      <c r="AT801" t="s">
        <v>14830</v>
      </c>
      <c r="AU801">
        <v>2014</v>
      </c>
      <c r="AV801">
        <v>151</v>
      </c>
      <c r="AW801">
        <v>3</v>
      </c>
      <c r="AX801" t="s">
        <v>74</v>
      </c>
      <c r="AY801" t="s">
        <v>74</v>
      </c>
      <c r="AZ801" t="s">
        <v>74</v>
      </c>
      <c r="BA801" t="s">
        <v>74</v>
      </c>
      <c r="BB801">
        <v>534</v>
      </c>
      <c r="BC801">
        <v>549</v>
      </c>
      <c r="BD801" t="s">
        <v>74</v>
      </c>
      <c r="BE801" t="s">
        <v>15055</v>
      </c>
      <c r="BF801" t="str">
        <f>HYPERLINK("http://dx.doi.org/10.1017/S0016756813000484","http://dx.doi.org/10.1017/S0016756813000484")</f>
        <v>http://dx.doi.org/10.1017/S0016756813000484</v>
      </c>
      <c r="BG801" t="s">
        <v>74</v>
      </c>
      <c r="BH801" t="s">
        <v>74</v>
      </c>
      <c r="BI801">
        <v>16</v>
      </c>
      <c r="BJ801" t="s">
        <v>685</v>
      </c>
      <c r="BK801" t="s">
        <v>102</v>
      </c>
      <c r="BL801" t="s">
        <v>686</v>
      </c>
      <c r="BM801" t="s">
        <v>15056</v>
      </c>
      <c r="BN801" t="s">
        <v>74</v>
      </c>
      <c r="BO801" t="s">
        <v>74</v>
      </c>
      <c r="BP801" t="s">
        <v>74</v>
      </c>
      <c r="BQ801" t="s">
        <v>74</v>
      </c>
      <c r="BR801" t="s">
        <v>105</v>
      </c>
      <c r="BS801" t="s">
        <v>15057</v>
      </c>
      <c r="BT801" t="str">
        <f>HYPERLINK("https%3A%2F%2Fwww.webofscience.com%2Fwos%2Fwoscc%2Ffull-record%2FWOS:000337750400010","View Full Record in Web of Science")</f>
        <v>View Full Record in Web of Science</v>
      </c>
    </row>
    <row r="802" spans="1:72" x14ac:dyDescent="0.15">
      <c r="A802" t="s">
        <v>72</v>
      </c>
      <c r="B802" t="s">
        <v>15058</v>
      </c>
      <c r="C802" t="s">
        <v>74</v>
      </c>
      <c r="D802" t="s">
        <v>74</v>
      </c>
      <c r="E802" t="s">
        <v>74</v>
      </c>
      <c r="F802" t="s">
        <v>15059</v>
      </c>
      <c r="G802" t="s">
        <v>74</v>
      </c>
      <c r="H802" t="s">
        <v>74</v>
      </c>
      <c r="I802" t="s">
        <v>15060</v>
      </c>
      <c r="J802" t="s">
        <v>158</v>
      </c>
      <c r="K802" t="s">
        <v>74</v>
      </c>
      <c r="L802" t="s">
        <v>74</v>
      </c>
      <c r="M802" t="s">
        <v>78</v>
      </c>
      <c r="N802" t="s">
        <v>79</v>
      </c>
      <c r="O802" t="s">
        <v>74</v>
      </c>
      <c r="P802" t="s">
        <v>74</v>
      </c>
      <c r="Q802" t="s">
        <v>74</v>
      </c>
      <c r="R802" t="s">
        <v>74</v>
      </c>
      <c r="S802" t="s">
        <v>74</v>
      </c>
      <c r="T802" t="s">
        <v>15061</v>
      </c>
      <c r="U802" t="s">
        <v>15062</v>
      </c>
      <c r="V802" t="s">
        <v>15063</v>
      </c>
      <c r="W802" t="s">
        <v>15064</v>
      </c>
      <c r="X802" t="s">
        <v>15065</v>
      </c>
      <c r="Y802" t="s">
        <v>15066</v>
      </c>
      <c r="Z802" t="s">
        <v>15067</v>
      </c>
      <c r="AA802" t="s">
        <v>74</v>
      </c>
      <c r="AB802" t="s">
        <v>15068</v>
      </c>
      <c r="AC802" t="s">
        <v>15069</v>
      </c>
      <c r="AD802" t="s">
        <v>15070</v>
      </c>
      <c r="AE802" t="s">
        <v>15071</v>
      </c>
      <c r="AF802" t="s">
        <v>74</v>
      </c>
      <c r="AG802">
        <v>38</v>
      </c>
      <c r="AH802">
        <v>3</v>
      </c>
      <c r="AI802">
        <v>4</v>
      </c>
      <c r="AJ802">
        <v>1</v>
      </c>
      <c r="AK802">
        <v>7</v>
      </c>
      <c r="AL802" t="s">
        <v>171</v>
      </c>
      <c r="AM802" t="s">
        <v>93</v>
      </c>
      <c r="AN802" t="s">
        <v>94</v>
      </c>
      <c r="AO802" t="s">
        <v>172</v>
      </c>
      <c r="AP802" t="s">
        <v>173</v>
      </c>
      <c r="AQ802" t="s">
        <v>74</v>
      </c>
      <c r="AR802" t="s">
        <v>174</v>
      </c>
      <c r="AS802" t="s">
        <v>175</v>
      </c>
      <c r="AT802" t="s">
        <v>14830</v>
      </c>
      <c r="AU802">
        <v>2014</v>
      </c>
      <c r="AV802">
        <v>34</v>
      </c>
      <c r="AW802">
        <v>6</v>
      </c>
      <c r="AX802" t="s">
        <v>74</v>
      </c>
      <c r="AY802" t="s">
        <v>74</v>
      </c>
      <c r="AZ802" t="s">
        <v>74</v>
      </c>
      <c r="BA802" t="s">
        <v>74</v>
      </c>
      <c r="BB802">
        <v>1785</v>
      </c>
      <c r="BC802">
        <v>1797</v>
      </c>
      <c r="BD802" t="s">
        <v>74</v>
      </c>
      <c r="BE802" t="s">
        <v>15072</v>
      </c>
      <c r="BF802" t="str">
        <f>HYPERLINK("http://dx.doi.org/10.1002/joc.3801","http://dx.doi.org/10.1002/joc.3801")</f>
        <v>http://dx.doi.org/10.1002/joc.3801</v>
      </c>
      <c r="BG802" t="s">
        <v>74</v>
      </c>
      <c r="BH802" t="s">
        <v>74</v>
      </c>
      <c r="BI802">
        <v>13</v>
      </c>
      <c r="BJ802" t="s">
        <v>177</v>
      </c>
      <c r="BK802" t="s">
        <v>102</v>
      </c>
      <c r="BL802" t="s">
        <v>177</v>
      </c>
      <c r="BM802" t="s">
        <v>15073</v>
      </c>
      <c r="BN802" t="s">
        <v>74</v>
      </c>
      <c r="BO802" t="s">
        <v>74</v>
      </c>
      <c r="BP802" t="s">
        <v>74</v>
      </c>
      <c r="BQ802" t="s">
        <v>74</v>
      </c>
      <c r="BR802" t="s">
        <v>105</v>
      </c>
      <c r="BS802" t="s">
        <v>15074</v>
      </c>
      <c r="BT802" t="str">
        <f>HYPERLINK("https%3A%2F%2Fwww.webofscience.com%2Fwos%2Fwoscc%2Ffull-record%2FWOS:000337681300006","View Full Record in Web of Science")</f>
        <v>View Full Record in Web of Science</v>
      </c>
    </row>
    <row r="803" spans="1:72" x14ac:dyDescent="0.15">
      <c r="A803" t="s">
        <v>72</v>
      </c>
      <c r="B803" t="s">
        <v>15075</v>
      </c>
      <c r="C803" t="s">
        <v>74</v>
      </c>
      <c r="D803" t="s">
        <v>74</v>
      </c>
      <c r="E803" t="s">
        <v>74</v>
      </c>
      <c r="F803" t="s">
        <v>15076</v>
      </c>
      <c r="G803" t="s">
        <v>74</v>
      </c>
      <c r="H803" t="s">
        <v>74</v>
      </c>
      <c r="I803" t="s">
        <v>15077</v>
      </c>
      <c r="J803" t="s">
        <v>158</v>
      </c>
      <c r="K803" t="s">
        <v>74</v>
      </c>
      <c r="L803" t="s">
        <v>74</v>
      </c>
      <c r="M803" t="s">
        <v>78</v>
      </c>
      <c r="N803" t="s">
        <v>79</v>
      </c>
      <c r="O803" t="s">
        <v>74</v>
      </c>
      <c r="P803" t="s">
        <v>74</v>
      </c>
      <c r="Q803" t="s">
        <v>74</v>
      </c>
      <c r="R803" t="s">
        <v>74</v>
      </c>
      <c r="S803" t="s">
        <v>74</v>
      </c>
      <c r="T803" t="s">
        <v>15078</v>
      </c>
      <c r="U803" t="s">
        <v>15079</v>
      </c>
      <c r="V803" t="s">
        <v>15080</v>
      </c>
      <c r="W803" t="s">
        <v>15081</v>
      </c>
      <c r="X803" t="s">
        <v>15082</v>
      </c>
      <c r="Y803" t="s">
        <v>15083</v>
      </c>
      <c r="Z803" t="s">
        <v>15084</v>
      </c>
      <c r="AA803" t="s">
        <v>15085</v>
      </c>
      <c r="AB803" t="s">
        <v>15086</v>
      </c>
      <c r="AC803" t="s">
        <v>15087</v>
      </c>
      <c r="AD803" t="s">
        <v>15088</v>
      </c>
      <c r="AE803" t="s">
        <v>15089</v>
      </c>
      <c r="AF803" t="s">
        <v>74</v>
      </c>
      <c r="AG803">
        <v>26</v>
      </c>
      <c r="AH803">
        <v>18</v>
      </c>
      <c r="AI803">
        <v>21</v>
      </c>
      <c r="AJ803">
        <v>0</v>
      </c>
      <c r="AK803">
        <v>17</v>
      </c>
      <c r="AL803" t="s">
        <v>92</v>
      </c>
      <c r="AM803" t="s">
        <v>93</v>
      </c>
      <c r="AN803" t="s">
        <v>94</v>
      </c>
      <c r="AO803" t="s">
        <v>172</v>
      </c>
      <c r="AP803" t="s">
        <v>173</v>
      </c>
      <c r="AQ803" t="s">
        <v>74</v>
      </c>
      <c r="AR803" t="s">
        <v>174</v>
      </c>
      <c r="AS803" t="s">
        <v>175</v>
      </c>
      <c r="AT803" t="s">
        <v>14830</v>
      </c>
      <c r="AU803">
        <v>2014</v>
      </c>
      <c r="AV803">
        <v>34</v>
      </c>
      <c r="AW803">
        <v>6</v>
      </c>
      <c r="AX803" t="s">
        <v>74</v>
      </c>
      <c r="AY803" t="s">
        <v>74</v>
      </c>
      <c r="AZ803" t="s">
        <v>74</v>
      </c>
      <c r="BA803" t="s">
        <v>74</v>
      </c>
      <c r="BB803">
        <v>1798</v>
      </c>
      <c r="BC803">
        <v>1813</v>
      </c>
      <c r="BD803" t="s">
        <v>74</v>
      </c>
      <c r="BE803" t="s">
        <v>15090</v>
      </c>
      <c r="BF803" t="str">
        <f>HYPERLINK("http://dx.doi.org/10.1002/joc.3802","http://dx.doi.org/10.1002/joc.3802")</f>
        <v>http://dx.doi.org/10.1002/joc.3802</v>
      </c>
      <c r="BG803" t="s">
        <v>74</v>
      </c>
      <c r="BH803" t="s">
        <v>74</v>
      </c>
      <c r="BI803">
        <v>16</v>
      </c>
      <c r="BJ803" t="s">
        <v>177</v>
      </c>
      <c r="BK803" t="s">
        <v>102</v>
      </c>
      <c r="BL803" t="s">
        <v>177</v>
      </c>
      <c r="BM803" t="s">
        <v>15073</v>
      </c>
      <c r="BN803" t="s">
        <v>74</v>
      </c>
      <c r="BO803" t="s">
        <v>74</v>
      </c>
      <c r="BP803" t="s">
        <v>74</v>
      </c>
      <c r="BQ803" t="s">
        <v>74</v>
      </c>
      <c r="BR803" t="s">
        <v>105</v>
      </c>
      <c r="BS803" t="s">
        <v>15091</v>
      </c>
      <c r="BT803" t="str">
        <f>HYPERLINK("https%3A%2F%2Fwww.webofscience.com%2Fwos%2Fwoscc%2Ffull-record%2FWOS:000337681300007","View Full Record in Web of Science")</f>
        <v>View Full Record in Web of Science</v>
      </c>
    </row>
    <row r="804" spans="1:72" x14ac:dyDescent="0.15">
      <c r="A804" t="s">
        <v>72</v>
      </c>
      <c r="B804" t="s">
        <v>15092</v>
      </c>
      <c r="C804" t="s">
        <v>74</v>
      </c>
      <c r="D804" t="s">
        <v>74</v>
      </c>
      <c r="E804" t="s">
        <v>74</v>
      </c>
      <c r="F804" t="s">
        <v>15093</v>
      </c>
      <c r="G804" t="s">
        <v>74</v>
      </c>
      <c r="H804" t="s">
        <v>74</v>
      </c>
      <c r="I804" t="s">
        <v>15094</v>
      </c>
      <c r="J804" t="s">
        <v>1951</v>
      </c>
      <c r="K804" t="s">
        <v>74</v>
      </c>
      <c r="L804" t="s">
        <v>74</v>
      </c>
      <c r="M804" t="s">
        <v>78</v>
      </c>
      <c r="N804" t="s">
        <v>79</v>
      </c>
      <c r="O804" t="s">
        <v>74</v>
      </c>
      <c r="P804" t="s">
        <v>74</v>
      </c>
      <c r="Q804" t="s">
        <v>74</v>
      </c>
      <c r="R804" t="s">
        <v>74</v>
      </c>
      <c r="S804" t="s">
        <v>74</v>
      </c>
      <c r="T804" t="s">
        <v>15095</v>
      </c>
      <c r="U804" t="s">
        <v>15096</v>
      </c>
      <c r="V804" t="s">
        <v>15097</v>
      </c>
      <c r="W804" t="s">
        <v>15098</v>
      </c>
      <c r="X804" t="s">
        <v>7576</v>
      </c>
      <c r="Y804" t="s">
        <v>15099</v>
      </c>
      <c r="Z804" t="s">
        <v>15100</v>
      </c>
      <c r="AA804" t="s">
        <v>15101</v>
      </c>
      <c r="AB804" t="s">
        <v>15102</v>
      </c>
      <c r="AC804" t="s">
        <v>15103</v>
      </c>
      <c r="AD804" t="s">
        <v>5970</v>
      </c>
      <c r="AE804" t="s">
        <v>15104</v>
      </c>
      <c r="AF804" t="s">
        <v>74</v>
      </c>
      <c r="AG804">
        <v>57</v>
      </c>
      <c r="AH804">
        <v>77</v>
      </c>
      <c r="AI804">
        <v>77</v>
      </c>
      <c r="AJ804">
        <v>0</v>
      </c>
      <c r="AK804">
        <v>24</v>
      </c>
      <c r="AL804" t="s">
        <v>331</v>
      </c>
      <c r="AM804" t="s">
        <v>332</v>
      </c>
      <c r="AN804" t="s">
        <v>333</v>
      </c>
      <c r="AO804" t="s">
        <v>1963</v>
      </c>
      <c r="AP804" t="s">
        <v>1964</v>
      </c>
      <c r="AQ804" t="s">
        <v>74</v>
      </c>
      <c r="AR804" t="s">
        <v>1965</v>
      </c>
      <c r="AS804" t="s">
        <v>1966</v>
      </c>
      <c r="AT804" t="s">
        <v>14830</v>
      </c>
      <c r="AU804">
        <v>2014</v>
      </c>
      <c r="AV804">
        <v>119</v>
      </c>
      <c r="AW804">
        <v>5</v>
      </c>
      <c r="AX804" t="s">
        <v>74</v>
      </c>
      <c r="AY804" t="s">
        <v>74</v>
      </c>
      <c r="AZ804" t="s">
        <v>74</v>
      </c>
      <c r="BA804" t="s">
        <v>74</v>
      </c>
      <c r="BB804">
        <v>2788</v>
      </c>
      <c r="BC804">
        <v>2805</v>
      </c>
      <c r="BD804" t="s">
        <v>74</v>
      </c>
      <c r="BE804" t="s">
        <v>15105</v>
      </c>
      <c r="BF804" t="str">
        <f>HYPERLINK("http://dx.doi.org/10.1002/2013JC009591","http://dx.doi.org/10.1002/2013JC009591")</f>
        <v>http://dx.doi.org/10.1002/2013JC009591</v>
      </c>
      <c r="BG804" t="s">
        <v>74</v>
      </c>
      <c r="BH804" t="s">
        <v>74</v>
      </c>
      <c r="BI804">
        <v>18</v>
      </c>
      <c r="BJ804" t="s">
        <v>152</v>
      </c>
      <c r="BK804" t="s">
        <v>102</v>
      </c>
      <c r="BL804" t="s">
        <v>152</v>
      </c>
      <c r="BM804" t="s">
        <v>15106</v>
      </c>
      <c r="BN804" t="s">
        <v>74</v>
      </c>
      <c r="BO804" t="s">
        <v>4213</v>
      </c>
      <c r="BP804" t="s">
        <v>74</v>
      </c>
      <c r="BQ804" t="s">
        <v>74</v>
      </c>
      <c r="BR804" t="s">
        <v>105</v>
      </c>
      <c r="BS804" t="s">
        <v>15107</v>
      </c>
      <c r="BT804" t="str">
        <f>HYPERLINK("https%3A%2F%2Fwww.webofscience.com%2Fwos%2Fwoscc%2Ffull-record%2FWOS:000337632500004","View Full Record in Web of Science")</f>
        <v>View Full Record in Web of Science</v>
      </c>
    </row>
    <row r="805" spans="1:72" x14ac:dyDescent="0.15">
      <c r="A805" t="s">
        <v>72</v>
      </c>
      <c r="B805" t="s">
        <v>15108</v>
      </c>
      <c r="C805" t="s">
        <v>74</v>
      </c>
      <c r="D805" t="s">
        <v>74</v>
      </c>
      <c r="E805" t="s">
        <v>74</v>
      </c>
      <c r="F805" t="s">
        <v>15109</v>
      </c>
      <c r="G805" t="s">
        <v>74</v>
      </c>
      <c r="H805" t="s">
        <v>74</v>
      </c>
      <c r="I805" t="s">
        <v>15110</v>
      </c>
      <c r="J805" t="s">
        <v>1951</v>
      </c>
      <c r="K805" t="s">
        <v>74</v>
      </c>
      <c r="L805" t="s">
        <v>74</v>
      </c>
      <c r="M805" t="s">
        <v>78</v>
      </c>
      <c r="N805" t="s">
        <v>79</v>
      </c>
      <c r="O805" t="s">
        <v>74</v>
      </c>
      <c r="P805" t="s">
        <v>74</v>
      </c>
      <c r="Q805" t="s">
        <v>74</v>
      </c>
      <c r="R805" t="s">
        <v>74</v>
      </c>
      <c r="S805" t="s">
        <v>74</v>
      </c>
      <c r="T805" t="s">
        <v>15111</v>
      </c>
      <c r="U805" t="s">
        <v>15112</v>
      </c>
      <c r="V805" t="s">
        <v>15113</v>
      </c>
      <c r="W805" t="s">
        <v>15114</v>
      </c>
      <c r="X805" t="s">
        <v>15115</v>
      </c>
      <c r="Y805" t="s">
        <v>15116</v>
      </c>
      <c r="Z805" t="s">
        <v>15117</v>
      </c>
      <c r="AA805" t="s">
        <v>15118</v>
      </c>
      <c r="AB805" t="s">
        <v>15119</v>
      </c>
      <c r="AC805" t="s">
        <v>15120</v>
      </c>
      <c r="AD805" t="s">
        <v>15121</v>
      </c>
      <c r="AE805" t="s">
        <v>15122</v>
      </c>
      <c r="AF805" t="s">
        <v>74</v>
      </c>
      <c r="AG805">
        <v>109</v>
      </c>
      <c r="AH805">
        <v>20</v>
      </c>
      <c r="AI805">
        <v>20</v>
      </c>
      <c r="AJ805">
        <v>0</v>
      </c>
      <c r="AK805">
        <v>22</v>
      </c>
      <c r="AL805" t="s">
        <v>331</v>
      </c>
      <c r="AM805" t="s">
        <v>332</v>
      </c>
      <c r="AN805" t="s">
        <v>333</v>
      </c>
      <c r="AO805" t="s">
        <v>74</v>
      </c>
      <c r="AP805" t="s">
        <v>1964</v>
      </c>
      <c r="AQ805" t="s">
        <v>74</v>
      </c>
      <c r="AR805" t="s">
        <v>1965</v>
      </c>
      <c r="AS805" t="s">
        <v>1966</v>
      </c>
      <c r="AT805" t="s">
        <v>14830</v>
      </c>
      <c r="AU805">
        <v>2014</v>
      </c>
      <c r="AV805">
        <v>119</v>
      </c>
      <c r="AW805">
        <v>5</v>
      </c>
      <c r="AX805" t="s">
        <v>74</v>
      </c>
      <c r="AY805" t="s">
        <v>74</v>
      </c>
      <c r="AZ805" t="s">
        <v>74</v>
      </c>
      <c r="BA805" t="s">
        <v>74</v>
      </c>
      <c r="BB805">
        <v>2882</v>
      </c>
      <c r="BC805">
        <v>2905</v>
      </c>
      <c r="BD805" t="s">
        <v>74</v>
      </c>
      <c r="BE805" t="s">
        <v>15123</v>
      </c>
      <c r="BF805" t="str">
        <f>HYPERLINK("http://dx.doi.org/10.1002/2013JC009381","http://dx.doi.org/10.1002/2013JC009381")</f>
        <v>http://dx.doi.org/10.1002/2013JC009381</v>
      </c>
      <c r="BG805" t="s">
        <v>74</v>
      </c>
      <c r="BH805" t="s">
        <v>74</v>
      </c>
      <c r="BI805">
        <v>24</v>
      </c>
      <c r="BJ805" t="s">
        <v>152</v>
      </c>
      <c r="BK805" t="s">
        <v>102</v>
      </c>
      <c r="BL805" t="s">
        <v>152</v>
      </c>
      <c r="BM805" t="s">
        <v>15106</v>
      </c>
      <c r="BN805" t="s">
        <v>74</v>
      </c>
      <c r="BO805" t="s">
        <v>2037</v>
      </c>
      <c r="BP805" t="s">
        <v>74</v>
      </c>
      <c r="BQ805" t="s">
        <v>74</v>
      </c>
      <c r="BR805" t="s">
        <v>105</v>
      </c>
      <c r="BS805" t="s">
        <v>15124</v>
      </c>
      <c r="BT805" t="str">
        <f>HYPERLINK("https%3A%2F%2Fwww.webofscience.com%2Fwos%2Fwoscc%2Ffull-record%2FWOS:000337632500010","View Full Record in Web of Science")</f>
        <v>View Full Record in Web of Science</v>
      </c>
    </row>
    <row r="806" spans="1:72" x14ac:dyDescent="0.15">
      <c r="A806" t="s">
        <v>72</v>
      </c>
      <c r="B806" t="s">
        <v>15125</v>
      </c>
      <c r="C806" t="s">
        <v>74</v>
      </c>
      <c r="D806" t="s">
        <v>74</v>
      </c>
      <c r="E806" t="s">
        <v>74</v>
      </c>
      <c r="F806" t="s">
        <v>15126</v>
      </c>
      <c r="G806" t="s">
        <v>74</v>
      </c>
      <c r="H806" t="s">
        <v>74</v>
      </c>
      <c r="I806" t="s">
        <v>15127</v>
      </c>
      <c r="J806" t="s">
        <v>1951</v>
      </c>
      <c r="K806" t="s">
        <v>74</v>
      </c>
      <c r="L806" t="s">
        <v>74</v>
      </c>
      <c r="M806" t="s">
        <v>78</v>
      </c>
      <c r="N806" t="s">
        <v>79</v>
      </c>
      <c r="O806" t="s">
        <v>74</v>
      </c>
      <c r="P806" t="s">
        <v>74</v>
      </c>
      <c r="Q806" t="s">
        <v>74</v>
      </c>
      <c r="R806" t="s">
        <v>74</v>
      </c>
      <c r="S806" t="s">
        <v>74</v>
      </c>
      <c r="T806" t="s">
        <v>15128</v>
      </c>
      <c r="U806" t="s">
        <v>15129</v>
      </c>
      <c r="V806" t="s">
        <v>15130</v>
      </c>
      <c r="W806" t="s">
        <v>15131</v>
      </c>
      <c r="X806" t="s">
        <v>15132</v>
      </c>
      <c r="Y806" t="s">
        <v>15133</v>
      </c>
      <c r="Z806" t="s">
        <v>15134</v>
      </c>
      <c r="AA806" t="s">
        <v>15135</v>
      </c>
      <c r="AB806" t="s">
        <v>15136</v>
      </c>
      <c r="AC806" t="s">
        <v>15137</v>
      </c>
      <c r="AD806" t="s">
        <v>15138</v>
      </c>
      <c r="AE806" t="s">
        <v>15139</v>
      </c>
      <c r="AF806" t="s">
        <v>74</v>
      </c>
      <c r="AG806">
        <v>46</v>
      </c>
      <c r="AH806">
        <v>22</v>
      </c>
      <c r="AI806">
        <v>24</v>
      </c>
      <c r="AJ806">
        <v>1</v>
      </c>
      <c r="AK806">
        <v>22</v>
      </c>
      <c r="AL806" t="s">
        <v>331</v>
      </c>
      <c r="AM806" t="s">
        <v>332</v>
      </c>
      <c r="AN806" t="s">
        <v>333</v>
      </c>
      <c r="AO806" t="s">
        <v>1963</v>
      </c>
      <c r="AP806" t="s">
        <v>1964</v>
      </c>
      <c r="AQ806" t="s">
        <v>74</v>
      </c>
      <c r="AR806" t="s">
        <v>1965</v>
      </c>
      <c r="AS806" t="s">
        <v>1966</v>
      </c>
      <c r="AT806" t="s">
        <v>14830</v>
      </c>
      <c r="AU806">
        <v>2014</v>
      </c>
      <c r="AV806">
        <v>119</v>
      </c>
      <c r="AW806">
        <v>5</v>
      </c>
      <c r="AX806" t="s">
        <v>74</v>
      </c>
      <c r="AY806" t="s">
        <v>74</v>
      </c>
      <c r="AZ806" t="s">
        <v>74</v>
      </c>
      <c r="BA806" t="s">
        <v>74</v>
      </c>
      <c r="BB806">
        <v>2974</v>
      </c>
      <c r="BC806">
        <v>2986</v>
      </c>
      <c r="BD806" t="s">
        <v>74</v>
      </c>
      <c r="BE806" t="s">
        <v>15140</v>
      </c>
      <c r="BF806" t="str">
        <f>HYPERLINK("http://dx.doi.org/10.1002/2013JC009589","http://dx.doi.org/10.1002/2013JC009589")</f>
        <v>http://dx.doi.org/10.1002/2013JC009589</v>
      </c>
      <c r="BG806" t="s">
        <v>74</v>
      </c>
      <c r="BH806" t="s">
        <v>74</v>
      </c>
      <c r="BI806">
        <v>13</v>
      </c>
      <c r="BJ806" t="s">
        <v>152</v>
      </c>
      <c r="BK806" t="s">
        <v>102</v>
      </c>
      <c r="BL806" t="s">
        <v>152</v>
      </c>
      <c r="BM806" t="s">
        <v>15106</v>
      </c>
      <c r="BN806" t="s">
        <v>74</v>
      </c>
      <c r="BO806" t="s">
        <v>179</v>
      </c>
      <c r="BP806" t="s">
        <v>74</v>
      </c>
      <c r="BQ806" t="s">
        <v>74</v>
      </c>
      <c r="BR806" t="s">
        <v>105</v>
      </c>
      <c r="BS806" t="s">
        <v>15141</v>
      </c>
      <c r="BT806" t="str">
        <f>HYPERLINK("https%3A%2F%2Fwww.webofscience.com%2Fwos%2Fwoscc%2Ffull-record%2FWOS:000337632500015","View Full Record in Web of Science")</f>
        <v>View Full Record in Web of Science</v>
      </c>
    </row>
    <row r="807" spans="1:72" x14ac:dyDescent="0.15">
      <c r="A807" t="s">
        <v>72</v>
      </c>
      <c r="B807" t="s">
        <v>15142</v>
      </c>
      <c r="C807" t="s">
        <v>74</v>
      </c>
      <c r="D807" t="s">
        <v>74</v>
      </c>
      <c r="E807" t="s">
        <v>74</v>
      </c>
      <c r="F807" t="s">
        <v>15143</v>
      </c>
      <c r="G807" t="s">
        <v>74</v>
      </c>
      <c r="H807" t="s">
        <v>74</v>
      </c>
      <c r="I807" t="s">
        <v>15144</v>
      </c>
      <c r="J807" t="s">
        <v>15145</v>
      </c>
      <c r="K807" t="s">
        <v>74</v>
      </c>
      <c r="L807" t="s">
        <v>74</v>
      </c>
      <c r="M807" t="s">
        <v>78</v>
      </c>
      <c r="N807" t="s">
        <v>79</v>
      </c>
      <c r="O807" t="s">
        <v>74</v>
      </c>
      <c r="P807" t="s">
        <v>74</v>
      </c>
      <c r="Q807" t="s">
        <v>74</v>
      </c>
      <c r="R807" t="s">
        <v>74</v>
      </c>
      <c r="S807" t="s">
        <v>74</v>
      </c>
      <c r="T807" t="s">
        <v>15146</v>
      </c>
      <c r="U807" t="s">
        <v>15147</v>
      </c>
      <c r="V807" t="s">
        <v>15148</v>
      </c>
      <c r="W807" t="s">
        <v>15149</v>
      </c>
      <c r="X807" t="s">
        <v>15150</v>
      </c>
      <c r="Y807" t="s">
        <v>15151</v>
      </c>
      <c r="Z807" t="s">
        <v>15152</v>
      </c>
      <c r="AA807" t="s">
        <v>15153</v>
      </c>
      <c r="AB807" t="s">
        <v>15154</v>
      </c>
      <c r="AC807" t="s">
        <v>15155</v>
      </c>
      <c r="AD807" t="s">
        <v>15156</v>
      </c>
      <c r="AE807" t="s">
        <v>15157</v>
      </c>
      <c r="AF807" t="s">
        <v>74</v>
      </c>
      <c r="AG807">
        <v>59</v>
      </c>
      <c r="AH807">
        <v>3</v>
      </c>
      <c r="AI807">
        <v>3</v>
      </c>
      <c r="AJ807">
        <v>1</v>
      </c>
      <c r="AK807">
        <v>14</v>
      </c>
      <c r="AL807" t="s">
        <v>250</v>
      </c>
      <c r="AM807" t="s">
        <v>251</v>
      </c>
      <c r="AN807" t="s">
        <v>252</v>
      </c>
      <c r="AO807" t="s">
        <v>15158</v>
      </c>
      <c r="AP807" t="s">
        <v>74</v>
      </c>
      <c r="AQ807" t="s">
        <v>74</v>
      </c>
      <c r="AR807" t="s">
        <v>15159</v>
      </c>
      <c r="AS807" t="s">
        <v>15160</v>
      </c>
      <c r="AT807" t="s">
        <v>14830</v>
      </c>
      <c r="AU807">
        <v>2014</v>
      </c>
      <c r="AV807">
        <v>64</v>
      </c>
      <c r="AW807" t="s">
        <v>74</v>
      </c>
      <c r="AX807" t="s">
        <v>74</v>
      </c>
      <c r="AY807" t="s">
        <v>74</v>
      </c>
      <c r="AZ807" t="s">
        <v>74</v>
      </c>
      <c r="BA807" t="s">
        <v>74</v>
      </c>
      <c r="BB807">
        <v>9</v>
      </c>
      <c r="BC807">
        <v>22</v>
      </c>
      <c r="BD807" t="s">
        <v>74</v>
      </c>
      <c r="BE807" t="s">
        <v>15161</v>
      </c>
      <c r="BF807" t="str">
        <f>HYPERLINK("http://dx.doi.org/10.1016/j.radmeas.2014.03.011","http://dx.doi.org/10.1016/j.radmeas.2014.03.011")</f>
        <v>http://dx.doi.org/10.1016/j.radmeas.2014.03.011</v>
      </c>
      <c r="BG807" t="s">
        <v>74</v>
      </c>
      <c r="BH807" t="s">
        <v>74</v>
      </c>
      <c r="BI807">
        <v>14</v>
      </c>
      <c r="BJ807" t="s">
        <v>15162</v>
      </c>
      <c r="BK807" t="s">
        <v>102</v>
      </c>
      <c r="BL807" t="s">
        <v>15162</v>
      </c>
      <c r="BM807" t="s">
        <v>15163</v>
      </c>
      <c r="BN807" t="s">
        <v>74</v>
      </c>
      <c r="BO807" t="s">
        <v>262</v>
      </c>
      <c r="BP807" t="s">
        <v>74</v>
      </c>
      <c r="BQ807" t="s">
        <v>74</v>
      </c>
      <c r="BR807" t="s">
        <v>105</v>
      </c>
      <c r="BS807" t="s">
        <v>15164</v>
      </c>
      <c r="BT807" t="str">
        <f>HYPERLINK("https%3A%2F%2Fwww.webofscience.com%2Fwos%2Fwoscc%2Ffull-record%2FWOS:000337782200002","View Full Record in Web of Science")</f>
        <v>View Full Record in Web of Science</v>
      </c>
    </row>
    <row r="808" spans="1:72" x14ac:dyDescent="0.15">
      <c r="A808" t="s">
        <v>72</v>
      </c>
      <c r="B808" t="s">
        <v>15165</v>
      </c>
      <c r="C808" t="s">
        <v>74</v>
      </c>
      <c r="D808" t="s">
        <v>74</v>
      </c>
      <c r="E808" t="s">
        <v>74</v>
      </c>
      <c r="F808" t="s">
        <v>15166</v>
      </c>
      <c r="G808" t="s">
        <v>74</v>
      </c>
      <c r="H808" t="s">
        <v>74</v>
      </c>
      <c r="I808" t="s">
        <v>15167</v>
      </c>
      <c r="J808" t="s">
        <v>2732</v>
      </c>
      <c r="K808" t="s">
        <v>74</v>
      </c>
      <c r="L808" t="s">
        <v>74</v>
      </c>
      <c r="M808" t="s">
        <v>78</v>
      </c>
      <c r="N808" t="s">
        <v>79</v>
      </c>
      <c r="O808" t="s">
        <v>74</v>
      </c>
      <c r="P808" t="s">
        <v>74</v>
      </c>
      <c r="Q808" t="s">
        <v>74</v>
      </c>
      <c r="R808" t="s">
        <v>74</v>
      </c>
      <c r="S808" t="s">
        <v>74</v>
      </c>
      <c r="T808" t="s">
        <v>15168</v>
      </c>
      <c r="U808" t="s">
        <v>15169</v>
      </c>
      <c r="V808" t="s">
        <v>15170</v>
      </c>
      <c r="W808" t="s">
        <v>15171</v>
      </c>
      <c r="X808" t="s">
        <v>15172</v>
      </c>
      <c r="Y808" t="s">
        <v>15173</v>
      </c>
      <c r="Z808" t="s">
        <v>15174</v>
      </c>
      <c r="AA808" t="s">
        <v>15175</v>
      </c>
      <c r="AB808" t="s">
        <v>15176</v>
      </c>
      <c r="AC808" t="s">
        <v>15177</v>
      </c>
      <c r="AD808" t="s">
        <v>15178</v>
      </c>
      <c r="AE808" t="s">
        <v>15179</v>
      </c>
      <c r="AF808" t="s">
        <v>74</v>
      </c>
      <c r="AG808">
        <v>35</v>
      </c>
      <c r="AH808">
        <v>8</v>
      </c>
      <c r="AI808">
        <v>8</v>
      </c>
      <c r="AJ808">
        <v>0</v>
      </c>
      <c r="AK808">
        <v>17</v>
      </c>
      <c r="AL808" t="s">
        <v>224</v>
      </c>
      <c r="AM808" t="s">
        <v>576</v>
      </c>
      <c r="AN808" t="s">
        <v>778</v>
      </c>
      <c r="AO808" t="s">
        <v>2745</v>
      </c>
      <c r="AP808" t="s">
        <v>2746</v>
      </c>
      <c r="AQ808" t="s">
        <v>74</v>
      </c>
      <c r="AR808" t="s">
        <v>2747</v>
      </c>
      <c r="AS808" t="s">
        <v>2748</v>
      </c>
      <c r="AT808" t="s">
        <v>14830</v>
      </c>
      <c r="AU808">
        <v>2014</v>
      </c>
      <c r="AV808">
        <v>42</v>
      </c>
      <c r="AW808" t="s">
        <v>1944</v>
      </c>
      <c r="AX808" t="s">
        <v>74</v>
      </c>
      <c r="AY808" t="s">
        <v>74</v>
      </c>
      <c r="AZ808" t="s">
        <v>74</v>
      </c>
      <c r="BA808" t="s">
        <v>74</v>
      </c>
      <c r="BB808">
        <v>2469</v>
      </c>
      <c r="BC808">
        <v>2475</v>
      </c>
      <c r="BD808" t="s">
        <v>74</v>
      </c>
      <c r="BE808" t="s">
        <v>15180</v>
      </c>
      <c r="BF808" t="str">
        <f>HYPERLINK("http://dx.doi.org/10.1007/s00382-013-1925-3","http://dx.doi.org/10.1007/s00382-013-1925-3")</f>
        <v>http://dx.doi.org/10.1007/s00382-013-1925-3</v>
      </c>
      <c r="BG808" t="s">
        <v>74</v>
      </c>
      <c r="BH808" t="s">
        <v>74</v>
      </c>
      <c r="BI808">
        <v>7</v>
      </c>
      <c r="BJ808" t="s">
        <v>177</v>
      </c>
      <c r="BK808" t="s">
        <v>102</v>
      </c>
      <c r="BL808" t="s">
        <v>177</v>
      </c>
      <c r="BM808" t="s">
        <v>15181</v>
      </c>
      <c r="BN808" t="s">
        <v>74</v>
      </c>
      <c r="BO808" t="s">
        <v>74</v>
      </c>
      <c r="BP808" t="s">
        <v>74</v>
      </c>
      <c r="BQ808" t="s">
        <v>74</v>
      </c>
      <c r="BR808" t="s">
        <v>105</v>
      </c>
      <c r="BS808" t="s">
        <v>15182</v>
      </c>
      <c r="BT808" t="str">
        <f>HYPERLINK("https%3A%2F%2Fwww.webofscience.com%2Fwos%2Fwoscc%2Ffull-record%2FWOS:000336983900014","View Full Record in Web of Science")</f>
        <v>View Full Record in Web of Science</v>
      </c>
    </row>
    <row r="809" spans="1:72" x14ac:dyDescent="0.15">
      <c r="A809" t="s">
        <v>72</v>
      </c>
      <c r="B809" t="s">
        <v>15183</v>
      </c>
      <c r="C809" t="s">
        <v>74</v>
      </c>
      <c r="D809" t="s">
        <v>74</v>
      </c>
      <c r="E809" t="s">
        <v>74</v>
      </c>
      <c r="F809" t="s">
        <v>15184</v>
      </c>
      <c r="G809" t="s">
        <v>74</v>
      </c>
      <c r="H809" t="s">
        <v>74</v>
      </c>
      <c r="I809" t="s">
        <v>15185</v>
      </c>
      <c r="J809" t="s">
        <v>8874</v>
      </c>
      <c r="K809" t="s">
        <v>74</v>
      </c>
      <c r="L809" t="s">
        <v>74</v>
      </c>
      <c r="M809" t="s">
        <v>78</v>
      </c>
      <c r="N809" t="s">
        <v>79</v>
      </c>
      <c r="O809" t="s">
        <v>74</v>
      </c>
      <c r="P809" t="s">
        <v>74</v>
      </c>
      <c r="Q809" t="s">
        <v>74</v>
      </c>
      <c r="R809" t="s">
        <v>74</v>
      </c>
      <c r="S809" t="s">
        <v>74</v>
      </c>
      <c r="T809" t="s">
        <v>15186</v>
      </c>
      <c r="U809" t="s">
        <v>15187</v>
      </c>
      <c r="V809" t="s">
        <v>15188</v>
      </c>
      <c r="W809" t="s">
        <v>15189</v>
      </c>
      <c r="X809" t="s">
        <v>15190</v>
      </c>
      <c r="Y809" t="s">
        <v>15191</v>
      </c>
      <c r="Z809" t="s">
        <v>15192</v>
      </c>
      <c r="AA809" t="s">
        <v>74</v>
      </c>
      <c r="AB809" t="s">
        <v>8883</v>
      </c>
      <c r="AC809" t="s">
        <v>15193</v>
      </c>
      <c r="AD809" t="s">
        <v>15194</v>
      </c>
      <c r="AE809" t="s">
        <v>15195</v>
      </c>
      <c r="AF809" t="s">
        <v>74</v>
      </c>
      <c r="AG809">
        <v>70</v>
      </c>
      <c r="AH809">
        <v>16</v>
      </c>
      <c r="AI809">
        <v>20</v>
      </c>
      <c r="AJ809">
        <v>0</v>
      </c>
      <c r="AK809">
        <v>17</v>
      </c>
      <c r="AL809" t="s">
        <v>2571</v>
      </c>
      <c r="AM809" t="s">
        <v>654</v>
      </c>
      <c r="AN809" t="s">
        <v>2572</v>
      </c>
      <c r="AO809" t="s">
        <v>8887</v>
      </c>
      <c r="AP809" t="s">
        <v>8888</v>
      </c>
      <c r="AQ809" t="s">
        <v>74</v>
      </c>
      <c r="AR809" t="s">
        <v>8889</v>
      </c>
      <c r="AS809" t="s">
        <v>8890</v>
      </c>
      <c r="AT809" t="s">
        <v>14830</v>
      </c>
      <c r="AU809">
        <v>2014</v>
      </c>
      <c r="AV809">
        <v>49</v>
      </c>
      <c r="AW809" t="s">
        <v>74</v>
      </c>
      <c r="AX809" t="s">
        <v>74</v>
      </c>
      <c r="AY809" t="s">
        <v>74</v>
      </c>
      <c r="AZ809" t="s">
        <v>74</v>
      </c>
      <c r="BA809" t="s">
        <v>74</v>
      </c>
      <c r="BB809">
        <v>181</v>
      </c>
      <c r="BC809">
        <v>189</v>
      </c>
      <c r="BD809" t="s">
        <v>74</v>
      </c>
      <c r="BE809" t="s">
        <v>15196</v>
      </c>
      <c r="BF809" t="str">
        <f>HYPERLINK("http://dx.doi.org/10.1016/j.cretres.2014.03.004","http://dx.doi.org/10.1016/j.cretres.2014.03.004")</f>
        <v>http://dx.doi.org/10.1016/j.cretres.2014.03.004</v>
      </c>
      <c r="BG809" t="s">
        <v>74</v>
      </c>
      <c r="BH809" t="s">
        <v>74</v>
      </c>
      <c r="BI809">
        <v>9</v>
      </c>
      <c r="BJ809" t="s">
        <v>8892</v>
      </c>
      <c r="BK809" t="s">
        <v>102</v>
      </c>
      <c r="BL809" t="s">
        <v>8892</v>
      </c>
      <c r="BM809" t="s">
        <v>15197</v>
      </c>
      <c r="BN809" t="s">
        <v>74</v>
      </c>
      <c r="BO809" t="s">
        <v>74</v>
      </c>
      <c r="BP809" t="s">
        <v>74</v>
      </c>
      <c r="BQ809" t="s">
        <v>74</v>
      </c>
      <c r="BR809" t="s">
        <v>105</v>
      </c>
      <c r="BS809" t="s">
        <v>15198</v>
      </c>
      <c r="BT809" t="str">
        <f>HYPERLINK("https%3A%2F%2Fwww.webofscience.com%2Fwos%2Fwoscc%2Ffull-record%2FWOS:000336891500015","View Full Record in Web of Science")</f>
        <v>View Full Record in Web of Science</v>
      </c>
    </row>
    <row r="810" spans="1:72" x14ac:dyDescent="0.15">
      <c r="A810" t="s">
        <v>72</v>
      </c>
      <c r="B810" t="s">
        <v>15199</v>
      </c>
      <c r="C810" t="s">
        <v>74</v>
      </c>
      <c r="D810" t="s">
        <v>74</v>
      </c>
      <c r="E810" t="s">
        <v>74</v>
      </c>
      <c r="F810" t="s">
        <v>15200</v>
      </c>
      <c r="G810" t="s">
        <v>74</v>
      </c>
      <c r="H810" t="s">
        <v>74</v>
      </c>
      <c r="I810" t="s">
        <v>15201</v>
      </c>
      <c r="J810" t="s">
        <v>8702</v>
      </c>
      <c r="K810" t="s">
        <v>74</v>
      </c>
      <c r="L810" t="s">
        <v>74</v>
      </c>
      <c r="M810" t="s">
        <v>78</v>
      </c>
      <c r="N810" t="s">
        <v>79</v>
      </c>
      <c r="O810" t="s">
        <v>74</v>
      </c>
      <c r="P810" t="s">
        <v>74</v>
      </c>
      <c r="Q810" t="s">
        <v>74</v>
      </c>
      <c r="R810" t="s">
        <v>74</v>
      </c>
      <c r="S810" t="s">
        <v>74</v>
      </c>
      <c r="T810" t="s">
        <v>74</v>
      </c>
      <c r="U810" t="s">
        <v>74</v>
      </c>
      <c r="V810" t="s">
        <v>74</v>
      </c>
      <c r="W810" t="s">
        <v>15202</v>
      </c>
      <c r="X810" t="s">
        <v>8684</v>
      </c>
      <c r="Y810" t="s">
        <v>15203</v>
      </c>
      <c r="Z810" t="s">
        <v>15204</v>
      </c>
      <c r="AA810" t="s">
        <v>15205</v>
      </c>
      <c r="AB810" t="s">
        <v>15206</v>
      </c>
      <c r="AC810" t="s">
        <v>74</v>
      </c>
      <c r="AD810" t="s">
        <v>74</v>
      </c>
      <c r="AE810" t="s">
        <v>74</v>
      </c>
      <c r="AF810" t="s">
        <v>74</v>
      </c>
      <c r="AG810">
        <v>5</v>
      </c>
      <c r="AH810">
        <v>13</v>
      </c>
      <c r="AI810">
        <v>14</v>
      </c>
      <c r="AJ810">
        <v>0</v>
      </c>
      <c r="AK810">
        <v>1</v>
      </c>
      <c r="AL810" t="s">
        <v>2306</v>
      </c>
      <c r="AM810" t="s">
        <v>576</v>
      </c>
      <c r="AN810" t="s">
        <v>2307</v>
      </c>
      <c r="AO810" t="s">
        <v>8712</v>
      </c>
      <c r="AP810" t="s">
        <v>8713</v>
      </c>
      <c r="AQ810" t="s">
        <v>74</v>
      </c>
      <c r="AR810" t="s">
        <v>8714</v>
      </c>
      <c r="AS810" t="s">
        <v>8715</v>
      </c>
      <c r="AT810" t="s">
        <v>14830</v>
      </c>
      <c r="AU810">
        <v>2014</v>
      </c>
      <c r="AV810">
        <v>456</v>
      </c>
      <c r="AW810">
        <v>1</v>
      </c>
      <c r="AX810" t="s">
        <v>74</v>
      </c>
      <c r="AY810" t="s">
        <v>74</v>
      </c>
      <c r="AZ810" t="s">
        <v>74</v>
      </c>
      <c r="BA810" t="s">
        <v>74</v>
      </c>
      <c r="BB810">
        <v>598</v>
      </c>
      <c r="BC810">
        <v>601</v>
      </c>
      <c r="BD810" t="s">
        <v>74</v>
      </c>
      <c r="BE810" t="s">
        <v>15207</v>
      </c>
      <c r="BF810" t="str">
        <f>HYPERLINK("http://dx.doi.org/10.1134/S1028334X14050274","http://dx.doi.org/10.1134/S1028334X14050274")</f>
        <v>http://dx.doi.org/10.1134/S1028334X14050274</v>
      </c>
      <c r="BG810" t="s">
        <v>74</v>
      </c>
      <c r="BH810" t="s">
        <v>74</v>
      </c>
      <c r="BI810">
        <v>4</v>
      </c>
      <c r="BJ810" t="s">
        <v>685</v>
      </c>
      <c r="BK810" t="s">
        <v>102</v>
      </c>
      <c r="BL810" t="s">
        <v>686</v>
      </c>
      <c r="BM810" t="s">
        <v>15208</v>
      </c>
      <c r="BN810" t="s">
        <v>74</v>
      </c>
      <c r="BO810" t="s">
        <v>74</v>
      </c>
      <c r="BP810" t="s">
        <v>74</v>
      </c>
      <c r="BQ810" t="s">
        <v>74</v>
      </c>
      <c r="BR810" t="s">
        <v>105</v>
      </c>
      <c r="BS810" t="s">
        <v>15209</v>
      </c>
      <c r="BT810" t="str">
        <f>HYPERLINK("https%3A%2F%2Fwww.webofscience.com%2Fwos%2Fwoscc%2Ffull-record%2FWOS:000337057800022","View Full Record in Web of Science")</f>
        <v>View Full Record in Web of Science</v>
      </c>
    </row>
    <row r="811" spans="1:72" x14ac:dyDescent="0.15">
      <c r="A811" t="s">
        <v>72</v>
      </c>
      <c r="B811" t="s">
        <v>15210</v>
      </c>
      <c r="C811" t="s">
        <v>74</v>
      </c>
      <c r="D811" t="s">
        <v>74</v>
      </c>
      <c r="E811" t="s">
        <v>74</v>
      </c>
      <c r="F811" t="s">
        <v>15211</v>
      </c>
      <c r="G811" t="s">
        <v>74</v>
      </c>
      <c r="H811" t="s">
        <v>74</v>
      </c>
      <c r="I811" t="s">
        <v>15212</v>
      </c>
      <c r="J811" t="s">
        <v>1458</v>
      </c>
      <c r="K811" t="s">
        <v>74</v>
      </c>
      <c r="L811" t="s">
        <v>74</v>
      </c>
      <c r="M811" t="s">
        <v>78</v>
      </c>
      <c r="N811" t="s">
        <v>79</v>
      </c>
      <c r="O811" t="s">
        <v>74</v>
      </c>
      <c r="P811" t="s">
        <v>74</v>
      </c>
      <c r="Q811" t="s">
        <v>74</v>
      </c>
      <c r="R811" t="s">
        <v>74</v>
      </c>
      <c r="S811" t="s">
        <v>74</v>
      </c>
      <c r="T811" t="s">
        <v>15213</v>
      </c>
      <c r="U811" t="s">
        <v>15214</v>
      </c>
      <c r="V811" t="s">
        <v>15215</v>
      </c>
      <c r="W811" t="s">
        <v>15216</v>
      </c>
      <c r="X811" t="s">
        <v>15217</v>
      </c>
      <c r="Y811" t="s">
        <v>15218</v>
      </c>
      <c r="Z811" t="s">
        <v>15219</v>
      </c>
      <c r="AA811" t="s">
        <v>74</v>
      </c>
      <c r="AB811" t="s">
        <v>74</v>
      </c>
      <c r="AC811" t="s">
        <v>15220</v>
      </c>
      <c r="AD811" t="s">
        <v>15221</v>
      </c>
      <c r="AE811" t="s">
        <v>15222</v>
      </c>
      <c r="AF811" t="s">
        <v>74</v>
      </c>
      <c r="AG811">
        <v>95</v>
      </c>
      <c r="AH811">
        <v>59</v>
      </c>
      <c r="AI811">
        <v>61</v>
      </c>
      <c r="AJ811">
        <v>1</v>
      </c>
      <c r="AK811">
        <v>28</v>
      </c>
      <c r="AL811" t="s">
        <v>250</v>
      </c>
      <c r="AM811" t="s">
        <v>251</v>
      </c>
      <c r="AN811" t="s">
        <v>252</v>
      </c>
      <c r="AO811" t="s">
        <v>1471</v>
      </c>
      <c r="AP811" t="s">
        <v>74</v>
      </c>
      <c r="AQ811" t="s">
        <v>74</v>
      </c>
      <c r="AR811" t="s">
        <v>1472</v>
      </c>
      <c r="AS811" t="s">
        <v>1473</v>
      </c>
      <c r="AT811" t="s">
        <v>15223</v>
      </c>
      <c r="AU811">
        <v>2014</v>
      </c>
      <c r="AV811">
        <v>91</v>
      </c>
      <c r="AW811" t="s">
        <v>74</v>
      </c>
      <c r="AX811" t="s">
        <v>74</v>
      </c>
      <c r="AY811" t="s">
        <v>74</v>
      </c>
      <c r="AZ811" t="s">
        <v>74</v>
      </c>
      <c r="BA811" t="s">
        <v>74</v>
      </c>
      <c r="BB811">
        <v>42</v>
      </c>
      <c r="BC811">
        <v>61</v>
      </c>
      <c r="BD811" t="s">
        <v>74</v>
      </c>
      <c r="BE811" t="s">
        <v>15224</v>
      </c>
      <c r="BF811" t="str">
        <f>HYPERLINK("http://dx.doi.org/10.1016/j.quascirev.2014.03.010","http://dx.doi.org/10.1016/j.quascirev.2014.03.010")</f>
        <v>http://dx.doi.org/10.1016/j.quascirev.2014.03.010</v>
      </c>
      <c r="BG811" t="s">
        <v>74</v>
      </c>
      <c r="BH811" t="s">
        <v>74</v>
      </c>
      <c r="BI811">
        <v>20</v>
      </c>
      <c r="BJ811" t="s">
        <v>1427</v>
      </c>
      <c r="BK811" t="s">
        <v>102</v>
      </c>
      <c r="BL811" t="s">
        <v>1428</v>
      </c>
      <c r="BM811" t="s">
        <v>15225</v>
      </c>
      <c r="BN811" t="s">
        <v>74</v>
      </c>
      <c r="BO811" t="s">
        <v>74</v>
      </c>
      <c r="BP811" t="s">
        <v>74</v>
      </c>
      <c r="BQ811" t="s">
        <v>74</v>
      </c>
      <c r="BR811" t="s">
        <v>105</v>
      </c>
      <c r="BS811" t="s">
        <v>15226</v>
      </c>
      <c r="BT811" t="str">
        <f>HYPERLINK("https%3A%2F%2Fwww.webofscience.com%2Fwos%2Fwoscc%2Ffull-record%2FWOS:000336819800004","View Full Record in Web of Science")</f>
        <v>View Full Record in Web of Science</v>
      </c>
    </row>
    <row r="812" spans="1:72" x14ac:dyDescent="0.15">
      <c r="A812" t="s">
        <v>72</v>
      </c>
      <c r="B812" t="s">
        <v>15227</v>
      </c>
      <c r="C812" t="s">
        <v>74</v>
      </c>
      <c r="D812" t="s">
        <v>74</v>
      </c>
      <c r="E812" t="s">
        <v>74</v>
      </c>
      <c r="F812" t="s">
        <v>15228</v>
      </c>
      <c r="G812" t="s">
        <v>74</v>
      </c>
      <c r="H812" t="s">
        <v>74</v>
      </c>
      <c r="I812" t="s">
        <v>15229</v>
      </c>
      <c r="J812" t="s">
        <v>5255</v>
      </c>
      <c r="K812" t="s">
        <v>74</v>
      </c>
      <c r="L812" t="s">
        <v>74</v>
      </c>
      <c r="M812" t="s">
        <v>78</v>
      </c>
      <c r="N812" t="s">
        <v>79</v>
      </c>
      <c r="O812" t="s">
        <v>74</v>
      </c>
      <c r="P812" t="s">
        <v>74</v>
      </c>
      <c r="Q812" t="s">
        <v>74</v>
      </c>
      <c r="R812" t="s">
        <v>74</v>
      </c>
      <c r="S812" t="s">
        <v>74</v>
      </c>
      <c r="T812" t="s">
        <v>74</v>
      </c>
      <c r="U812" t="s">
        <v>15230</v>
      </c>
      <c r="V812" t="s">
        <v>15231</v>
      </c>
      <c r="W812" t="s">
        <v>15232</v>
      </c>
      <c r="X812" t="s">
        <v>12724</v>
      </c>
      <c r="Y812" t="s">
        <v>15233</v>
      </c>
      <c r="Z812" t="s">
        <v>15234</v>
      </c>
      <c r="AA812" t="s">
        <v>74</v>
      </c>
      <c r="AB812" t="s">
        <v>74</v>
      </c>
      <c r="AC812" t="s">
        <v>15235</v>
      </c>
      <c r="AD812" t="s">
        <v>15235</v>
      </c>
      <c r="AE812" t="s">
        <v>15236</v>
      </c>
      <c r="AF812" t="s">
        <v>74</v>
      </c>
      <c r="AG812">
        <v>47</v>
      </c>
      <c r="AH812">
        <v>3</v>
      </c>
      <c r="AI812">
        <v>3</v>
      </c>
      <c r="AJ812">
        <v>1</v>
      </c>
      <c r="AK812">
        <v>22</v>
      </c>
      <c r="AL812" t="s">
        <v>5266</v>
      </c>
      <c r="AM812" t="s">
        <v>1938</v>
      </c>
      <c r="AN812" t="s">
        <v>5267</v>
      </c>
      <c r="AO812" t="s">
        <v>5268</v>
      </c>
      <c r="AP812" t="s">
        <v>5269</v>
      </c>
      <c r="AQ812" t="s">
        <v>74</v>
      </c>
      <c r="AR812" t="s">
        <v>5270</v>
      </c>
      <c r="AS812" t="s">
        <v>5271</v>
      </c>
      <c r="AT812" t="s">
        <v>14830</v>
      </c>
      <c r="AU812">
        <v>2014</v>
      </c>
      <c r="AV812">
        <v>46</v>
      </c>
      <c r="AW812">
        <v>2</v>
      </c>
      <c r="AX812" t="s">
        <v>74</v>
      </c>
      <c r="AY812" t="s">
        <v>74</v>
      </c>
      <c r="AZ812" t="s">
        <v>74</v>
      </c>
      <c r="BA812" t="s">
        <v>74</v>
      </c>
      <c r="BB812">
        <v>293</v>
      </c>
      <c r="BC812">
        <v>307</v>
      </c>
      <c r="BD812" t="s">
        <v>74</v>
      </c>
      <c r="BE812" t="s">
        <v>15237</v>
      </c>
      <c r="BF812" t="str">
        <f>HYPERLINK("http://dx.doi.org/10.1657/1938-4246-46.2.293","http://dx.doi.org/10.1657/1938-4246-46.2.293")</f>
        <v>http://dx.doi.org/10.1657/1938-4246-46.2.293</v>
      </c>
      <c r="BG812" t="s">
        <v>74</v>
      </c>
      <c r="BH812" t="s">
        <v>74</v>
      </c>
      <c r="BI812">
        <v>15</v>
      </c>
      <c r="BJ812" t="s">
        <v>5273</v>
      </c>
      <c r="BK812" t="s">
        <v>102</v>
      </c>
      <c r="BL812" t="s">
        <v>103</v>
      </c>
      <c r="BM812" t="s">
        <v>15238</v>
      </c>
      <c r="BN812" t="s">
        <v>74</v>
      </c>
      <c r="BO812" t="s">
        <v>2037</v>
      </c>
      <c r="BP812" t="s">
        <v>74</v>
      </c>
      <c r="BQ812" t="s">
        <v>74</v>
      </c>
      <c r="BR812" t="s">
        <v>105</v>
      </c>
      <c r="BS812" t="s">
        <v>15239</v>
      </c>
      <c r="BT812" t="str">
        <f>HYPERLINK("https%3A%2F%2Fwww.webofscience.com%2Fwos%2Fwoscc%2Ffull-record%2FWOS:000336778500001","View Full Record in Web of Science")</f>
        <v>View Full Record in Web of Science</v>
      </c>
    </row>
    <row r="813" spans="1:72" x14ac:dyDescent="0.15">
      <c r="A813" t="s">
        <v>72</v>
      </c>
      <c r="B813" t="s">
        <v>15240</v>
      </c>
      <c r="C813" t="s">
        <v>74</v>
      </c>
      <c r="D813" t="s">
        <v>74</v>
      </c>
      <c r="E813" t="s">
        <v>74</v>
      </c>
      <c r="F813" t="s">
        <v>15241</v>
      </c>
      <c r="G813" t="s">
        <v>74</v>
      </c>
      <c r="H813" t="s">
        <v>74</v>
      </c>
      <c r="I813" t="s">
        <v>15242</v>
      </c>
      <c r="J813" t="s">
        <v>5255</v>
      </c>
      <c r="K813" t="s">
        <v>74</v>
      </c>
      <c r="L813" t="s">
        <v>74</v>
      </c>
      <c r="M813" t="s">
        <v>78</v>
      </c>
      <c r="N813" t="s">
        <v>79</v>
      </c>
      <c r="O813" t="s">
        <v>74</v>
      </c>
      <c r="P813" t="s">
        <v>74</v>
      </c>
      <c r="Q813" t="s">
        <v>74</v>
      </c>
      <c r="R813" t="s">
        <v>74</v>
      </c>
      <c r="S813" t="s">
        <v>74</v>
      </c>
      <c r="T813" t="s">
        <v>74</v>
      </c>
      <c r="U813" t="s">
        <v>15243</v>
      </c>
      <c r="V813" t="s">
        <v>15244</v>
      </c>
      <c r="W813" t="s">
        <v>15245</v>
      </c>
      <c r="X813" t="s">
        <v>15246</v>
      </c>
      <c r="Y813" t="s">
        <v>15247</v>
      </c>
      <c r="Z813" t="s">
        <v>15248</v>
      </c>
      <c r="AA813" t="s">
        <v>15249</v>
      </c>
      <c r="AB813" t="s">
        <v>15250</v>
      </c>
      <c r="AC813" t="s">
        <v>15251</v>
      </c>
      <c r="AD813" t="s">
        <v>15252</v>
      </c>
      <c r="AE813" t="s">
        <v>15253</v>
      </c>
      <c r="AF813" t="s">
        <v>74</v>
      </c>
      <c r="AG813">
        <v>66</v>
      </c>
      <c r="AH813">
        <v>13</v>
      </c>
      <c r="AI813">
        <v>15</v>
      </c>
      <c r="AJ813">
        <v>2</v>
      </c>
      <c r="AK813">
        <v>23</v>
      </c>
      <c r="AL813" t="s">
        <v>1764</v>
      </c>
      <c r="AM813" t="s">
        <v>1765</v>
      </c>
      <c r="AN813" t="s">
        <v>3608</v>
      </c>
      <c r="AO813" t="s">
        <v>5268</v>
      </c>
      <c r="AP813" t="s">
        <v>5269</v>
      </c>
      <c r="AQ813" t="s">
        <v>74</v>
      </c>
      <c r="AR813" t="s">
        <v>5270</v>
      </c>
      <c r="AS813" t="s">
        <v>5271</v>
      </c>
      <c r="AT813" t="s">
        <v>14830</v>
      </c>
      <c r="AU813">
        <v>2014</v>
      </c>
      <c r="AV813">
        <v>46</v>
      </c>
      <c r="AW813">
        <v>2</v>
      </c>
      <c r="AX813" t="s">
        <v>74</v>
      </c>
      <c r="AY813" t="s">
        <v>74</v>
      </c>
      <c r="AZ813" t="s">
        <v>74</v>
      </c>
      <c r="BA813" t="s">
        <v>74</v>
      </c>
      <c r="BB813">
        <v>333</v>
      </c>
      <c r="BC813">
        <v>343</v>
      </c>
      <c r="BD813" t="s">
        <v>74</v>
      </c>
      <c r="BE813" t="s">
        <v>15254</v>
      </c>
      <c r="BF813" t="str">
        <f>HYPERLINK("http://dx.doi.org/10.1657/1938-4246-46.2.333","http://dx.doi.org/10.1657/1938-4246-46.2.333")</f>
        <v>http://dx.doi.org/10.1657/1938-4246-46.2.333</v>
      </c>
      <c r="BG813" t="s">
        <v>74</v>
      </c>
      <c r="BH813" t="s">
        <v>74</v>
      </c>
      <c r="BI813">
        <v>11</v>
      </c>
      <c r="BJ813" t="s">
        <v>5273</v>
      </c>
      <c r="BK813" t="s">
        <v>102</v>
      </c>
      <c r="BL813" t="s">
        <v>103</v>
      </c>
      <c r="BM813" t="s">
        <v>15238</v>
      </c>
      <c r="BN813" t="s">
        <v>74</v>
      </c>
      <c r="BO813" t="s">
        <v>1274</v>
      </c>
      <c r="BP813" t="s">
        <v>74</v>
      </c>
      <c r="BQ813" t="s">
        <v>74</v>
      </c>
      <c r="BR813" t="s">
        <v>105</v>
      </c>
      <c r="BS813" t="s">
        <v>15255</v>
      </c>
      <c r="BT813" t="str">
        <f>HYPERLINK("https%3A%2F%2Fwww.webofscience.com%2Fwos%2Fwoscc%2Ffull-record%2FWOS:000336778500004","View Full Record in Web of Science")</f>
        <v>View Full Record in Web of Science</v>
      </c>
    </row>
    <row r="814" spans="1:72" x14ac:dyDescent="0.15">
      <c r="A814" t="s">
        <v>72</v>
      </c>
      <c r="B814" t="s">
        <v>15256</v>
      </c>
      <c r="C814" t="s">
        <v>74</v>
      </c>
      <c r="D814" t="s">
        <v>74</v>
      </c>
      <c r="E814" t="s">
        <v>74</v>
      </c>
      <c r="F814" t="s">
        <v>15257</v>
      </c>
      <c r="G814" t="s">
        <v>74</v>
      </c>
      <c r="H814" t="s">
        <v>74</v>
      </c>
      <c r="I814" t="s">
        <v>15258</v>
      </c>
      <c r="J814" t="s">
        <v>5255</v>
      </c>
      <c r="K814" t="s">
        <v>74</v>
      </c>
      <c r="L814" t="s">
        <v>74</v>
      </c>
      <c r="M814" t="s">
        <v>78</v>
      </c>
      <c r="N814" t="s">
        <v>79</v>
      </c>
      <c r="O814" t="s">
        <v>74</v>
      </c>
      <c r="P814" t="s">
        <v>74</v>
      </c>
      <c r="Q814" t="s">
        <v>74</v>
      </c>
      <c r="R814" t="s">
        <v>74</v>
      </c>
      <c r="S814" t="s">
        <v>74</v>
      </c>
      <c r="T814" t="s">
        <v>74</v>
      </c>
      <c r="U814" t="s">
        <v>15259</v>
      </c>
      <c r="V814" t="s">
        <v>15260</v>
      </c>
      <c r="W814" t="s">
        <v>15261</v>
      </c>
      <c r="X814" t="s">
        <v>15262</v>
      </c>
      <c r="Y814" t="s">
        <v>15263</v>
      </c>
      <c r="Z814" t="s">
        <v>15264</v>
      </c>
      <c r="AA814" t="s">
        <v>74</v>
      </c>
      <c r="AB814" t="s">
        <v>15265</v>
      </c>
      <c r="AC814" t="s">
        <v>15266</v>
      </c>
      <c r="AD814" t="s">
        <v>15267</v>
      </c>
      <c r="AE814" t="s">
        <v>15268</v>
      </c>
      <c r="AF814" t="s">
        <v>74</v>
      </c>
      <c r="AG814">
        <v>57</v>
      </c>
      <c r="AH814">
        <v>9</v>
      </c>
      <c r="AI814">
        <v>10</v>
      </c>
      <c r="AJ814">
        <v>0</v>
      </c>
      <c r="AK814">
        <v>22</v>
      </c>
      <c r="AL814" t="s">
        <v>1764</v>
      </c>
      <c r="AM814" t="s">
        <v>1765</v>
      </c>
      <c r="AN814" t="s">
        <v>3608</v>
      </c>
      <c r="AO814" t="s">
        <v>5268</v>
      </c>
      <c r="AP814" t="s">
        <v>5269</v>
      </c>
      <c r="AQ814" t="s">
        <v>74</v>
      </c>
      <c r="AR814" t="s">
        <v>5270</v>
      </c>
      <c r="AS814" t="s">
        <v>5271</v>
      </c>
      <c r="AT814" t="s">
        <v>14830</v>
      </c>
      <c r="AU814">
        <v>2014</v>
      </c>
      <c r="AV814">
        <v>46</v>
      </c>
      <c r="AW814">
        <v>2</v>
      </c>
      <c r="AX814" t="s">
        <v>74</v>
      </c>
      <c r="AY814" t="s">
        <v>74</v>
      </c>
      <c r="AZ814" t="s">
        <v>74</v>
      </c>
      <c r="BA814" t="s">
        <v>74</v>
      </c>
      <c r="BB814">
        <v>344</v>
      </c>
      <c r="BC814">
        <v>354</v>
      </c>
      <c r="BD814" t="s">
        <v>74</v>
      </c>
      <c r="BE814" t="s">
        <v>15269</v>
      </c>
      <c r="BF814" t="str">
        <f>HYPERLINK("http://dx.doi.org/10.1657/1938-4246-46.2.344","http://dx.doi.org/10.1657/1938-4246-46.2.344")</f>
        <v>http://dx.doi.org/10.1657/1938-4246-46.2.344</v>
      </c>
      <c r="BG814" t="s">
        <v>74</v>
      </c>
      <c r="BH814" t="s">
        <v>74</v>
      </c>
      <c r="BI814">
        <v>11</v>
      </c>
      <c r="BJ814" t="s">
        <v>5273</v>
      </c>
      <c r="BK814" t="s">
        <v>102</v>
      </c>
      <c r="BL814" t="s">
        <v>103</v>
      </c>
      <c r="BM814" t="s">
        <v>15238</v>
      </c>
      <c r="BN814" t="s">
        <v>74</v>
      </c>
      <c r="BO814" t="s">
        <v>2037</v>
      </c>
      <c r="BP814" t="s">
        <v>74</v>
      </c>
      <c r="BQ814" t="s">
        <v>74</v>
      </c>
      <c r="BR814" t="s">
        <v>105</v>
      </c>
      <c r="BS814" t="s">
        <v>15270</v>
      </c>
      <c r="BT814" t="str">
        <f>HYPERLINK("https%3A%2F%2Fwww.webofscience.com%2Fwos%2Fwoscc%2Ffull-record%2FWOS:000336778500005","View Full Record in Web of Science")</f>
        <v>View Full Record in Web of Science</v>
      </c>
    </row>
    <row r="815" spans="1:72" x14ac:dyDescent="0.15">
      <c r="A815" t="s">
        <v>72</v>
      </c>
      <c r="B815" t="s">
        <v>15271</v>
      </c>
      <c r="C815" t="s">
        <v>74</v>
      </c>
      <c r="D815" t="s">
        <v>74</v>
      </c>
      <c r="E815" t="s">
        <v>74</v>
      </c>
      <c r="F815" t="s">
        <v>15272</v>
      </c>
      <c r="G815" t="s">
        <v>74</v>
      </c>
      <c r="H815" t="s">
        <v>74</v>
      </c>
      <c r="I815" t="s">
        <v>15273</v>
      </c>
      <c r="J815" t="s">
        <v>5255</v>
      </c>
      <c r="K815" t="s">
        <v>74</v>
      </c>
      <c r="L815" t="s">
        <v>74</v>
      </c>
      <c r="M815" t="s">
        <v>78</v>
      </c>
      <c r="N815" t="s">
        <v>79</v>
      </c>
      <c r="O815" t="s">
        <v>74</v>
      </c>
      <c r="P815" t="s">
        <v>74</v>
      </c>
      <c r="Q815" t="s">
        <v>74</v>
      </c>
      <c r="R815" t="s">
        <v>74</v>
      </c>
      <c r="S815" t="s">
        <v>74</v>
      </c>
      <c r="T815" t="s">
        <v>74</v>
      </c>
      <c r="U815" t="s">
        <v>15274</v>
      </c>
      <c r="V815" t="s">
        <v>15275</v>
      </c>
      <c r="W815" t="s">
        <v>15276</v>
      </c>
      <c r="X815" t="s">
        <v>15277</v>
      </c>
      <c r="Y815" t="s">
        <v>15278</v>
      </c>
      <c r="Z815" t="s">
        <v>15279</v>
      </c>
      <c r="AA815" t="s">
        <v>74</v>
      </c>
      <c r="AB815" t="s">
        <v>74</v>
      </c>
      <c r="AC815" t="s">
        <v>15280</v>
      </c>
      <c r="AD815" t="s">
        <v>15281</v>
      </c>
      <c r="AE815" t="s">
        <v>15282</v>
      </c>
      <c r="AF815" t="s">
        <v>74</v>
      </c>
      <c r="AG815">
        <v>63</v>
      </c>
      <c r="AH815">
        <v>5</v>
      </c>
      <c r="AI815">
        <v>12</v>
      </c>
      <c r="AJ815">
        <v>6</v>
      </c>
      <c r="AK815">
        <v>73</v>
      </c>
      <c r="AL815" t="s">
        <v>1764</v>
      </c>
      <c r="AM815" t="s">
        <v>1765</v>
      </c>
      <c r="AN815" t="s">
        <v>3608</v>
      </c>
      <c r="AO815" t="s">
        <v>5268</v>
      </c>
      <c r="AP815" t="s">
        <v>5269</v>
      </c>
      <c r="AQ815" t="s">
        <v>74</v>
      </c>
      <c r="AR815" t="s">
        <v>5270</v>
      </c>
      <c r="AS815" t="s">
        <v>5271</v>
      </c>
      <c r="AT815" t="s">
        <v>14830</v>
      </c>
      <c r="AU815">
        <v>2014</v>
      </c>
      <c r="AV815">
        <v>46</v>
      </c>
      <c r="AW815">
        <v>2</v>
      </c>
      <c r="AX815" t="s">
        <v>74</v>
      </c>
      <c r="AY815" t="s">
        <v>74</v>
      </c>
      <c r="AZ815" t="s">
        <v>74</v>
      </c>
      <c r="BA815" t="s">
        <v>74</v>
      </c>
      <c r="BB815">
        <v>355</v>
      </c>
      <c r="BC815">
        <v>364</v>
      </c>
      <c r="BD815" t="s">
        <v>74</v>
      </c>
      <c r="BE815" t="s">
        <v>15283</v>
      </c>
      <c r="BF815" t="str">
        <f>HYPERLINK("http://dx.doi.org/10.1657/1938-4246-46.2.355","http://dx.doi.org/10.1657/1938-4246-46.2.355")</f>
        <v>http://dx.doi.org/10.1657/1938-4246-46.2.355</v>
      </c>
      <c r="BG815" t="s">
        <v>74</v>
      </c>
      <c r="BH815" t="s">
        <v>74</v>
      </c>
      <c r="BI815">
        <v>10</v>
      </c>
      <c r="BJ815" t="s">
        <v>5273</v>
      </c>
      <c r="BK815" t="s">
        <v>102</v>
      </c>
      <c r="BL815" t="s">
        <v>103</v>
      </c>
      <c r="BM815" t="s">
        <v>15238</v>
      </c>
      <c r="BN815" t="s">
        <v>74</v>
      </c>
      <c r="BO815" t="s">
        <v>1274</v>
      </c>
      <c r="BP815" t="s">
        <v>74</v>
      </c>
      <c r="BQ815" t="s">
        <v>74</v>
      </c>
      <c r="BR815" t="s">
        <v>105</v>
      </c>
      <c r="BS815" t="s">
        <v>15284</v>
      </c>
      <c r="BT815" t="str">
        <f>HYPERLINK("https%3A%2F%2Fwww.webofscience.com%2Fwos%2Fwoscc%2Ffull-record%2FWOS:000336778500006","View Full Record in Web of Science")</f>
        <v>View Full Record in Web of Science</v>
      </c>
    </row>
    <row r="816" spans="1:72" x14ac:dyDescent="0.15">
      <c r="A816" t="s">
        <v>72</v>
      </c>
      <c r="B816" t="s">
        <v>15285</v>
      </c>
      <c r="C816" t="s">
        <v>74</v>
      </c>
      <c r="D816" t="s">
        <v>74</v>
      </c>
      <c r="E816" t="s">
        <v>74</v>
      </c>
      <c r="F816" t="s">
        <v>15286</v>
      </c>
      <c r="G816" t="s">
        <v>74</v>
      </c>
      <c r="H816" t="s">
        <v>74</v>
      </c>
      <c r="I816" t="s">
        <v>15287</v>
      </c>
      <c r="J816" t="s">
        <v>5255</v>
      </c>
      <c r="K816" t="s">
        <v>74</v>
      </c>
      <c r="L816" t="s">
        <v>74</v>
      </c>
      <c r="M816" t="s">
        <v>78</v>
      </c>
      <c r="N816" t="s">
        <v>79</v>
      </c>
      <c r="O816" t="s">
        <v>74</v>
      </c>
      <c r="P816" t="s">
        <v>74</v>
      </c>
      <c r="Q816" t="s">
        <v>74</v>
      </c>
      <c r="R816" t="s">
        <v>74</v>
      </c>
      <c r="S816" t="s">
        <v>74</v>
      </c>
      <c r="T816" t="s">
        <v>74</v>
      </c>
      <c r="U816" t="s">
        <v>15288</v>
      </c>
      <c r="V816" t="s">
        <v>15289</v>
      </c>
      <c r="W816" t="s">
        <v>15290</v>
      </c>
      <c r="X816" t="s">
        <v>15291</v>
      </c>
      <c r="Y816" t="s">
        <v>15292</v>
      </c>
      <c r="Z816" t="s">
        <v>15293</v>
      </c>
      <c r="AA816" t="s">
        <v>15294</v>
      </c>
      <c r="AB816" t="s">
        <v>15295</v>
      </c>
      <c r="AC816" t="s">
        <v>15296</v>
      </c>
      <c r="AD816" t="s">
        <v>15297</v>
      </c>
      <c r="AE816" t="s">
        <v>15298</v>
      </c>
      <c r="AF816" t="s">
        <v>74</v>
      </c>
      <c r="AG816">
        <v>26</v>
      </c>
      <c r="AH816">
        <v>11</v>
      </c>
      <c r="AI816">
        <v>11</v>
      </c>
      <c r="AJ816">
        <v>0</v>
      </c>
      <c r="AK816">
        <v>4</v>
      </c>
      <c r="AL816" t="s">
        <v>5266</v>
      </c>
      <c r="AM816" t="s">
        <v>1938</v>
      </c>
      <c r="AN816" t="s">
        <v>5267</v>
      </c>
      <c r="AO816" t="s">
        <v>5268</v>
      </c>
      <c r="AP816" t="s">
        <v>5269</v>
      </c>
      <c r="AQ816" t="s">
        <v>74</v>
      </c>
      <c r="AR816" t="s">
        <v>5270</v>
      </c>
      <c r="AS816" t="s">
        <v>5271</v>
      </c>
      <c r="AT816" t="s">
        <v>14830</v>
      </c>
      <c r="AU816">
        <v>2014</v>
      </c>
      <c r="AV816">
        <v>46</v>
      </c>
      <c r="AW816">
        <v>2</v>
      </c>
      <c r="AX816" t="s">
        <v>74</v>
      </c>
      <c r="AY816" t="s">
        <v>74</v>
      </c>
      <c r="AZ816" t="s">
        <v>74</v>
      </c>
      <c r="BA816" t="s">
        <v>74</v>
      </c>
      <c r="BB816">
        <v>365</v>
      </c>
      <c r="BC816">
        <v>370</v>
      </c>
      <c r="BD816" t="s">
        <v>74</v>
      </c>
      <c r="BE816" t="s">
        <v>15299</v>
      </c>
      <c r="BF816" t="str">
        <f>HYPERLINK("http://dx.doi.org/10.1657/1938-4246-46.2.365","http://dx.doi.org/10.1657/1938-4246-46.2.365")</f>
        <v>http://dx.doi.org/10.1657/1938-4246-46.2.365</v>
      </c>
      <c r="BG816" t="s">
        <v>74</v>
      </c>
      <c r="BH816" t="s">
        <v>74</v>
      </c>
      <c r="BI816">
        <v>6</v>
      </c>
      <c r="BJ816" t="s">
        <v>5273</v>
      </c>
      <c r="BK816" t="s">
        <v>102</v>
      </c>
      <c r="BL816" t="s">
        <v>103</v>
      </c>
      <c r="BM816" t="s">
        <v>15238</v>
      </c>
      <c r="BN816" t="s">
        <v>74</v>
      </c>
      <c r="BO816" t="s">
        <v>1274</v>
      </c>
      <c r="BP816" t="s">
        <v>74</v>
      </c>
      <c r="BQ816" t="s">
        <v>74</v>
      </c>
      <c r="BR816" t="s">
        <v>105</v>
      </c>
      <c r="BS816" t="s">
        <v>15300</v>
      </c>
      <c r="BT816" t="str">
        <f>HYPERLINK("https%3A%2F%2Fwww.webofscience.com%2Fwos%2Fwoscc%2Ffull-record%2FWOS:000336778500007","View Full Record in Web of Science")</f>
        <v>View Full Record in Web of Science</v>
      </c>
    </row>
    <row r="817" spans="1:72" x14ac:dyDescent="0.15">
      <c r="A817" t="s">
        <v>72</v>
      </c>
      <c r="B817" t="s">
        <v>15301</v>
      </c>
      <c r="C817" t="s">
        <v>74</v>
      </c>
      <c r="D817" t="s">
        <v>74</v>
      </c>
      <c r="E817" t="s">
        <v>74</v>
      </c>
      <c r="F817" t="s">
        <v>15302</v>
      </c>
      <c r="G817" t="s">
        <v>74</v>
      </c>
      <c r="H817" t="s">
        <v>74</v>
      </c>
      <c r="I817" t="s">
        <v>15303</v>
      </c>
      <c r="J817" t="s">
        <v>5255</v>
      </c>
      <c r="K817" t="s">
        <v>74</v>
      </c>
      <c r="L817" t="s">
        <v>74</v>
      </c>
      <c r="M817" t="s">
        <v>78</v>
      </c>
      <c r="N817" t="s">
        <v>79</v>
      </c>
      <c r="O817" t="s">
        <v>74</v>
      </c>
      <c r="P817" t="s">
        <v>74</v>
      </c>
      <c r="Q817" t="s">
        <v>74</v>
      </c>
      <c r="R817" t="s">
        <v>74</v>
      </c>
      <c r="S817" t="s">
        <v>74</v>
      </c>
      <c r="T817" t="s">
        <v>74</v>
      </c>
      <c r="U817" t="s">
        <v>15304</v>
      </c>
      <c r="V817" t="s">
        <v>15305</v>
      </c>
      <c r="W817" t="s">
        <v>15306</v>
      </c>
      <c r="X817" t="s">
        <v>15307</v>
      </c>
      <c r="Y817" t="s">
        <v>15308</v>
      </c>
      <c r="Z817" t="s">
        <v>15309</v>
      </c>
      <c r="AA817" t="s">
        <v>15310</v>
      </c>
      <c r="AB817" t="s">
        <v>15311</v>
      </c>
      <c r="AC817" t="s">
        <v>15312</v>
      </c>
      <c r="AD817" t="s">
        <v>15313</v>
      </c>
      <c r="AE817" t="s">
        <v>15314</v>
      </c>
      <c r="AF817" t="s">
        <v>74</v>
      </c>
      <c r="AG817">
        <v>48</v>
      </c>
      <c r="AH817">
        <v>15</v>
      </c>
      <c r="AI817">
        <v>15</v>
      </c>
      <c r="AJ817">
        <v>0</v>
      </c>
      <c r="AK817">
        <v>50</v>
      </c>
      <c r="AL817" t="s">
        <v>5266</v>
      </c>
      <c r="AM817" t="s">
        <v>1938</v>
      </c>
      <c r="AN817" t="s">
        <v>5267</v>
      </c>
      <c r="AO817" t="s">
        <v>5268</v>
      </c>
      <c r="AP817" t="s">
        <v>5269</v>
      </c>
      <c r="AQ817" t="s">
        <v>74</v>
      </c>
      <c r="AR817" t="s">
        <v>5270</v>
      </c>
      <c r="AS817" t="s">
        <v>5271</v>
      </c>
      <c r="AT817" t="s">
        <v>14830</v>
      </c>
      <c r="AU817">
        <v>2014</v>
      </c>
      <c r="AV817">
        <v>46</v>
      </c>
      <c r="AW817">
        <v>2</v>
      </c>
      <c r="AX817" t="s">
        <v>74</v>
      </c>
      <c r="AY817" t="s">
        <v>74</v>
      </c>
      <c r="AZ817" t="s">
        <v>74</v>
      </c>
      <c r="BA817" t="s">
        <v>74</v>
      </c>
      <c r="BB817">
        <v>371</v>
      </c>
      <c r="BC817">
        <v>378</v>
      </c>
      <c r="BD817" t="s">
        <v>74</v>
      </c>
      <c r="BE817" t="s">
        <v>15315</v>
      </c>
      <c r="BF817" t="str">
        <f>HYPERLINK("http://dx.doi.org/10.1657/1938-4246-46.2.371","http://dx.doi.org/10.1657/1938-4246-46.2.371")</f>
        <v>http://dx.doi.org/10.1657/1938-4246-46.2.371</v>
      </c>
      <c r="BG817" t="s">
        <v>74</v>
      </c>
      <c r="BH817" t="s">
        <v>74</v>
      </c>
      <c r="BI817">
        <v>8</v>
      </c>
      <c r="BJ817" t="s">
        <v>5273</v>
      </c>
      <c r="BK817" t="s">
        <v>102</v>
      </c>
      <c r="BL817" t="s">
        <v>103</v>
      </c>
      <c r="BM817" t="s">
        <v>15238</v>
      </c>
      <c r="BN817" t="s">
        <v>74</v>
      </c>
      <c r="BO817" t="s">
        <v>74</v>
      </c>
      <c r="BP817" t="s">
        <v>74</v>
      </c>
      <c r="BQ817" t="s">
        <v>74</v>
      </c>
      <c r="BR817" t="s">
        <v>105</v>
      </c>
      <c r="BS817" t="s">
        <v>15316</v>
      </c>
      <c r="BT817" t="str">
        <f>HYPERLINK("https%3A%2F%2Fwww.webofscience.com%2Fwos%2Fwoscc%2Ffull-record%2FWOS:000336778500008","View Full Record in Web of Science")</f>
        <v>View Full Record in Web of Science</v>
      </c>
    </row>
    <row r="818" spans="1:72" x14ac:dyDescent="0.15">
      <c r="A818" t="s">
        <v>72</v>
      </c>
      <c r="B818" t="s">
        <v>15317</v>
      </c>
      <c r="C818" t="s">
        <v>74</v>
      </c>
      <c r="D818" t="s">
        <v>74</v>
      </c>
      <c r="E818" t="s">
        <v>74</v>
      </c>
      <c r="F818" t="s">
        <v>15318</v>
      </c>
      <c r="G818" t="s">
        <v>74</v>
      </c>
      <c r="H818" t="s">
        <v>74</v>
      </c>
      <c r="I818" t="s">
        <v>15319</v>
      </c>
      <c r="J818" t="s">
        <v>5255</v>
      </c>
      <c r="K818" t="s">
        <v>74</v>
      </c>
      <c r="L818" t="s">
        <v>74</v>
      </c>
      <c r="M818" t="s">
        <v>78</v>
      </c>
      <c r="N818" t="s">
        <v>79</v>
      </c>
      <c r="O818" t="s">
        <v>74</v>
      </c>
      <c r="P818" t="s">
        <v>74</v>
      </c>
      <c r="Q818" t="s">
        <v>74</v>
      </c>
      <c r="R818" t="s">
        <v>74</v>
      </c>
      <c r="S818" t="s">
        <v>74</v>
      </c>
      <c r="T818" t="s">
        <v>74</v>
      </c>
      <c r="U818" t="s">
        <v>15320</v>
      </c>
      <c r="V818" t="s">
        <v>15321</v>
      </c>
      <c r="W818" t="s">
        <v>15322</v>
      </c>
      <c r="X818" t="s">
        <v>15323</v>
      </c>
      <c r="Y818" t="s">
        <v>15324</v>
      </c>
      <c r="Z818" t="s">
        <v>15325</v>
      </c>
      <c r="AA818" t="s">
        <v>74</v>
      </c>
      <c r="AB818" t="s">
        <v>15326</v>
      </c>
      <c r="AC818" t="s">
        <v>15327</v>
      </c>
      <c r="AD818" t="s">
        <v>15328</v>
      </c>
      <c r="AE818" t="s">
        <v>15329</v>
      </c>
      <c r="AF818" t="s">
        <v>74</v>
      </c>
      <c r="AG818">
        <v>58</v>
      </c>
      <c r="AH818">
        <v>17</v>
      </c>
      <c r="AI818">
        <v>20</v>
      </c>
      <c r="AJ818">
        <v>0</v>
      </c>
      <c r="AK818">
        <v>29</v>
      </c>
      <c r="AL818" t="s">
        <v>1764</v>
      </c>
      <c r="AM818" t="s">
        <v>1765</v>
      </c>
      <c r="AN818" t="s">
        <v>3608</v>
      </c>
      <c r="AO818" t="s">
        <v>5268</v>
      </c>
      <c r="AP818" t="s">
        <v>5269</v>
      </c>
      <c r="AQ818" t="s">
        <v>74</v>
      </c>
      <c r="AR818" t="s">
        <v>5270</v>
      </c>
      <c r="AS818" t="s">
        <v>5271</v>
      </c>
      <c r="AT818" t="s">
        <v>14830</v>
      </c>
      <c r="AU818">
        <v>2014</v>
      </c>
      <c r="AV818">
        <v>46</v>
      </c>
      <c r="AW818">
        <v>2</v>
      </c>
      <c r="AX818" t="s">
        <v>74</v>
      </c>
      <c r="AY818" t="s">
        <v>74</v>
      </c>
      <c r="AZ818" t="s">
        <v>74</v>
      </c>
      <c r="BA818" t="s">
        <v>74</v>
      </c>
      <c r="BB818">
        <v>379</v>
      </c>
      <c r="BC818">
        <v>393</v>
      </c>
      <c r="BD818" t="s">
        <v>74</v>
      </c>
      <c r="BE818" t="s">
        <v>15330</v>
      </c>
      <c r="BF818" t="str">
        <f>HYPERLINK("http://dx.doi.org/10.1657/1938-4246-46.2.379","http://dx.doi.org/10.1657/1938-4246-46.2.379")</f>
        <v>http://dx.doi.org/10.1657/1938-4246-46.2.379</v>
      </c>
      <c r="BG818" t="s">
        <v>74</v>
      </c>
      <c r="BH818" t="s">
        <v>74</v>
      </c>
      <c r="BI818">
        <v>15</v>
      </c>
      <c r="BJ818" t="s">
        <v>5273</v>
      </c>
      <c r="BK818" t="s">
        <v>102</v>
      </c>
      <c r="BL818" t="s">
        <v>103</v>
      </c>
      <c r="BM818" t="s">
        <v>15238</v>
      </c>
      <c r="BN818" t="s">
        <v>74</v>
      </c>
      <c r="BO818" t="s">
        <v>1274</v>
      </c>
      <c r="BP818" t="s">
        <v>74</v>
      </c>
      <c r="BQ818" t="s">
        <v>74</v>
      </c>
      <c r="BR818" t="s">
        <v>105</v>
      </c>
      <c r="BS818" t="s">
        <v>15331</v>
      </c>
      <c r="BT818" t="str">
        <f>HYPERLINK("https%3A%2F%2Fwww.webofscience.com%2Fwos%2Fwoscc%2Ffull-record%2FWOS:000336778500009","View Full Record in Web of Science")</f>
        <v>View Full Record in Web of Science</v>
      </c>
    </row>
    <row r="819" spans="1:72" x14ac:dyDescent="0.15">
      <c r="A819" t="s">
        <v>72</v>
      </c>
      <c r="B819" t="s">
        <v>15332</v>
      </c>
      <c r="C819" t="s">
        <v>74</v>
      </c>
      <c r="D819" t="s">
        <v>74</v>
      </c>
      <c r="E819" t="s">
        <v>74</v>
      </c>
      <c r="F819" t="s">
        <v>15333</v>
      </c>
      <c r="G819" t="s">
        <v>74</v>
      </c>
      <c r="H819" t="s">
        <v>74</v>
      </c>
      <c r="I819" t="s">
        <v>15334</v>
      </c>
      <c r="J819" t="s">
        <v>5255</v>
      </c>
      <c r="K819" t="s">
        <v>74</v>
      </c>
      <c r="L819" t="s">
        <v>74</v>
      </c>
      <c r="M819" t="s">
        <v>78</v>
      </c>
      <c r="N819" t="s">
        <v>79</v>
      </c>
      <c r="O819" t="s">
        <v>74</v>
      </c>
      <c r="P819" t="s">
        <v>74</v>
      </c>
      <c r="Q819" t="s">
        <v>74</v>
      </c>
      <c r="R819" t="s">
        <v>74</v>
      </c>
      <c r="S819" t="s">
        <v>74</v>
      </c>
      <c r="T819" t="s">
        <v>74</v>
      </c>
      <c r="U819" t="s">
        <v>15335</v>
      </c>
      <c r="V819" t="s">
        <v>15336</v>
      </c>
      <c r="W819" t="s">
        <v>15337</v>
      </c>
      <c r="X819" t="s">
        <v>15338</v>
      </c>
      <c r="Y819" t="s">
        <v>15339</v>
      </c>
      <c r="Z819" t="s">
        <v>15340</v>
      </c>
      <c r="AA819" t="s">
        <v>74</v>
      </c>
      <c r="AB819" t="s">
        <v>74</v>
      </c>
      <c r="AC819" t="s">
        <v>15341</v>
      </c>
      <c r="AD819" t="s">
        <v>15342</v>
      </c>
      <c r="AE819" t="s">
        <v>15343</v>
      </c>
      <c r="AF819" t="s">
        <v>74</v>
      </c>
      <c r="AG819">
        <v>61</v>
      </c>
      <c r="AH819">
        <v>16</v>
      </c>
      <c r="AI819">
        <v>23</v>
      </c>
      <c r="AJ819">
        <v>1</v>
      </c>
      <c r="AK819">
        <v>59</v>
      </c>
      <c r="AL819" t="s">
        <v>1764</v>
      </c>
      <c r="AM819" t="s">
        <v>1765</v>
      </c>
      <c r="AN819" t="s">
        <v>3608</v>
      </c>
      <c r="AO819" t="s">
        <v>5268</v>
      </c>
      <c r="AP819" t="s">
        <v>5269</v>
      </c>
      <c r="AQ819" t="s">
        <v>74</v>
      </c>
      <c r="AR819" t="s">
        <v>5270</v>
      </c>
      <c r="AS819" t="s">
        <v>5271</v>
      </c>
      <c r="AT819" t="s">
        <v>14830</v>
      </c>
      <c r="AU819">
        <v>2014</v>
      </c>
      <c r="AV819">
        <v>46</v>
      </c>
      <c r="AW819">
        <v>2</v>
      </c>
      <c r="AX819" t="s">
        <v>74</v>
      </c>
      <c r="AY819" t="s">
        <v>74</v>
      </c>
      <c r="AZ819" t="s">
        <v>74</v>
      </c>
      <c r="BA819" t="s">
        <v>74</v>
      </c>
      <c r="BB819">
        <v>407</v>
      </c>
      <c r="BC819">
        <v>418</v>
      </c>
      <c r="BD819" t="s">
        <v>74</v>
      </c>
      <c r="BE819" t="s">
        <v>15344</v>
      </c>
      <c r="BF819" t="str">
        <f>HYPERLINK("http://dx.doi.org/10.1657/1938-4246-46.2.407","http://dx.doi.org/10.1657/1938-4246-46.2.407")</f>
        <v>http://dx.doi.org/10.1657/1938-4246-46.2.407</v>
      </c>
      <c r="BG819" t="s">
        <v>74</v>
      </c>
      <c r="BH819" t="s">
        <v>74</v>
      </c>
      <c r="BI819">
        <v>12</v>
      </c>
      <c r="BJ819" t="s">
        <v>5273</v>
      </c>
      <c r="BK819" t="s">
        <v>102</v>
      </c>
      <c r="BL819" t="s">
        <v>103</v>
      </c>
      <c r="BM819" t="s">
        <v>15238</v>
      </c>
      <c r="BN819" t="s">
        <v>74</v>
      </c>
      <c r="BO819" t="s">
        <v>1053</v>
      </c>
      <c r="BP819" t="s">
        <v>74</v>
      </c>
      <c r="BQ819" t="s">
        <v>74</v>
      </c>
      <c r="BR819" t="s">
        <v>105</v>
      </c>
      <c r="BS819" t="s">
        <v>15345</v>
      </c>
      <c r="BT819" t="str">
        <f>HYPERLINK("https%3A%2F%2Fwww.webofscience.com%2Fwos%2Fwoscc%2Ffull-record%2FWOS:000336778500011","View Full Record in Web of Science")</f>
        <v>View Full Record in Web of Science</v>
      </c>
    </row>
    <row r="820" spans="1:72" x14ac:dyDescent="0.15">
      <c r="A820" t="s">
        <v>72</v>
      </c>
      <c r="B820" t="s">
        <v>15346</v>
      </c>
      <c r="C820" t="s">
        <v>74</v>
      </c>
      <c r="D820" t="s">
        <v>74</v>
      </c>
      <c r="E820" t="s">
        <v>74</v>
      </c>
      <c r="F820" t="s">
        <v>15347</v>
      </c>
      <c r="G820" t="s">
        <v>74</v>
      </c>
      <c r="H820" t="s">
        <v>74</v>
      </c>
      <c r="I820" t="s">
        <v>15348</v>
      </c>
      <c r="J820" t="s">
        <v>5255</v>
      </c>
      <c r="K820" t="s">
        <v>74</v>
      </c>
      <c r="L820" t="s">
        <v>74</v>
      </c>
      <c r="M820" t="s">
        <v>78</v>
      </c>
      <c r="N820" t="s">
        <v>79</v>
      </c>
      <c r="O820" t="s">
        <v>74</v>
      </c>
      <c r="P820" t="s">
        <v>74</v>
      </c>
      <c r="Q820" t="s">
        <v>74</v>
      </c>
      <c r="R820" t="s">
        <v>74</v>
      </c>
      <c r="S820" t="s">
        <v>74</v>
      </c>
      <c r="T820" t="s">
        <v>74</v>
      </c>
      <c r="U820" t="s">
        <v>15349</v>
      </c>
      <c r="V820" t="s">
        <v>15350</v>
      </c>
      <c r="W820" t="s">
        <v>15351</v>
      </c>
      <c r="X820" t="s">
        <v>15352</v>
      </c>
      <c r="Y820" t="s">
        <v>15353</v>
      </c>
      <c r="Z820" t="s">
        <v>15354</v>
      </c>
      <c r="AA820" t="s">
        <v>15355</v>
      </c>
      <c r="AB820" t="s">
        <v>15356</v>
      </c>
      <c r="AC820" t="s">
        <v>15357</v>
      </c>
      <c r="AD820" t="s">
        <v>15358</v>
      </c>
      <c r="AE820" t="s">
        <v>15359</v>
      </c>
      <c r="AF820" t="s">
        <v>74</v>
      </c>
      <c r="AG820">
        <v>50</v>
      </c>
      <c r="AH820">
        <v>39</v>
      </c>
      <c r="AI820">
        <v>44</v>
      </c>
      <c r="AJ820">
        <v>8</v>
      </c>
      <c r="AK820">
        <v>187</v>
      </c>
      <c r="AL820" t="s">
        <v>1764</v>
      </c>
      <c r="AM820" t="s">
        <v>1765</v>
      </c>
      <c r="AN820" t="s">
        <v>3608</v>
      </c>
      <c r="AO820" t="s">
        <v>5268</v>
      </c>
      <c r="AP820" t="s">
        <v>5269</v>
      </c>
      <c r="AQ820" t="s">
        <v>74</v>
      </c>
      <c r="AR820" t="s">
        <v>5270</v>
      </c>
      <c r="AS820" t="s">
        <v>5271</v>
      </c>
      <c r="AT820" t="s">
        <v>14830</v>
      </c>
      <c r="AU820">
        <v>2014</v>
      </c>
      <c r="AV820">
        <v>46</v>
      </c>
      <c r="AW820">
        <v>2</v>
      </c>
      <c r="AX820" t="s">
        <v>74</v>
      </c>
      <c r="AY820" t="s">
        <v>74</v>
      </c>
      <c r="AZ820" t="s">
        <v>74</v>
      </c>
      <c r="BA820" t="s">
        <v>74</v>
      </c>
      <c r="BB820">
        <v>419</v>
      </c>
      <c r="BC820">
        <v>429</v>
      </c>
      <c r="BD820" t="s">
        <v>74</v>
      </c>
      <c r="BE820" t="s">
        <v>15360</v>
      </c>
      <c r="BF820" t="str">
        <f>HYPERLINK("http://dx.doi.org/10.1657/1938-4246-46.2.419","http://dx.doi.org/10.1657/1938-4246-46.2.419")</f>
        <v>http://dx.doi.org/10.1657/1938-4246-46.2.419</v>
      </c>
      <c r="BG820" t="s">
        <v>74</v>
      </c>
      <c r="BH820" t="s">
        <v>74</v>
      </c>
      <c r="BI820">
        <v>11</v>
      </c>
      <c r="BJ820" t="s">
        <v>5273</v>
      </c>
      <c r="BK820" t="s">
        <v>102</v>
      </c>
      <c r="BL820" t="s">
        <v>103</v>
      </c>
      <c r="BM820" t="s">
        <v>15238</v>
      </c>
      <c r="BN820" t="s">
        <v>74</v>
      </c>
      <c r="BO820" t="s">
        <v>1274</v>
      </c>
      <c r="BP820" t="s">
        <v>74</v>
      </c>
      <c r="BQ820" t="s">
        <v>74</v>
      </c>
      <c r="BR820" t="s">
        <v>105</v>
      </c>
      <c r="BS820" t="s">
        <v>15361</v>
      </c>
      <c r="BT820" t="str">
        <f>HYPERLINK("https%3A%2F%2Fwww.webofscience.com%2Fwos%2Fwoscc%2Ffull-record%2FWOS:000336778500012","View Full Record in Web of Science")</f>
        <v>View Full Record in Web of Science</v>
      </c>
    </row>
    <row r="821" spans="1:72" x14ac:dyDescent="0.15">
      <c r="A821" t="s">
        <v>72</v>
      </c>
      <c r="B821" t="s">
        <v>15362</v>
      </c>
      <c r="C821" t="s">
        <v>74</v>
      </c>
      <c r="D821" t="s">
        <v>74</v>
      </c>
      <c r="E821" t="s">
        <v>74</v>
      </c>
      <c r="F821" t="s">
        <v>15363</v>
      </c>
      <c r="G821" t="s">
        <v>74</v>
      </c>
      <c r="H821" t="s">
        <v>74</v>
      </c>
      <c r="I821" t="s">
        <v>15364</v>
      </c>
      <c r="J821" t="s">
        <v>5255</v>
      </c>
      <c r="K821" t="s">
        <v>74</v>
      </c>
      <c r="L821" t="s">
        <v>74</v>
      </c>
      <c r="M821" t="s">
        <v>78</v>
      </c>
      <c r="N821" t="s">
        <v>79</v>
      </c>
      <c r="O821" t="s">
        <v>74</v>
      </c>
      <c r="P821" t="s">
        <v>74</v>
      </c>
      <c r="Q821" t="s">
        <v>74</v>
      </c>
      <c r="R821" t="s">
        <v>74</v>
      </c>
      <c r="S821" t="s">
        <v>74</v>
      </c>
      <c r="T821" t="s">
        <v>74</v>
      </c>
      <c r="U821" t="s">
        <v>15365</v>
      </c>
      <c r="V821" t="s">
        <v>15366</v>
      </c>
      <c r="W821" t="s">
        <v>15367</v>
      </c>
      <c r="X821" t="s">
        <v>15368</v>
      </c>
      <c r="Y821" t="s">
        <v>15369</v>
      </c>
      <c r="Z821" t="s">
        <v>15370</v>
      </c>
      <c r="AA821" t="s">
        <v>15371</v>
      </c>
      <c r="AB821" t="s">
        <v>15372</v>
      </c>
      <c r="AC821" t="s">
        <v>15373</v>
      </c>
      <c r="AD821" t="s">
        <v>15374</v>
      </c>
      <c r="AE821" t="s">
        <v>15375</v>
      </c>
      <c r="AF821" t="s">
        <v>74</v>
      </c>
      <c r="AG821">
        <v>62</v>
      </c>
      <c r="AH821">
        <v>19</v>
      </c>
      <c r="AI821">
        <v>20</v>
      </c>
      <c r="AJ821">
        <v>6</v>
      </c>
      <c r="AK821">
        <v>64</v>
      </c>
      <c r="AL821" t="s">
        <v>1764</v>
      </c>
      <c r="AM821" t="s">
        <v>1765</v>
      </c>
      <c r="AN821" t="s">
        <v>3608</v>
      </c>
      <c r="AO821" t="s">
        <v>5268</v>
      </c>
      <c r="AP821" t="s">
        <v>5269</v>
      </c>
      <c r="AQ821" t="s">
        <v>74</v>
      </c>
      <c r="AR821" t="s">
        <v>5270</v>
      </c>
      <c r="AS821" t="s">
        <v>5271</v>
      </c>
      <c r="AT821" t="s">
        <v>14830</v>
      </c>
      <c r="AU821">
        <v>2014</v>
      </c>
      <c r="AV821">
        <v>46</v>
      </c>
      <c r="AW821">
        <v>2</v>
      </c>
      <c r="AX821" t="s">
        <v>74</v>
      </c>
      <c r="AY821" t="s">
        <v>74</v>
      </c>
      <c r="AZ821" t="s">
        <v>74</v>
      </c>
      <c r="BA821" t="s">
        <v>74</v>
      </c>
      <c r="BB821">
        <v>441</v>
      </c>
      <c r="BC821">
        <v>458</v>
      </c>
      <c r="BD821" t="s">
        <v>74</v>
      </c>
      <c r="BE821" t="s">
        <v>15376</v>
      </c>
      <c r="BF821" t="str">
        <f>HYPERLINK("http://dx.doi.org/10.1657/1938-4246-46.2.441","http://dx.doi.org/10.1657/1938-4246-46.2.441")</f>
        <v>http://dx.doi.org/10.1657/1938-4246-46.2.441</v>
      </c>
      <c r="BG821" t="s">
        <v>74</v>
      </c>
      <c r="BH821" t="s">
        <v>74</v>
      </c>
      <c r="BI821">
        <v>18</v>
      </c>
      <c r="BJ821" t="s">
        <v>5273</v>
      </c>
      <c r="BK821" t="s">
        <v>102</v>
      </c>
      <c r="BL821" t="s">
        <v>103</v>
      </c>
      <c r="BM821" t="s">
        <v>15238</v>
      </c>
      <c r="BN821" t="s">
        <v>74</v>
      </c>
      <c r="BO821" t="s">
        <v>1053</v>
      </c>
      <c r="BP821" t="s">
        <v>74</v>
      </c>
      <c r="BQ821" t="s">
        <v>74</v>
      </c>
      <c r="BR821" t="s">
        <v>105</v>
      </c>
      <c r="BS821" t="s">
        <v>15377</v>
      </c>
      <c r="BT821" t="str">
        <f>HYPERLINK("https%3A%2F%2Fwww.webofscience.com%2Fwos%2Fwoscc%2Ffull-record%2FWOS:000336778500014","View Full Record in Web of Science")</f>
        <v>View Full Record in Web of Science</v>
      </c>
    </row>
    <row r="822" spans="1:72" x14ac:dyDescent="0.15">
      <c r="A822" t="s">
        <v>72</v>
      </c>
      <c r="B822" t="s">
        <v>15378</v>
      </c>
      <c r="C822" t="s">
        <v>74</v>
      </c>
      <c r="D822" t="s">
        <v>74</v>
      </c>
      <c r="E822" t="s">
        <v>74</v>
      </c>
      <c r="F822" t="s">
        <v>15379</v>
      </c>
      <c r="G822" t="s">
        <v>74</v>
      </c>
      <c r="H822" t="s">
        <v>74</v>
      </c>
      <c r="I822" t="s">
        <v>15380</v>
      </c>
      <c r="J822" t="s">
        <v>5255</v>
      </c>
      <c r="K822" t="s">
        <v>74</v>
      </c>
      <c r="L822" t="s">
        <v>74</v>
      </c>
      <c r="M822" t="s">
        <v>78</v>
      </c>
      <c r="N822" t="s">
        <v>79</v>
      </c>
      <c r="O822" t="s">
        <v>74</v>
      </c>
      <c r="P822" t="s">
        <v>74</v>
      </c>
      <c r="Q822" t="s">
        <v>74</v>
      </c>
      <c r="R822" t="s">
        <v>74</v>
      </c>
      <c r="S822" t="s">
        <v>74</v>
      </c>
      <c r="T822" t="s">
        <v>74</v>
      </c>
      <c r="U822" t="s">
        <v>15381</v>
      </c>
      <c r="V822" t="s">
        <v>15382</v>
      </c>
      <c r="W822" t="s">
        <v>15383</v>
      </c>
      <c r="X822" t="s">
        <v>6413</v>
      </c>
      <c r="Y822" t="s">
        <v>15384</v>
      </c>
      <c r="Z822" t="s">
        <v>15385</v>
      </c>
      <c r="AA822" t="s">
        <v>15386</v>
      </c>
      <c r="AB822" t="s">
        <v>15387</v>
      </c>
      <c r="AC822" t="s">
        <v>74</v>
      </c>
      <c r="AD822" t="s">
        <v>74</v>
      </c>
      <c r="AE822" t="s">
        <v>74</v>
      </c>
      <c r="AF822" t="s">
        <v>74</v>
      </c>
      <c r="AG822">
        <v>54</v>
      </c>
      <c r="AH822">
        <v>27</v>
      </c>
      <c r="AI822">
        <v>27</v>
      </c>
      <c r="AJ822">
        <v>2</v>
      </c>
      <c r="AK822">
        <v>59</v>
      </c>
      <c r="AL822" t="s">
        <v>1764</v>
      </c>
      <c r="AM822" t="s">
        <v>1765</v>
      </c>
      <c r="AN822" t="s">
        <v>3608</v>
      </c>
      <c r="AO822" t="s">
        <v>5268</v>
      </c>
      <c r="AP822" t="s">
        <v>5269</v>
      </c>
      <c r="AQ822" t="s">
        <v>74</v>
      </c>
      <c r="AR822" t="s">
        <v>5270</v>
      </c>
      <c r="AS822" t="s">
        <v>5271</v>
      </c>
      <c r="AT822" t="s">
        <v>14830</v>
      </c>
      <c r="AU822">
        <v>2014</v>
      </c>
      <c r="AV822">
        <v>46</v>
      </c>
      <c r="AW822">
        <v>2</v>
      </c>
      <c r="AX822" t="s">
        <v>74</v>
      </c>
      <c r="AY822" t="s">
        <v>74</v>
      </c>
      <c r="AZ822" t="s">
        <v>74</v>
      </c>
      <c r="BA822" t="s">
        <v>74</v>
      </c>
      <c r="BB822">
        <v>459</v>
      </c>
      <c r="BC822">
        <v>470</v>
      </c>
      <c r="BD822" t="s">
        <v>74</v>
      </c>
      <c r="BE822" t="s">
        <v>15388</v>
      </c>
      <c r="BF822" t="str">
        <f>HYPERLINK("http://dx.doi.org/10.1657/1938-4246-46.2.459","http://dx.doi.org/10.1657/1938-4246-46.2.459")</f>
        <v>http://dx.doi.org/10.1657/1938-4246-46.2.459</v>
      </c>
      <c r="BG822" t="s">
        <v>74</v>
      </c>
      <c r="BH822" t="s">
        <v>74</v>
      </c>
      <c r="BI822">
        <v>12</v>
      </c>
      <c r="BJ822" t="s">
        <v>5273</v>
      </c>
      <c r="BK822" t="s">
        <v>102</v>
      </c>
      <c r="BL822" t="s">
        <v>103</v>
      </c>
      <c r="BM822" t="s">
        <v>15238</v>
      </c>
      <c r="BN822" t="s">
        <v>74</v>
      </c>
      <c r="BO822" t="s">
        <v>1274</v>
      </c>
      <c r="BP822" t="s">
        <v>74</v>
      </c>
      <c r="BQ822" t="s">
        <v>74</v>
      </c>
      <c r="BR822" t="s">
        <v>105</v>
      </c>
      <c r="BS822" t="s">
        <v>15389</v>
      </c>
      <c r="BT822" t="str">
        <f>HYPERLINK("https%3A%2F%2Fwww.webofscience.com%2Fwos%2Fwoscc%2Ffull-record%2FWOS:000336778500015","View Full Record in Web of Science")</f>
        <v>View Full Record in Web of Science</v>
      </c>
    </row>
    <row r="823" spans="1:72" x14ac:dyDescent="0.15">
      <c r="A823" t="s">
        <v>72</v>
      </c>
      <c r="B823" t="s">
        <v>15390</v>
      </c>
      <c r="C823" t="s">
        <v>74</v>
      </c>
      <c r="D823" t="s">
        <v>74</v>
      </c>
      <c r="E823" t="s">
        <v>74</v>
      </c>
      <c r="F823" t="s">
        <v>15391</v>
      </c>
      <c r="G823" t="s">
        <v>74</v>
      </c>
      <c r="H823" t="s">
        <v>74</v>
      </c>
      <c r="I823" t="s">
        <v>15392</v>
      </c>
      <c r="J823" t="s">
        <v>5255</v>
      </c>
      <c r="K823" t="s">
        <v>74</v>
      </c>
      <c r="L823" t="s">
        <v>74</v>
      </c>
      <c r="M823" t="s">
        <v>78</v>
      </c>
      <c r="N823" t="s">
        <v>79</v>
      </c>
      <c r="O823" t="s">
        <v>74</v>
      </c>
      <c r="P823" t="s">
        <v>74</v>
      </c>
      <c r="Q823" t="s">
        <v>74</v>
      </c>
      <c r="R823" t="s">
        <v>74</v>
      </c>
      <c r="S823" t="s">
        <v>74</v>
      </c>
      <c r="T823" t="s">
        <v>74</v>
      </c>
      <c r="U823" t="s">
        <v>15393</v>
      </c>
      <c r="V823" t="s">
        <v>15394</v>
      </c>
      <c r="W823" t="s">
        <v>15395</v>
      </c>
      <c r="X823" t="s">
        <v>15396</v>
      </c>
      <c r="Y823" t="s">
        <v>15397</v>
      </c>
      <c r="Z823" t="s">
        <v>15398</v>
      </c>
      <c r="AA823" t="s">
        <v>15399</v>
      </c>
      <c r="AB823" t="s">
        <v>15400</v>
      </c>
      <c r="AC823" t="s">
        <v>15401</v>
      </c>
      <c r="AD823" t="s">
        <v>15402</v>
      </c>
      <c r="AE823" t="s">
        <v>15403</v>
      </c>
      <c r="AF823" t="s">
        <v>74</v>
      </c>
      <c r="AG823">
        <v>84</v>
      </c>
      <c r="AH823">
        <v>10</v>
      </c>
      <c r="AI823">
        <v>11</v>
      </c>
      <c r="AJ823">
        <v>3</v>
      </c>
      <c r="AK823">
        <v>30</v>
      </c>
      <c r="AL823" t="s">
        <v>5266</v>
      </c>
      <c r="AM823" t="s">
        <v>1938</v>
      </c>
      <c r="AN823" t="s">
        <v>5267</v>
      </c>
      <c r="AO823" t="s">
        <v>5268</v>
      </c>
      <c r="AP823" t="s">
        <v>5269</v>
      </c>
      <c r="AQ823" t="s">
        <v>74</v>
      </c>
      <c r="AR823" t="s">
        <v>5270</v>
      </c>
      <c r="AS823" t="s">
        <v>5271</v>
      </c>
      <c r="AT823" t="s">
        <v>14830</v>
      </c>
      <c r="AU823">
        <v>2014</v>
      </c>
      <c r="AV823">
        <v>46</v>
      </c>
      <c r="AW823">
        <v>2</v>
      </c>
      <c r="AX823" t="s">
        <v>74</v>
      </c>
      <c r="AY823" t="s">
        <v>74</v>
      </c>
      <c r="AZ823" t="s">
        <v>74</v>
      </c>
      <c r="BA823" t="s">
        <v>74</v>
      </c>
      <c r="BB823">
        <v>471</v>
      </c>
      <c r="BC823">
        <v>482</v>
      </c>
      <c r="BD823" t="s">
        <v>74</v>
      </c>
      <c r="BE823" t="s">
        <v>15404</v>
      </c>
      <c r="BF823" t="str">
        <f>HYPERLINK("http://dx.doi.org/10.1657/1938-4246-46.2.471","http://dx.doi.org/10.1657/1938-4246-46.2.471")</f>
        <v>http://dx.doi.org/10.1657/1938-4246-46.2.471</v>
      </c>
      <c r="BG823" t="s">
        <v>74</v>
      </c>
      <c r="BH823" t="s">
        <v>74</v>
      </c>
      <c r="BI823">
        <v>12</v>
      </c>
      <c r="BJ823" t="s">
        <v>5273</v>
      </c>
      <c r="BK823" t="s">
        <v>102</v>
      </c>
      <c r="BL823" t="s">
        <v>103</v>
      </c>
      <c r="BM823" t="s">
        <v>15238</v>
      </c>
      <c r="BN823" t="s">
        <v>74</v>
      </c>
      <c r="BO823" t="s">
        <v>1053</v>
      </c>
      <c r="BP823" t="s">
        <v>74</v>
      </c>
      <c r="BQ823" t="s">
        <v>74</v>
      </c>
      <c r="BR823" t="s">
        <v>105</v>
      </c>
      <c r="BS823" t="s">
        <v>15405</v>
      </c>
      <c r="BT823" t="str">
        <f>HYPERLINK("https%3A%2F%2Fwww.webofscience.com%2Fwos%2Fwoscc%2Ffull-record%2FWOS:000336778500016","View Full Record in Web of Science")</f>
        <v>View Full Record in Web of Science</v>
      </c>
    </row>
    <row r="824" spans="1:72" x14ac:dyDescent="0.15">
      <c r="A824" t="s">
        <v>72</v>
      </c>
      <c r="B824" t="s">
        <v>15406</v>
      </c>
      <c r="C824" t="s">
        <v>74</v>
      </c>
      <c r="D824" t="s">
        <v>74</v>
      </c>
      <c r="E824" t="s">
        <v>74</v>
      </c>
      <c r="F824" t="s">
        <v>15407</v>
      </c>
      <c r="G824" t="s">
        <v>74</v>
      </c>
      <c r="H824" t="s">
        <v>74</v>
      </c>
      <c r="I824" t="s">
        <v>15408</v>
      </c>
      <c r="J824" t="s">
        <v>5255</v>
      </c>
      <c r="K824" t="s">
        <v>74</v>
      </c>
      <c r="L824" t="s">
        <v>74</v>
      </c>
      <c r="M824" t="s">
        <v>78</v>
      </c>
      <c r="N824" t="s">
        <v>79</v>
      </c>
      <c r="O824" t="s">
        <v>74</v>
      </c>
      <c r="P824" t="s">
        <v>74</v>
      </c>
      <c r="Q824" t="s">
        <v>74</v>
      </c>
      <c r="R824" t="s">
        <v>74</v>
      </c>
      <c r="S824" t="s">
        <v>74</v>
      </c>
      <c r="T824" t="s">
        <v>74</v>
      </c>
      <c r="U824" t="s">
        <v>15409</v>
      </c>
      <c r="V824" t="s">
        <v>15410</v>
      </c>
      <c r="W824" t="s">
        <v>15411</v>
      </c>
      <c r="X824" t="s">
        <v>15412</v>
      </c>
      <c r="Y824" t="s">
        <v>15413</v>
      </c>
      <c r="Z824" t="s">
        <v>15414</v>
      </c>
      <c r="AA824" t="s">
        <v>74</v>
      </c>
      <c r="AB824" t="s">
        <v>74</v>
      </c>
      <c r="AC824" t="s">
        <v>74</v>
      </c>
      <c r="AD824" t="s">
        <v>74</v>
      </c>
      <c r="AE824" t="s">
        <v>74</v>
      </c>
      <c r="AF824" t="s">
        <v>74</v>
      </c>
      <c r="AG824">
        <v>66</v>
      </c>
      <c r="AH824">
        <v>27</v>
      </c>
      <c r="AI824">
        <v>32</v>
      </c>
      <c r="AJ824">
        <v>0</v>
      </c>
      <c r="AK824">
        <v>47</v>
      </c>
      <c r="AL824" t="s">
        <v>1764</v>
      </c>
      <c r="AM824" t="s">
        <v>1765</v>
      </c>
      <c r="AN824" t="s">
        <v>3608</v>
      </c>
      <c r="AO824" t="s">
        <v>5268</v>
      </c>
      <c r="AP824" t="s">
        <v>5269</v>
      </c>
      <c r="AQ824" t="s">
        <v>74</v>
      </c>
      <c r="AR824" t="s">
        <v>5270</v>
      </c>
      <c r="AS824" t="s">
        <v>5271</v>
      </c>
      <c r="AT824" t="s">
        <v>14830</v>
      </c>
      <c r="AU824">
        <v>2014</v>
      </c>
      <c r="AV824">
        <v>46</v>
      </c>
      <c r="AW824">
        <v>2</v>
      </c>
      <c r="AX824" t="s">
        <v>74</v>
      </c>
      <c r="AY824" t="s">
        <v>74</v>
      </c>
      <c r="AZ824" t="s">
        <v>74</v>
      </c>
      <c r="BA824" t="s">
        <v>74</v>
      </c>
      <c r="BB824">
        <v>483</v>
      </c>
      <c r="BC824">
        <v>504</v>
      </c>
      <c r="BD824" t="s">
        <v>74</v>
      </c>
      <c r="BE824" t="s">
        <v>15415</v>
      </c>
      <c r="BF824" t="str">
        <f>HYPERLINK("http://dx.doi.org/10.1657/1938-4246-46.2.483","http://dx.doi.org/10.1657/1938-4246-46.2.483")</f>
        <v>http://dx.doi.org/10.1657/1938-4246-46.2.483</v>
      </c>
      <c r="BG824" t="s">
        <v>74</v>
      </c>
      <c r="BH824" t="s">
        <v>74</v>
      </c>
      <c r="BI824">
        <v>22</v>
      </c>
      <c r="BJ824" t="s">
        <v>5273</v>
      </c>
      <c r="BK824" t="s">
        <v>102</v>
      </c>
      <c r="BL824" t="s">
        <v>103</v>
      </c>
      <c r="BM824" t="s">
        <v>15238</v>
      </c>
      <c r="BN824" t="s">
        <v>74</v>
      </c>
      <c r="BO824" t="s">
        <v>74</v>
      </c>
      <c r="BP824" t="s">
        <v>74</v>
      </c>
      <c r="BQ824" t="s">
        <v>74</v>
      </c>
      <c r="BR824" t="s">
        <v>105</v>
      </c>
      <c r="BS824" t="s">
        <v>15416</v>
      </c>
      <c r="BT824" t="str">
        <f>HYPERLINK("https%3A%2F%2Fwww.webofscience.com%2Fwos%2Fwoscc%2Ffull-record%2FWOS:000336778500017","View Full Record in Web of Science")</f>
        <v>View Full Record in Web of Science</v>
      </c>
    </row>
    <row r="825" spans="1:72" x14ac:dyDescent="0.15">
      <c r="A825" t="s">
        <v>72</v>
      </c>
      <c r="B825" t="s">
        <v>15417</v>
      </c>
      <c r="C825" t="s">
        <v>74</v>
      </c>
      <c r="D825" t="s">
        <v>74</v>
      </c>
      <c r="E825" t="s">
        <v>74</v>
      </c>
      <c r="F825" t="s">
        <v>15418</v>
      </c>
      <c r="G825" t="s">
        <v>74</v>
      </c>
      <c r="H825" t="s">
        <v>74</v>
      </c>
      <c r="I825" t="s">
        <v>15419</v>
      </c>
      <c r="J825" t="s">
        <v>12959</v>
      </c>
      <c r="K825" t="s">
        <v>74</v>
      </c>
      <c r="L825" t="s">
        <v>74</v>
      </c>
      <c r="M825" t="s">
        <v>78</v>
      </c>
      <c r="N825" t="s">
        <v>79</v>
      </c>
      <c r="O825" t="s">
        <v>74</v>
      </c>
      <c r="P825" t="s">
        <v>74</v>
      </c>
      <c r="Q825" t="s">
        <v>74</v>
      </c>
      <c r="R825" t="s">
        <v>74</v>
      </c>
      <c r="S825" t="s">
        <v>74</v>
      </c>
      <c r="T825" t="s">
        <v>74</v>
      </c>
      <c r="U825" t="s">
        <v>15420</v>
      </c>
      <c r="V825" t="s">
        <v>15421</v>
      </c>
      <c r="W825" t="s">
        <v>15422</v>
      </c>
      <c r="X825" t="s">
        <v>15423</v>
      </c>
      <c r="Y825" t="s">
        <v>15424</v>
      </c>
      <c r="Z825" t="s">
        <v>15425</v>
      </c>
      <c r="AA825" t="s">
        <v>15426</v>
      </c>
      <c r="AB825" t="s">
        <v>15427</v>
      </c>
      <c r="AC825" t="s">
        <v>15428</v>
      </c>
      <c r="AD825" t="s">
        <v>15429</v>
      </c>
      <c r="AE825" t="s">
        <v>15430</v>
      </c>
      <c r="AF825" t="s">
        <v>74</v>
      </c>
      <c r="AG825">
        <v>69</v>
      </c>
      <c r="AH825">
        <v>42</v>
      </c>
      <c r="AI825">
        <v>45</v>
      </c>
      <c r="AJ825">
        <v>0</v>
      </c>
      <c r="AK825">
        <v>35</v>
      </c>
      <c r="AL825" t="s">
        <v>224</v>
      </c>
      <c r="AM825" t="s">
        <v>225</v>
      </c>
      <c r="AN825" t="s">
        <v>226</v>
      </c>
      <c r="AO825" t="s">
        <v>12971</v>
      </c>
      <c r="AP825" t="s">
        <v>12972</v>
      </c>
      <c r="AQ825" t="s">
        <v>74</v>
      </c>
      <c r="AR825" t="s">
        <v>12959</v>
      </c>
      <c r="AS825" t="s">
        <v>12973</v>
      </c>
      <c r="AT825" t="s">
        <v>14830</v>
      </c>
      <c r="AU825">
        <v>2014</v>
      </c>
      <c r="AV825">
        <v>124</v>
      </c>
      <c r="AW825" t="s">
        <v>1321</v>
      </c>
      <c r="AX825" t="s">
        <v>74</v>
      </c>
      <c r="AY825" t="s">
        <v>74</v>
      </c>
      <c r="AZ825" t="s">
        <v>74</v>
      </c>
      <c r="BA825" t="s">
        <v>74</v>
      </c>
      <c r="BB825">
        <v>21</v>
      </c>
      <c r="BC825">
        <v>37</v>
      </c>
      <c r="BD825" t="s">
        <v>74</v>
      </c>
      <c r="BE825" t="s">
        <v>15431</v>
      </c>
      <c r="BF825" t="str">
        <f>HYPERLINK("http://dx.doi.org/10.1007/s10584-014-1082-7","http://dx.doi.org/10.1007/s10584-014-1082-7")</f>
        <v>http://dx.doi.org/10.1007/s10584-014-1082-7</v>
      </c>
      <c r="BG825" t="s">
        <v>74</v>
      </c>
      <c r="BH825" t="s">
        <v>74</v>
      </c>
      <c r="BI825">
        <v>17</v>
      </c>
      <c r="BJ825" t="s">
        <v>12714</v>
      </c>
      <c r="BK825" t="s">
        <v>1690</v>
      </c>
      <c r="BL825" t="s">
        <v>7207</v>
      </c>
      <c r="BM825" t="s">
        <v>15432</v>
      </c>
      <c r="BN825" t="s">
        <v>74</v>
      </c>
      <c r="BO825" t="s">
        <v>262</v>
      </c>
      <c r="BP825" t="s">
        <v>74</v>
      </c>
      <c r="BQ825" t="s">
        <v>74</v>
      </c>
      <c r="BR825" t="s">
        <v>105</v>
      </c>
      <c r="BS825" t="s">
        <v>15433</v>
      </c>
      <c r="BT825" t="str">
        <f>HYPERLINK("https%3A%2F%2Fwww.webofscience.com%2Fwos%2Fwoscc%2Ffull-record%2FWOS:000336365300003","View Full Record in Web of Science")</f>
        <v>View Full Record in Web of Science</v>
      </c>
    </row>
    <row r="826" spans="1:72" x14ac:dyDescent="0.15">
      <c r="A826" t="s">
        <v>72</v>
      </c>
      <c r="B826" t="s">
        <v>15434</v>
      </c>
      <c r="C826" t="s">
        <v>74</v>
      </c>
      <c r="D826" t="s">
        <v>74</v>
      </c>
      <c r="E826" t="s">
        <v>74</v>
      </c>
      <c r="F826" t="s">
        <v>15435</v>
      </c>
      <c r="G826" t="s">
        <v>74</v>
      </c>
      <c r="H826" t="s">
        <v>74</v>
      </c>
      <c r="I826" t="s">
        <v>15436</v>
      </c>
      <c r="J826" t="s">
        <v>12959</v>
      </c>
      <c r="K826" t="s">
        <v>74</v>
      </c>
      <c r="L826" t="s">
        <v>74</v>
      </c>
      <c r="M826" t="s">
        <v>78</v>
      </c>
      <c r="N826" t="s">
        <v>79</v>
      </c>
      <c r="O826" t="s">
        <v>74</v>
      </c>
      <c r="P826" t="s">
        <v>74</v>
      </c>
      <c r="Q826" t="s">
        <v>74</v>
      </c>
      <c r="R826" t="s">
        <v>74</v>
      </c>
      <c r="S826" t="s">
        <v>74</v>
      </c>
      <c r="T826" t="s">
        <v>74</v>
      </c>
      <c r="U826" t="s">
        <v>15437</v>
      </c>
      <c r="V826" t="s">
        <v>15438</v>
      </c>
      <c r="W826" t="s">
        <v>15439</v>
      </c>
      <c r="X826" t="s">
        <v>15440</v>
      </c>
      <c r="Y826" t="s">
        <v>15441</v>
      </c>
      <c r="Z826" t="s">
        <v>15442</v>
      </c>
      <c r="AA826" t="s">
        <v>15443</v>
      </c>
      <c r="AB826" t="s">
        <v>15444</v>
      </c>
      <c r="AC826" t="s">
        <v>15445</v>
      </c>
      <c r="AD826" t="s">
        <v>15446</v>
      </c>
      <c r="AE826" t="s">
        <v>15447</v>
      </c>
      <c r="AF826" t="s">
        <v>74</v>
      </c>
      <c r="AG826">
        <v>32</v>
      </c>
      <c r="AH826">
        <v>29</v>
      </c>
      <c r="AI826">
        <v>29</v>
      </c>
      <c r="AJ826">
        <v>1</v>
      </c>
      <c r="AK826">
        <v>42</v>
      </c>
      <c r="AL826" t="s">
        <v>224</v>
      </c>
      <c r="AM826" t="s">
        <v>225</v>
      </c>
      <c r="AN826" t="s">
        <v>226</v>
      </c>
      <c r="AO826" t="s">
        <v>12971</v>
      </c>
      <c r="AP826" t="s">
        <v>12972</v>
      </c>
      <c r="AQ826" t="s">
        <v>74</v>
      </c>
      <c r="AR826" t="s">
        <v>12959</v>
      </c>
      <c r="AS826" t="s">
        <v>12973</v>
      </c>
      <c r="AT826" t="s">
        <v>14830</v>
      </c>
      <c r="AU826">
        <v>2014</v>
      </c>
      <c r="AV826">
        <v>124</v>
      </c>
      <c r="AW826" t="s">
        <v>1321</v>
      </c>
      <c r="AX826" t="s">
        <v>74</v>
      </c>
      <c r="AY826" t="s">
        <v>74</v>
      </c>
      <c r="AZ826" t="s">
        <v>74</v>
      </c>
      <c r="BA826" t="s">
        <v>74</v>
      </c>
      <c r="BB826">
        <v>255</v>
      </c>
      <c r="BC826">
        <v>269</v>
      </c>
      <c r="BD826" t="s">
        <v>74</v>
      </c>
      <c r="BE826" t="s">
        <v>15448</v>
      </c>
      <c r="BF826" t="str">
        <f>HYPERLINK("http://dx.doi.org/10.1007/s10584-014-1070-y","http://dx.doi.org/10.1007/s10584-014-1070-y")</f>
        <v>http://dx.doi.org/10.1007/s10584-014-1070-y</v>
      </c>
      <c r="BG826" t="s">
        <v>74</v>
      </c>
      <c r="BH826" t="s">
        <v>74</v>
      </c>
      <c r="BI826">
        <v>15</v>
      </c>
      <c r="BJ826" t="s">
        <v>12714</v>
      </c>
      <c r="BK826" t="s">
        <v>102</v>
      </c>
      <c r="BL826" t="s">
        <v>7207</v>
      </c>
      <c r="BM826" t="s">
        <v>15432</v>
      </c>
      <c r="BN826" t="s">
        <v>74</v>
      </c>
      <c r="BO826" t="s">
        <v>74</v>
      </c>
      <c r="BP826" t="s">
        <v>74</v>
      </c>
      <c r="BQ826" t="s">
        <v>74</v>
      </c>
      <c r="BR826" t="s">
        <v>105</v>
      </c>
      <c r="BS826" t="s">
        <v>15449</v>
      </c>
      <c r="BT826" t="str">
        <f>HYPERLINK("https%3A%2F%2Fwww.webofscience.com%2Fwos%2Fwoscc%2Ffull-record%2FWOS:000336365300019","View Full Record in Web of Science")</f>
        <v>View Full Record in Web of Science</v>
      </c>
    </row>
    <row r="827" spans="1:72" x14ac:dyDescent="0.15">
      <c r="A827" t="s">
        <v>72</v>
      </c>
      <c r="B827" t="s">
        <v>15450</v>
      </c>
      <c r="C827" t="s">
        <v>74</v>
      </c>
      <c r="D827" t="s">
        <v>74</v>
      </c>
      <c r="E827" t="s">
        <v>74</v>
      </c>
      <c r="F827" t="s">
        <v>15451</v>
      </c>
      <c r="G827" t="s">
        <v>74</v>
      </c>
      <c r="H827" t="s">
        <v>74</v>
      </c>
      <c r="I827" t="s">
        <v>15452</v>
      </c>
      <c r="J827" t="s">
        <v>12959</v>
      </c>
      <c r="K827" t="s">
        <v>74</v>
      </c>
      <c r="L827" t="s">
        <v>74</v>
      </c>
      <c r="M827" t="s">
        <v>78</v>
      </c>
      <c r="N827" t="s">
        <v>79</v>
      </c>
      <c r="O827" t="s">
        <v>74</v>
      </c>
      <c r="P827" t="s">
        <v>74</v>
      </c>
      <c r="Q827" t="s">
        <v>74</v>
      </c>
      <c r="R827" t="s">
        <v>74</v>
      </c>
      <c r="S827" t="s">
        <v>74</v>
      </c>
      <c r="T827" t="s">
        <v>74</v>
      </c>
      <c r="U827" t="s">
        <v>15453</v>
      </c>
      <c r="V827" t="s">
        <v>15454</v>
      </c>
      <c r="W827" t="s">
        <v>15455</v>
      </c>
      <c r="X827" t="s">
        <v>15456</v>
      </c>
      <c r="Y827" t="s">
        <v>15457</v>
      </c>
      <c r="Z827" t="s">
        <v>15458</v>
      </c>
      <c r="AA827" t="s">
        <v>15459</v>
      </c>
      <c r="AB827" t="s">
        <v>15460</v>
      </c>
      <c r="AC827" t="s">
        <v>15461</v>
      </c>
      <c r="AD827" t="s">
        <v>15462</v>
      </c>
      <c r="AE827" t="s">
        <v>15463</v>
      </c>
      <c r="AF827" t="s">
        <v>74</v>
      </c>
      <c r="AG827">
        <v>55</v>
      </c>
      <c r="AH827">
        <v>286</v>
      </c>
      <c r="AI827">
        <v>296</v>
      </c>
      <c r="AJ827">
        <v>4</v>
      </c>
      <c r="AK827">
        <v>115</v>
      </c>
      <c r="AL827" t="s">
        <v>224</v>
      </c>
      <c r="AM827" t="s">
        <v>225</v>
      </c>
      <c r="AN827" t="s">
        <v>226</v>
      </c>
      <c r="AO827" t="s">
        <v>12971</v>
      </c>
      <c r="AP827" t="s">
        <v>12972</v>
      </c>
      <c r="AQ827" t="s">
        <v>74</v>
      </c>
      <c r="AR827" t="s">
        <v>12959</v>
      </c>
      <c r="AS827" t="s">
        <v>12973</v>
      </c>
      <c r="AT827" t="s">
        <v>14830</v>
      </c>
      <c r="AU827">
        <v>2014</v>
      </c>
      <c r="AV827">
        <v>124</v>
      </c>
      <c r="AW827" t="s">
        <v>1321</v>
      </c>
      <c r="AX827" t="s">
        <v>74</v>
      </c>
      <c r="AY827" t="s">
        <v>74</v>
      </c>
      <c r="AZ827" t="s">
        <v>74</v>
      </c>
      <c r="BA827" t="s">
        <v>74</v>
      </c>
      <c r="BB827">
        <v>317</v>
      </c>
      <c r="BC827">
        <v>332</v>
      </c>
      <c r="BD827" t="s">
        <v>74</v>
      </c>
      <c r="BE827" t="s">
        <v>15464</v>
      </c>
      <c r="BF827" t="str">
        <f>HYPERLINK("http://dx.doi.org/10.1007/s10584-014-1080-9","http://dx.doi.org/10.1007/s10584-014-1080-9")</f>
        <v>http://dx.doi.org/10.1007/s10584-014-1080-9</v>
      </c>
      <c r="BG827" t="s">
        <v>74</v>
      </c>
      <c r="BH827" t="s">
        <v>74</v>
      </c>
      <c r="BI827">
        <v>16</v>
      </c>
      <c r="BJ827" t="s">
        <v>12714</v>
      </c>
      <c r="BK827" t="s">
        <v>102</v>
      </c>
      <c r="BL827" t="s">
        <v>7207</v>
      </c>
      <c r="BM827" t="s">
        <v>15432</v>
      </c>
      <c r="BN827" t="s">
        <v>74</v>
      </c>
      <c r="BO827" t="s">
        <v>74</v>
      </c>
      <c r="BP827" t="s">
        <v>3371</v>
      </c>
      <c r="BQ827" t="s">
        <v>3372</v>
      </c>
      <c r="BR827" t="s">
        <v>105</v>
      </c>
      <c r="BS827" t="s">
        <v>15465</v>
      </c>
      <c r="BT827" t="str">
        <f>HYPERLINK("https%3A%2F%2Fwww.webofscience.com%2Fwos%2Fwoscc%2Ffull-record%2FWOS:000336365300023","View Full Record in Web of Science")</f>
        <v>View Full Record in Web of Science</v>
      </c>
    </row>
    <row r="828" spans="1:72" x14ac:dyDescent="0.15">
      <c r="A828" t="s">
        <v>72</v>
      </c>
      <c r="B828" t="s">
        <v>15466</v>
      </c>
      <c r="C828" t="s">
        <v>74</v>
      </c>
      <c r="D828" t="s">
        <v>74</v>
      </c>
      <c r="E828" t="s">
        <v>74</v>
      </c>
      <c r="F828" t="s">
        <v>15467</v>
      </c>
      <c r="G828" t="s">
        <v>74</v>
      </c>
      <c r="H828" t="s">
        <v>74</v>
      </c>
      <c r="I828" t="s">
        <v>15468</v>
      </c>
      <c r="J828" t="s">
        <v>2494</v>
      </c>
      <c r="K828" t="s">
        <v>74</v>
      </c>
      <c r="L828" t="s">
        <v>74</v>
      </c>
      <c r="M828" t="s">
        <v>78</v>
      </c>
      <c r="N828" t="s">
        <v>79</v>
      </c>
      <c r="O828" t="s">
        <v>74</v>
      </c>
      <c r="P828" t="s">
        <v>74</v>
      </c>
      <c r="Q828" t="s">
        <v>74</v>
      </c>
      <c r="R828" t="s">
        <v>74</v>
      </c>
      <c r="S828" t="s">
        <v>74</v>
      </c>
      <c r="T828" t="s">
        <v>15469</v>
      </c>
      <c r="U828" t="s">
        <v>15470</v>
      </c>
      <c r="V828" t="s">
        <v>15471</v>
      </c>
      <c r="W828" t="s">
        <v>15472</v>
      </c>
      <c r="X828" t="s">
        <v>1022</v>
      </c>
      <c r="Y828" t="s">
        <v>15473</v>
      </c>
      <c r="Z828" t="s">
        <v>15474</v>
      </c>
      <c r="AA828" t="s">
        <v>15475</v>
      </c>
      <c r="AB828" t="s">
        <v>15476</v>
      </c>
      <c r="AC828" t="s">
        <v>15477</v>
      </c>
      <c r="AD828" t="s">
        <v>15478</v>
      </c>
      <c r="AE828" t="s">
        <v>15479</v>
      </c>
      <c r="AF828" t="s">
        <v>74</v>
      </c>
      <c r="AG828">
        <v>16</v>
      </c>
      <c r="AH828">
        <v>5</v>
      </c>
      <c r="AI828">
        <v>5</v>
      </c>
      <c r="AJ828">
        <v>0</v>
      </c>
      <c r="AK828">
        <v>9</v>
      </c>
      <c r="AL828" t="s">
        <v>418</v>
      </c>
      <c r="AM828" t="s">
        <v>251</v>
      </c>
      <c r="AN828" t="s">
        <v>419</v>
      </c>
      <c r="AO828" t="s">
        <v>2506</v>
      </c>
      <c r="AP828" t="s">
        <v>2507</v>
      </c>
      <c r="AQ828" t="s">
        <v>74</v>
      </c>
      <c r="AR828" t="s">
        <v>2508</v>
      </c>
      <c r="AS828" t="s">
        <v>2509</v>
      </c>
      <c r="AT828" t="s">
        <v>14902</v>
      </c>
      <c r="AU828">
        <v>2014</v>
      </c>
      <c r="AV828">
        <v>36</v>
      </c>
      <c r="AW828">
        <v>3</v>
      </c>
      <c r="AX828" t="s">
        <v>74</v>
      </c>
      <c r="AY828" t="s">
        <v>74</v>
      </c>
      <c r="AZ828" t="s">
        <v>74</v>
      </c>
      <c r="BA828" t="s">
        <v>74</v>
      </c>
      <c r="BB828">
        <v>883</v>
      </c>
      <c r="BC828">
        <v>888</v>
      </c>
      <c r="BD828" t="s">
        <v>74</v>
      </c>
      <c r="BE828" t="s">
        <v>15480</v>
      </c>
      <c r="BF828" t="str">
        <f>HYPERLINK("http://dx.doi.org/10.1093/plankt/fbu013","http://dx.doi.org/10.1093/plankt/fbu013")</f>
        <v>http://dx.doi.org/10.1093/plankt/fbu013</v>
      </c>
      <c r="BG828" t="s">
        <v>74</v>
      </c>
      <c r="BH828" t="s">
        <v>74</v>
      </c>
      <c r="BI828">
        <v>6</v>
      </c>
      <c r="BJ828" t="s">
        <v>2511</v>
      </c>
      <c r="BK828" t="s">
        <v>102</v>
      </c>
      <c r="BL828" t="s">
        <v>2511</v>
      </c>
      <c r="BM828" t="s">
        <v>15481</v>
      </c>
      <c r="BN828" t="s">
        <v>74</v>
      </c>
      <c r="BO828" t="s">
        <v>74</v>
      </c>
      <c r="BP828" t="s">
        <v>74</v>
      </c>
      <c r="BQ828" t="s">
        <v>74</v>
      </c>
      <c r="BR828" t="s">
        <v>105</v>
      </c>
      <c r="BS828" t="s">
        <v>15482</v>
      </c>
      <c r="BT828" t="str">
        <f>HYPERLINK("https%3A%2F%2Fwww.webofscience.com%2Fwos%2Fwoscc%2Ffull-record%2FWOS:000336490000026","View Full Record in Web of Science")</f>
        <v>View Full Record in Web of Science</v>
      </c>
    </row>
    <row r="829" spans="1:72" x14ac:dyDescent="0.15">
      <c r="A829" t="s">
        <v>72</v>
      </c>
      <c r="B829" t="s">
        <v>15483</v>
      </c>
      <c r="C829" t="s">
        <v>74</v>
      </c>
      <c r="D829" t="s">
        <v>74</v>
      </c>
      <c r="E829" t="s">
        <v>74</v>
      </c>
      <c r="F829" t="s">
        <v>15484</v>
      </c>
      <c r="G829" t="s">
        <v>74</v>
      </c>
      <c r="H829" t="s">
        <v>74</v>
      </c>
      <c r="I829" t="s">
        <v>15485</v>
      </c>
      <c r="J829" t="s">
        <v>15486</v>
      </c>
      <c r="K829" t="s">
        <v>74</v>
      </c>
      <c r="L829" t="s">
        <v>74</v>
      </c>
      <c r="M829" t="s">
        <v>78</v>
      </c>
      <c r="N829" t="s">
        <v>79</v>
      </c>
      <c r="O829" t="s">
        <v>74</v>
      </c>
      <c r="P829" t="s">
        <v>74</v>
      </c>
      <c r="Q829" t="s">
        <v>74</v>
      </c>
      <c r="R829" t="s">
        <v>74</v>
      </c>
      <c r="S829" t="s">
        <v>74</v>
      </c>
      <c r="T829" t="s">
        <v>15487</v>
      </c>
      <c r="U829" t="s">
        <v>15488</v>
      </c>
      <c r="V829" t="s">
        <v>15489</v>
      </c>
      <c r="W829" t="s">
        <v>15490</v>
      </c>
      <c r="X829" t="s">
        <v>15491</v>
      </c>
      <c r="Y829" t="s">
        <v>1611</v>
      </c>
      <c r="Z829" t="s">
        <v>1612</v>
      </c>
      <c r="AA829" t="s">
        <v>74</v>
      </c>
      <c r="AB829" t="s">
        <v>1613</v>
      </c>
      <c r="AC829" t="s">
        <v>15492</v>
      </c>
      <c r="AD829" t="s">
        <v>15493</v>
      </c>
      <c r="AE829" t="s">
        <v>15494</v>
      </c>
      <c r="AF829" t="s">
        <v>74</v>
      </c>
      <c r="AG829">
        <v>45</v>
      </c>
      <c r="AH829">
        <v>27</v>
      </c>
      <c r="AI829">
        <v>30</v>
      </c>
      <c r="AJ829">
        <v>0</v>
      </c>
      <c r="AK829">
        <v>27</v>
      </c>
      <c r="AL829" t="s">
        <v>171</v>
      </c>
      <c r="AM829" t="s">
        <v>93</v>
      </c>
      <c r="AN829" t="s">
        <v>94</v>
      </c>
      <c r="AO829" t="s">
        <v>15495</v>
      </c>
      <c r="AP829" t="s">
        <v>15496</v>
      </c>
      <c r="AQ829" t="s">
        <v>74</v>
      </c>
      <c r="AR829" t="s">
        <v>15486</v>
      </c>
      <c r="AS829" t="s">
        <v>15497</v>
      </c>
      <c r="AT829" t="s">
        <v>14830</v>
      </c>
      <c r="AU829">
        <v>2014</v>
      </c>
      <c r="AV829">
        <v>49</v>
      </c>
      <c r="AW829">
        <v>5</v>
      </c>
      <c r="AX829" t="s">
        <v>74</v>
      </c>
      <c r="AY829" t="s">
        <v>74</v>
      </c>
      <c r="AZ829" t="s">
        <v>74</v>
      </c>
      <c r="BA829" t="s">
        <v>74</v>
      </c>
      <c r="BB829">
        <v>481</v>
      </c>
      <c r="BC829">
        <v>494</v>
      </c>
      <c r="BD829" t="s">
        <v>74</v>
      </c>
      <c r="BE829" t="s">
        <v>15498</v>
      </c>
      <c r="BF829" t="str">
        <f>HYPERLINK("http://dx.doi.org/10.1007/s11745-014-3891-x","http://dx.doi.org/10.1007/s11745-014-3891-x")</f>
        <v>http://dx.doi.org/10.1007/s11745-014-3891-x</v>
      </c>
      <c r="BG829" t="s">
        <v>74</v>
      </c>
      <c r="BH829" t="s">
        <v>74</v>
      </c>
      <c r="BI829">
        <v>14</v>
      </c>
      <c r="BJ829" t="s">
        <v>15499</v>
      </c>
      <c r="BK829" t="s">
        <v>102</v>
      </c>
      <c r="BL829" t="s">
        <v>15499</v>
      </c>
      <c r="BM829" t="s">
        <v>15500</v>
      </c>
      <c r="BN829">
        <v>24604601</v>
      </c>
      <c r="BO829" t="s">
        <v>74</v>
      </c>
      <c r="BP829" t="s">
        <v>74</v>
      </c>
      <c r="BQ829" t="s">
        <v>74</v>
      </c>
      <c r="BR829" t="s">
        <v>105</v>
      </c>
      <c r="BS829" t="s">
        <v>15501</v>
      </c>
      <c r="BT829" t="str">
        <f>HYPERLINK("https%3A%2F%2Fwww.webofscience.com%2Fwos%2Fwoscc%2Ffull-record%2FWOS:000336805900008","View Full Record in Web of Science")</f>
        <v>View Full Record in Web of Science</v>
      </c>
    </row>
    <row r="830" spans="1:72" x14ac:dyDescent="0.15">
      <c r="A830" t="s">
        <v>72</v>
      </c>
      <c r="B830" t="s">
        <v>15502</v>
      </c>
      <c r="C830" t="s">
        <v>74</v>
      </c>
      <c r="D830" t="s">
        <v>74</v>
      </c>
      <c r="E830" t="s">
        <v>74</v>
      </c>
      <c r="F830" t="s">
        <v>15503</v>
      </c>
      <c r="G830" t="s">
        <v>74</v>
      </c>
      <c r="H830" t="s">
        <v>74</v>
      </c>
      <c r="I830" t="s">
        <v>15504</v>
      </c>
      <c r="J830" t="s">
        <v>2059</v>
      </c>
      <c r="K830" t="s">
        <v>74</v>
      </c>
      <c r="L830" t="s">
        <v>74</v>
      </c>
      <c r="M830" t="s">
        <v>78</v>
      </c>
      <c r="N830" t="s">
        <v>79</v>
      </c>
      <c r="O830" t="s">
        <v>74</v>
      </c>
      <c r="P830" t="s">
        <v>74</v>
      </c>
      <c r="Q830" t="s">
        <v>74</v>
      </c>
      <c r="R830" t="s">
        <v>74</v>
      </c>
      <c r="S830" t="s">
        <v>74</v>
      </c>
      <c r="T830" t="s">
        <v>15505</v>
      </c>
      <c r="U830" t="s">
        <v>15506</v>
      </c>
      <c r="V830" t="s">
        <v>15507</v>
      </c>
      <c r="W830" t="s">
        <v>15508</v>
      </c>
      <c r="X830" t="s">
        <v>15509</v>
      </c>
      <c r="Y830" t="s">
        <v>15510</v>
      </c>
      <c r="Z830" t="s">
        <v>15511</v>
      </c>
      <c r="AA830" t="s">
        <v>15512</v>
      </c>
      <c r="AB830" t="s">
        <v>15513</v>
      </c>
      <c r="AC830" t="s">
        <v>15514</v>
      </c>
      <c r="AD830" t="s">
        <v>5970</v>
      </c>
      <c r="AE830" t="s">
        <v>15515</v>
      </c>
      <c r="AF830" t="s">
        <v>74</v>
      </c>
      <c r="AG830">
        <v>112</v>
      </c>
      <c r="AH830">
        <v>22</v>
      </c>
      <c r="AI830">
        <v>23</v>
      </c>
      <c r="AJ830">
        <v>1</v>
      </c>
      <c r="AK830">
        <v>75</v>
      </c>
      <c r="AL830" t="s">
        <v>418</v>
      </c>
      <c r="AM830" t="s">
        <v>251</v>
      </c>
      <c r="AN830" t="s">
        <v>419</v>
      </c>
      <c r="AO830" t="s">
        <v>2071</v>
      </c>
      <c r="AP830" t="s">
        <v>2072</v>
      </c>
      <c r="AQ830" t="s">
        <v>74</v>
      </c>
      <c r="AR830" t="s">
        <v>2073</v>
      </c>
      <c r="AS830" t="s">
        <v>2074</v>
      </c>
      <c r="AT830" t="s">
        <v>14902</v>
      </c>
      <c r="AU830">
        <v>2014</v>
      </c>
      <c r="AV830">
        <v>71</v>
      </c>
      <c r="AW830">
        <v>4</v>
      </c>
      <c r="AX830" t="s">
        <v>74</v>
      </c>
      <c r="AY830" t="s">
        <v>74</v>
      </c>
      <c r="AZ830" t="s">
        <v>74</v>
      </c>
      <c r="BA830" t="s">
        <v>74</v>
      </c>
      <c r="BB830">
        <v>764</v>
      </c>
      <c r="BC830">
        <v>774</v>
      </c>
      <c r="BD830" t="s">
        <v>74</v>
      </c>
      <c r="BE830" t="s">
        <v>15516</v>
      </c>
      <c r="BF830" t="str">
        <f>HYPERLINK("http://dx.doi.org/10.1093/icesjms/fst196","http://dx.doi.org/10.1093/icesjms/fst196")</f>
        <v>http://dx.doi.org/10.1093/icesjms/fst196</v>
      </c>
      <c r="BG830" t="s">
        <v>74</v>
      </c>
      <c r="BH830" t="s">
        <v>74</v>
      </c>
      <c r="BI830">
        <v>11</v>
      </c>
      <c r="BJ830" t="s">
        <v>2076</v>
      </c>
      <c r="BK830" t="s">
        <v>102</v>
      </c>
      <c r="BL830" t="s">
        <v>2076</v>
      </c>
      <c r="BM830" t="s">
        <v>15517</v>
      </c>
      <c r="BN830" t="s">
        <v>74</v>
      </c>
      <c r="BO830" t="s">
        <v>179</v>
      </c>
      <c r="BP830" t="s">
        <v>74</v>
      </c>
      <c r="BQ830" t="s">
        <v>74</v>
      </c>
      <c r="BR830" t="s">
        <v>105</v>
      </c>
      <c r="BS830" t="s">
        <v>15518</v>
      </c>
      <c r="BT830" t="str">
        <f>HYPERLINK("https%3A%2F%2Fwww.webofscience.com%2Fwos%2Fwoscc%2Ffull-record%2FWOS:000336430200003","View Full Record in Web of Science")</f>
        <v>View Full Record in Web of Science</v>
      </c>
    </row>
    <row r="831" spans="1:72" x14ac:dyDescent="0.15">
      <c r="A831" t="s">
        <v>72</v>
      </c>
      <c r="B831" t="s">
        <v>15519</v>
      </c>
      <c r="C831" t="s">
        <v>74</v>
      </c>
      <c r="D831" t="s">
        <v>74</v>
      </c>
      <c r="E831" t="s">
        <v>74</v>
      </c>
      <c r="F831" t="s">
        <v>15520</v>
      </c>
      <c r="G831" t="s">
        <v>74</v>
      </c>
      <c r="H831" t="s">
        <v>74</v>
      </c>
      <c r="I831" t="s">
        <v>15521</v>
      </c>
      <c r="J831" t="s">
        <v>15522</v>
      </c>
      <c r="K831" t="s">
        <v>74</v>
      </c>
      <c r="L831" t="s">
        <v>74</v>
      </c>
      <c r="M831" t="s">
        <v>78</v>
      </c>
      <c r="N831" t="s">
        <v>52</v>
      </c>
      <c r="O831" t="s">
        <v>74</v>
      </c>
      <c r="P831" t="s">
        <v>74</v>
      </c>
      <c r="Q831" t="s">
        <v>74</v>
      </c>
      <c r="R831" t="s">
        <v>74</v>
      </c>
      <c r="S831" t="s">
        <v>74</v>
      </c>
      <c r="T831" t="s">
        <v>74</v>
      </c>
      <c r="U831" t="s">
        <v>74</v>
      </c>
      <c r="V831" t="s">
        <v>74</v>
      </c>
      <c r="W831" t="s">
        <v>15523</v>
      </c>
      <c r="X831" t="s">
        <v>15524</v>
      </c>
      <c r="Y831" t="s">
        <v>74</v>
      </c>
      <c r="Z831" t="s">
        <v>15525</v>
      </c>
      <c r="AA831" t="s">
        <v>15526</v>
      </c>
      <c r="AB831" t="s">
        <v>15527</v>
      </c>
      <c r="AC831" t="s">
        <v>74</v>
      </c>
      <c r="AD831" t="s">
        <v>74</v>
      </c>
      <c r="AE831" t="s">
        <v>74</v>
      </c>
      <c r="AF831" t="s">
        <v>74</v>
      </c>
      <c r="AG831">
        <v>0</v>
      </c>
      <c r="AH831">
        <v>0</v>
      </c>
      <c r="AI831">
        <v>0</v>
      </c>
      <c r="AJ831">
        <v>0</v>
      </c>
      <c r="AK831">
        <v>5</v>
      </c>
      <c r="AL831" t="s">
        <v>224</v>
      </c>
      <c r="AM831" t="s">
        <v>576</v>
      </c>
      <c r="AN831" t="s">
        <v>778</v>
      </c>
      <c r="AO831" t="s">
        <v>15528</v>
      </c>
      <c r="AP831" t="s">
        <v>15529</v>
      </c>
      <c r="AQ831" t="s">
        <v>74</v>
      </c>
      <c r="AR831" t="s">
        <v>15530</v>
      </c>
      <c r="AS831" t="s">
        <v>15531</v>
      </c>
      <c r="AT831" t="s">
        <v>14830</v>
      </c>
      <c r="AU831">
        <v>2014</v>
      </c>
      <c r="AV831">
        <v>50</v>
      </c>
      <c r="AW831" t="s">
        <v>74</v>
      </c>
      <c r="AX831" t="s">
        <v>74</v>
      </c>
      <c r="AY831">
        <v>1</v>
      </c>
      <c r="AZ831" t="s">
        <v>74</v>
      </c>
      <c r="BA831" t="s">
        <v>74</v>
      </c>
      <c r="BB831" t="s">
        <v>15532</v>
      </c>
      <c r="BC831" t="s">
        <v>15532</v>
      </c>
      <c r="BD831" t="s">
        <v>74</v>
      </c>
      <c r="BE831" t="s">
        <v>74</v>
      </c>
      <c r="BF831" t="s">
        <v>74</v>
      </c>
      <c r="BG831" t="s">
        <v>74</v>
      </c>
      <c r="BH831" t="s">
        <v>74</v>
      </c>
      <c r="BI831">
        <v>1</v>
      </c>
      <c r="BJ831" t="s">
        <v>15533</v>
      </c>
      <c r="BK831" t="s">
        <v>102</v>
      </c>
      <c r="BL831" t="s">
        <v>15533</v>
      </c>
      <c r="BM831" t="s">
        <v>15534</v>
      </c>
      <c r="BN831" t="s">
        <v>74</v>
      </c>
      <c r="BO831" t="s">
        <v>74</v>
      </c>
      <c r="BP831" t="s">
        <v>74</v>
      </c>
      <c r="BQ831" t="s">
        <v>74</v>
      </c>
      <c r="BR831" t="s">
        <v>105</v>
      </c>
      <c r="BS831" t="s">
        <v>15535</v>
      </c>
      <c r="BT831" t="str">
        <f>HYPERLINK("https%3A%2F%2Fwww.webofscience.com%2Fwos%2Fwoscc%2Ffull-record%2FWOS:000336386800003","View Full Record in Web of Science")</f>
        <v>View Full Record in Web of Science</v>
      </c>
    </row>
    <row r="832" spans="1:72" x14ac:dyDescent="0.15">
      <c r="A832" t="s">
        <v>72</v>
      </c>
      <c r="B832" t="s">
        <v>15536</v>
      </c>
      <c r="C832" t="s">
        <v>74</v>
      </c>
      <c r="D832" t="s">
        <v>74</v>
      </c>
      <c r="E832" t="s">
        <v>74</v>
      </c>
      <c r="F832" t="s">
        <v>15537</v>
      </c>
      <c r="G832" t="s">
        <v>74</v>
      </c>
      <c r="H832" t="s">
        <v>74</v>
      </c>
      <c r="I832" t="s">
        <v>15538</v>
      </c>
      <c r="J832" t="s">
        <v>15539</v>
      </c>
      <c r="K832" t="s">
        <v>74</v>
      </c>
      <c r="L832" t="s">
        <v>74</v>
      </c>
      <c r="M832" t="s">
        <v>78</v>
      </c>
      <c r="N832" t="s">
        <v>79</v>
      </c>
      <c r="O832" t="s">
        <v>74</v>
      </c>
      <c r="P832" t="s">
        <v>74</v>
      </c>
      <c r="Q832" t="s">
        <v>74</v>
      </c>
      <c r="R832" t="s">
        <v>74</v>
      </c>
      <c r="S832" t="s">
        <v>74</v>
      </c>
      <c r="T832" t="s">
        <v>15540</v>
      </c>
      <c r="U832" t="s">
        <v>15541</v>
      </c>
      <c r="V832" t="s">
        <v>15542</v>
      </c>
      <c r="W832" t="s">
        <v>15543</v>
      </c>
      <c r="X832" t="s">
        <v>15544</v>
      </c>
      <c r="Y832" t="s">
        <v>15545</v>
      </c>
      <c r="Z832" t="s">
        <v>15546</v>
      </c>
      <c r="AA832" t="s">
        <v>74</v>
      </c>
      <c r="AB832" t="s">
        <v>15547</v>
      </c>
      <c r="AC832" t="s">
        <v>74</v>
      </c>
      <c r="AD832" t="s">
        <v>74</v>
      </c>
      <c r="AE832" t="s">
        <v>74</v>
      </c>
      <c r="AF832" t="s">
        <v>74</v>
      </c>
      <c r="AG832">
        <v>54</v>
      </c>
      <c r="AH832">
        <v>25</v>
      </c>
      <c r="AI832">
        <v>26</v>
      </c>
      <c r="AJ832">
        <v>3</v>
      </c>
      <c r="AK832">
        <v>143</v>
      </c>
      <c r="AL832" t="s">
        <v>224</v>
      </c>
      <c r="AM832" t="s">
        <v>576</v>
      </c>
      <c r="AN832" t="s">
        <v>577</v>
      </c>
      <c r="AO832" t="s">
        <v>15548</v>
      </c>
      <c r="AP832" t="s">
        <v>15549</v>
      </c>
      <c r="AQ832" t="s">
        <v>74</v>
      </c>
      <c r="AR832" t="s">
        <v>15550</v>
      </c>
      <c r="AS832" t="s">
        <v>15551</v>
      </c>
      <c r="AT832" t="s">
        <v>14830</v>
      </c>
      <c r="AU832">
        <v>2014</v>
      </c>
      <c r="AV832">
        <v>58</v>
      </c>
      <c r="AW832">
        <v>4</v>
      </c>
      <c r="AX832" t="s">
        <v>74</v>
      </c>
      <c r="AY832" t="s">
        <v>74</v>
      </c>
      <c r="AZ832" t="s">
        <v>74</v>
      </c>
      <c r="BA832" t="s">
        <v>74</v>
      </c>
      <c r="BB832">
        <v>603</v>
      </c>
      <c r="BC832">
        <v>612</v>
      </c>
      <c r="BD832" t="s">
        <v>74</v>
      </c>
      <c r="BE832" t="s">
        <v>15552</v>
      </c>
      <c r="BF832" t="str">
        <f>HYPERLINK("http://dx.doi.org/10.1007/s00484-013-0711-6","http://dx.doi.org/10.1007/s00484-013-0711-6")</f>
        <v>http://dx.doi.org/10.1007/s00484-013-0711-6</v>
      </c>
      <c r="BG832" t="s">
        <v>74</v>
      </c>
      <c r="BH832" t="s">
        <v>74</v>
      </c>
      <c r="BI832">
        <v>10</v>
      </c>
      <c r="BJ832" t="s">
        <v>15553</v>
      </c>
      <c r="BK832" t="s">
        <v>102</v>
      </c>
      <c r="BL832" t="s">
        <v>15554</v>
      </c>
      <c r="BM832" t="s">
        <v>15555</v>
      </c>
      <c r="BN832">
        <v>23934162</v>
      </c>
      <c r="BO832" t="s">
        <v>74</v>
      </c>
      <c r="BP832" t="s">
        <v>74</v>
      </c>
      <c r="BQ832" t="s">
        <v>74</v>
      </c>
      <c r="BR832" t="s">
        <v>105</v>
      </c>
      <c r="BS832" t="s">
        <v>15556</v>
      </c>
      <c r="BT832" t="str">
        <f>HYPERLINK("https%3A%2F%2Fwww.webofscience.com%2Fwos%2Fwoscc%2Ffull-record%2FWOS:000336329300017","View Full Record in Web of Science")</f>
        <v>View Full Record in Web of Science</v>
      </c>
    </row>
    <row r="833" spans="1:72" x14ac:dyDescent="0.15">
      <c r="A833" t="s">
        <v>72</v>
      </c>
      <c r="B833" t="s">
        <v>15557</v>
      </c>
      <c r="C833" t="s">
        <v>74</v>
      </c>
      <c r="D833" t="s">
        <v>74</v>
      </c>
      <c r="E833" t="s">
        <v>74</v>
      </c>
      <c r="F833" t="s">
        <v>15558</v>
      </c>
      <c r="G833" t="s">
        <v>74</v>
      </c>
      <c r="H833" t="s">
        <v>74</v>
      </c>
      <c r="I833" t="s">
        <v>15559</v>
      </c>
      <c r="J833" t="s">
        <v>10150</v>
      </c>
      <c r="K833" t="s">
        <v>74</v>
      </c>
      <c r="L833" t="s">
        <v>74</v>
      </c>
      <c r="M833" t="s">
        <v>78</v>
      </c>
      <c r="N833" t="s">
        <v>79</v>
      </c>
      <c r="O833" t="s">
        <v>74</v>
      </c>
      <c r="P833" t="s">
        <v>74</v>
      </c>
      <c r="Q833" t="s">
        <v>74</v>
      </c>
      <c r="R833" t="s">
        <v>74</v>
      </c>
      <c r="S833" t="s">
        <v>74</v>
      </c>
      <c r="T833" t="s">
        <v>74</v>
      </c>
      <c r="U833" t="s">
        <v>15560</v>
      </c>
      <c r="V833" t="s">
        <v>15561</v>
      </c>
      <c r="W833" t="s">
        <v>15562</v>
      </c>
      <c r="X833" t="s">
        <v>4345</v>
      </c>
      <c r="Y833" t="s">
        <v>15563</v>
      </c>
      <c r="Z833" t="s">
        <v>4347</v>
      </c>
      <c r="AA833" t="s">
        <v>15564</v>
      </c>
      <c r="AB833" t="s">
        <v>15565</v>
      </c>
      <c r="AC833" t="s">
        <v>15566</v>
      </c>
      <c r="AD833" t="s">
        <v>15567</v>
      </c>
      <c r="AE833" t="s">
        <v>15568</v>
      </c>
      <c r="AF833" t="s">
        <v>74</v>
      </c>
      <c r="AG833">
        <v>95</v>
      </c>
      <c r="AH833">
        <v>14</v>
      </c>
      <c r="AI833">
        <v>19</v>
      </c>
      <c r="AJ833">
        <v>0</v>
      </c>
      <c r="AK833">
        <v>6</v>
      </c>
      <c r="AL833" t="s">
        <v>2353</v>
      </c>
      <c r="AM833" t="s">
        <v>576</v>
      </c>
      <c r="AN833" t="s">
        <v>2354</v>
      </c>
      <c r="AO833" t="s">
        <v>10162</v>
      </c>
      <c r="AP833" t="s">
        <v>10163</v>
      </c>
      <c r="AQ833" t="s">
        <v>74</v>
      </c>
      <c r="AR833" t="s">
        <v>10164</v>
      </c>
      <c r="AS833" t="s">
        <v>10165</v>
      </c>
      <c r="AT833" t="s">
        <v>14830</v>
      </c>
      <c r="AU833">
        <v>2014</v>
      </c>
      <c r="AV833">
        <v>88</v>
      </c>
      <c r="AW833">
        <v>3</v>
      </c>
      <c r="AX833" t="s">
        <v>74</v>
      </c>
      <c r="AY833" t="s">
        <v>74</v>
      </c>
      <c r="AZ833" t="s">
        <v>74</v>
      </c>
      <c r="BA833" t="s">
        <v>74</v>
      </c>
      <c r="BB833">
        <v>411</v>
      </c>
      <c r="BC833">
        <v>420</v>
      </c>
      <c r="BD833" t="s">
        <v>74</v>
      </c>
      <c r="BE833" t="s">
        <v>15569</v>
      </c>
      <c r="BF833" t="str">
        <f>HYPERLINK("http://dx.doi.org/10.1666/13-041","http://dx.doi.org/10.1666/13-041")</f>
        <v>http://dx.doi.org/10.1666/13-041</v>
      </c>
      <c r="BG833" t="s">
        <v>74</v>
      </c>
      <c r="BH833" t="s">
        <v>74</v>
      </c>
      <c r="BI833">
        <v>10</v>
      </c>
      <c r="BJ833" t="s">
        <v>2604</v>
      </c>
      <c r="BK833" t="s">
        <v>102</v>
      </c>
      <c r="BL833" t="s">
        <v>2604</v>
      </c>
      <c r="BM833" t="s">
        <v>15570</v>
      </c>
      <c r="BN833" t="s">
        <v>74</v>
      </c>
      <c r="BO833" t="s">
        <v>74</v>
      </c>
      <c r="BP833" t="s">
        <v>74</v>
      </c>
      <c r="BQ833" t="s">
        <v>74</v>
      </c>
      <c r="BR833" t="s">
        <v>105</v>
      </c>
      <c r="BS833" t="s">
        <v>15571</v>
      </c>
      <c r="BT833" t="str">
        <f>HYPERLINK("https%3A%2F%2Fwww.webofscience.com%2Fwos%2Fwoscc%2Ffull-record%2FWOS:000336162300001","View Full Record in Web of Science")</f>
        <v>View Full Record in Web of Science</v>
      </c>
    </row>
    <row r="834" spans="1:72" x14ac:dyDescent="0.15">
      <c r="A834" t="s">
        <v>72</v>
      </c>
      <c r="B834" t="s">
        <v>15572</v>
      </c>
      <c r="C834" t="s">
        <v>74</v>
      </c>
      <c r="D834" t="s">
        <v>74</v>
      </c>
      <c r="E834" t="s">
        <v>74</v>
      </c>
      <c r="F834" t="s">
        <v>15573</v>
      </c>
      <c r="G834" t="s">
        <v>74</v>
      </c>
      <c r="H834" t="s">
        <v>74</v>
      </c>
      <c r="I834" t="s">
        <v>15574</v>
      </c>
      <c r="J834" t="s">
        <v>5778</v>
      </c>
      <c r="K834" t="s">
        <v>74</v>
      </c>
      <c r="L834" t="s">
        <v>74</v>
      </c>
      <c r="M834" t="s">
        <v>78</v>
      </c>
      <c r="N834" t="s">
        <v>79</v>
      </c>
      <c r="O834" t="s">
        <v>74</v>
      </c>
      <c r="P834" t="s">
        <v>74</v>
      </c>
      <c r="Q834" t="s">
        <v>74</v>
      </c>
      <c r="R834" t="s">
        <v>74</v>
      </c>
      <c r="S834" t="s">
        <v>74</v>
      </c>
      <c r="T834" t="s">
        <v>15575</v>
      </c>
      <c r="U834" t="s">
        <v>15576</v>
      </c>
      <c r="V834" t="s">
        <v>15577</v>
      </c>
      <c r="W834" t="s">
        <v>15578</v>
      </c>
      <c r="X834" t="s">
        <v>15579</v>
      </c>
      <c r="Y834" t="s">
        <v>15580</v>
      </c>
      <c r="Z834" t="s">
        <v>15581</v>
      </c>
      <c r="AA834" t="s">
        <v>15582</v>
      </c>
      <c r="AB834" t="s">
        <v>15583</v>
      </c>
      <c r="AC834" t="s">
        <v>74</v>
      </c>
      <c r="AD834" t="s">
        <v>74</v>
      </c>
      <c r="AE834" t="s">
        <v>74</v>
      </c>
      <c r="AF834" t="s">
        <v>74</v>
      </c>
      <c r="AG834">
        <v>47</v>
      </c>
      <c r="AH834">
        <v>8</v>
      </c>
      <c r="AI834">
        <v>8</v>
      </c>
      <c r="AJ834">
        <v>0</v>
      </c>
      <c r="AK834">
        <v>16</v>
      </c>
      <c r="AL834" t="s">
        <v>5788</v>
      </c>
      <c r="AM834" t="s">
        <v>146</v>
      </c>
      <c r="AN834" t="s">
        <v>5789</v>
      </c>
      <c r="AO834" t="s">
        <v>5790</v>
      </c>
      <c r="AP834" t="s">
        <v>5791</v>
      </c>
      <c r="AQ834" t="s">
        <v>74</v>
      </c>
      <c r="AR834" t="s">
        <v>5792</v>
      </c>
      <c r="AS834" t="s">
        <v>5793</v>
      </c>
      <c r="AT834" t="s">
        <v>14830</v>
      </c>
      <c r="AU834">
        <v>2014</v>
      </c>
      <c r="AV834">
        <v>83</v>
      </c>
      <c r="AW834">
        <v>5</v>
      </c>
      <c r="AX834" t="s">
        <v>74</v>
      </c>
      <c r="AY834" t="s">
        <v>74</v>
      </c>
      <c r="AZ834" t="s">
        <v>74</v>
      </c>
      <c r="BA834" t="s">
        <v>74</v>
      </c>
      <c r="BB834">
        <v>483</v>
      </c>
      <c r="BC834">
        <v>492</v>
      </c>
      <c r="BD834" t="s">
        <v>74</v>
      </c>
      <c r="BE834" t="s">
        <v>15584</v>
      </c>
      <c r="BF834" t="str">
        <f>HYPERLINK("http://dx.doi.org/10.1007/s12594-014-0075-5","http://dx.doi.org/10.1007/s12594-014-0075-5")</f>
        <v>http://dx.doi.org/10.1007/s12594-014-0075-5</v>
      </c>
      <c r="BG834" t="s">
        <v>74</v>
      </c>
      <c r="BH834" t="s">
        <v>74</v>
      </c>
      <c r="BI834">
        <v>10</v>
      </c>
      <c r="BJ834" t="s">
        <v>685</v>
      </c>
      <c r="BK834" t="s">
        <v>102</v>
      </c>
      <c r="BL834" t="s">
        <v>686</v>
      </c>
      <c r="BM834" t="s">
        <v>15585</v>
      </c>
      <c r="BN834" t="s">
        <v>74</v>
      </c>
      <c r="BO834" t="s">
        <v>74</v>
      </c>
      <c r="BP834" t="s">
        <v>74</v>
      </c>
      <c r="BQ834" t="s">
        <v>74</v>
      </c>
      <c r="BR834" t="s">
        <v>105</v>
      </c>
      <c r="BS834" t="s">
        <v>15586</v>
      </c>
      <c r="BT834" t="str">
        <f>HYPERLINK("https%3A%2F%2Fwww.webofscience.com%2Fwos%2Fwoscc%2Ffull-record%2FWOS:000336033400002","View Full Record in Web of Science")</f>
        <v>View Full Record in Web of Science</v>
      </c>
    </row>
    <row r="835" spans="1:72" x14ac:dyDescent="0.15">
      <c r="A835" t="s">
        <v>72</v>
      </c>
      <c r="B835" t="s">
        <v>15587</v>
      </c>
      <c r="C835" t="s">
        <v>74</v>
      </c>
      <c r="D835" t="s">
        <v>74</v>
      </c>
      <c r="E835" t="s">
        <v>74</v>
      </c>
      <c r="F835" t="s">
        <v>15588</v>
      </c>
      <c r="G835" t="s">
        <v>74</v>
      </c>
      <c r="H835" t="s">
        <v>74</v>
      </c>
      <c r="I835" t="s">
        <v>15589</v>
      </c>
      <c r="J835" t="s">
        <v>668</v>
      </c>
      <c r="K835" t="s">
        <v>74</v>
      </c>
      <c r="L835" t="s">
        <v>74</v>
      </c>
      <c r="M835" t="s">
        <v>78</v>
      </c>
      <c r="N835" t="s">
        <v>79</v>
      </c>
      <c r="O835" t="s">
        <v>74</v>
      </c>
      <c r="P835" t="s">
        <v>74</v>
      </c>
      <c r="Q835" t="s">
        <v>74</v>
      </c>
      <c r="R835" t="s">
        <v>74</v>
      </c>
      <c r="S835" t="s">
        <v>74</v>
      </c>
      <c r="T835" t="s">
        <v>74</v>
      </c>
      <c r="U835" t="s">
        <v>15590</v>
      </c>
      <c r="V835" t="s">
        <v>15591</v>
      </c>
      <c r="W835" t="s">
        <v>15592</v>
      </c>
      <c r="X835" t="s">
        <v>15593</v>
      </c>
      <c r="Y835" t="s">
        <v>15594</v>
      </c>
      <c r="Z835" t="s">
        <v>15595</v>
      </c>
      <c r="AA835" t="s">
        <v>15596</v>
      </c>
      <c r="AB835" t="s">
        <v>15597</v>
      </c>
      <c r="AC835" t="s">
        <v>15598</v>
      </c>
      <c r="AD835" t="s">
        <v>15598</v>
      </c>
      <c r="AE835" t="s">
        <v>15599</v>
      </c>
      <c r="AF835" t="s">
        <v>74</v>
      </c>
      <c r="AG835">
        <v>29</v>
      </c>
      <c r="AH835">
        <v>78</v>
      </c>
      <c r="AI835">
        <v>86</v>
      </c>
      <c r="AJ835">
        <v>0</v>
      </c>
      <c r="AK835">
        <v>75</v>
      </c>
      <c r="AL835" t="s">
        <v>653</v>
      </c>
      <c r="AM835" t="s">
        <v>576</v>
      </c>
      <c r="AN835" t="s">
        <v>679</v>
      </c>
      <c r="AO835" t="s">
        <v>680</v>
      </c>
      <c r="AP835" t="s">
        <v>681</v>
      </c>
      <c r="AQ835" t="s">
        <v>74</v>
      </c>
      <c r="AR835" t="s">
        <v>682</v>
      </c>
      <c r="AS835" t="s">
        <v>683</v>
      </c>
      <c r="AT835" t="s">
        <v>14830</v>
      </c>
      <c r="AU835">
        <v>2014</v>
      </c>
      <c r="AV835">
        <v>7</v>
      </c>
      <c r="AW835">
        <v>5</v>
      </c>
      <c r="AX835" t="s">
        <v>74</v>
      </c>
      <c r="AY835" t="s">
        <v>74</v>
      </c>
      <c r="AZ835" t="s">
        <v>74</v>
      </c>
      <c r="BA835" t="s">
        <v>74</v>
      </c>
      <c r="BB835">
        <v>376</v>
      </c>
      <c r="BC835">
        <v>381</v>
      </c>
      <c r="BD835" t="s">
        <v>74</v>
      </c>
      <c r="BE835" t="s">
        <v>15600</v>
      </c>
      <c r="BF835" t="str">
        <f>HYPERLINK("http://dx.doi.org/10.1038/NGEO2119","http://dx.doi.org/10.1038/NGEO2119")</f>
        <v>http://dx.doi.org/10.1038/NGEO2119</v>
      </c>
      <c r="BG835" t="s">
        <v>74</v>
      </c>
      <c r="BH835" t="s">
        <v>74</v>
      </c>
      <c r="BI835">
        <v>6</v>
      </c>
      <c r="BJ835" t="s">
        <v>685</v>
      </c>
      <c r="BK835" t="s">
        <v>102</v>
      </c>
      <c r="BL835" t="s">
        <v>686</v>
      </c>
      <c r="BM835" t="s">
        <v>15601</v>
      </c>
      <c r="BN835" t="s">
        <v>74</v>
      </c>
      <c r="BO835" t="s">
        <v>74</v>
      </c>
      <c r="BP835" t="s">
        <v>74</v>
      </c>
      <c r="BQ835" t="s">
        <v>74</v>
      </c>
      <c r="BR835" t="s">
        <v>105</v>
      </c>
      <c r="BS835" t="s">
        <v>15602</v>
      </c>
      <c r="BT835" t="str">
        <f>HYPERLINK("https%3A%2F%2Fwww.webofscience.com%2Fwos%2Fwoscc%2Ffull-record%2FWOS:000335948600018","View Full Record in Web of Science")</f>
        <v>View Full Record in Web of Science</v>
      </c>
    </row>
    <row r="836" spans="1:72" x14ac:dyDescent="0.15">
      <c r="A836" t="s">
        <v>72</v>
      </c>
      <c r="B836" t="s">
        <v>15603</v>
      </c>
      <c r="C836" t="s">
        <v>74</v>
      </c>
      <c r="D836" t="s">
        <v>74</v>
      </c>
      <c r="E836" t="s">
        <v>74</v>
      </c>
      <c r="F836" t="s">
        <v>15604</v>
      </c>
      <c r="G836" t="s">
        <v>74</v>
      </c>
      <c r="H836" t="s">
        <v>74</v>
      </c>
      <c r="I836" t="s">
        <v>15605</v>
      </c>
      <c r="J836" t="s">
        <v>5726</v>
      </c>
      <c r="K836" t="s">
        <v>74</v>
      </c>
      <c r="L836" t="s">
        <v>74</v>
      </c>
      <c r="M836" t="s">
        <v>78</v>
      </c>
      <c r="N836" t="s">
        <v>79</v>
      </c>
      <c r="O836" t="s">
        <v>74</v>
      </c>
      <c r="P836" t="s">
        <v>74</v>
      </c>
      <c r="Q836" t="s">
        <v>74</v>
      </c>
      <c r="R836" t="s">
        <v>74</v>
      </c>
      <c r="S836" t="s">
        <v>74</v>
      </c>
      <c r="T836" t="s">
        <v>15606</v>
      </c>
      <c r="U836" t="s">
        <v>15607</v>
      </c>
      <c r="V836" t="s">
        <v>15608</v>
      </c>
      <c r="W836" t="s">
        <v>15609</v>
      </c>
      <c r="X836" t="s">
        <v>15610</v>
      </c>
      <c r="Y836" t="s">
        <v>15611</v>
      </c>
      <c r="Z836" t="s">
        <v>15612</v>
      </c>
      <c r="AA836" t="s">
        <v>74</v>
      </c>
      <c r="AB836" t="s">
        <v>74</v>
      </c>
      <c r="AC836" t="s">
        <v>15613</v>
      </c>
      <c r="AD836" t="s">
        <v>15614</v>
      </c>
      <c r="AE836" t="s">
        <v>15615</v>
      </c>
      <c r="AF836" t="s">
        <v>74</v>
      </c>
      <c r="AG836">
        <v>57</v>
      </c>
      <c r="AH836">
        <v>35</v>
      </c>
      <c r="AI836">
        <v>45</v>
      </c>
      <c r="AJ836">
        <v>4</v>
      </c>
      <c r="AK836">
        <v>63</v>
      </c>
      <c r="AL836" t="s">
        <v>418</v>
      </c>
      <c r="AM836" t="s">
        <v>251</v>
      </c>
      <c r="AN836" t="s">
        <v>419</v>
      </c>
      <c r="AO836" t="s">
        <v>5738</v>
      </c>
      <c r="AP836" t="s">
        <v>5739</v>
      </c>
      <c r="AQ836" t="s">
        <v>74</v>
      </c>
      <c r="AR836" t="s">
        <v>5740</v>
      </c>
      <c r="AS836" t="s">
        <v>5741</v>
      </c>
      <c r="AT836" t="s">
        <v>14830</v>
      </c>
      <c r="AU836">
        <v>2014</v>
      </c>
      <c r="AV836">
        <v>88</v>
      </c>
      <c r="AW836">
        <v>2</v>
      </c>
      <c r="AX836" t="s">
        <v>74</v>
      </c>
      <c r="AY836" t="s">
        <v>74</v>
      </c>
      <c r="AZ836" t="s">
        <v>74</v>
      </c>
      <c r="BA836" t="s">
        <v>74</v>
      </c>
      <c r="BB836">
        <v>386</v>
      </c>
      <c r="BC836">
        <v>397</v>
      </c>
      <c r="BD836" t="s">
        <v>74</v>
      </c>
      <c r="BE836" t="s">
        <v>15616</v>
      </c>
      <c r="BF836" t="str">
        <f>HYPERLINK("http://dx.doi.org/10.1111/1574-6941.12307","http://dx.doi.org/10.1111/1574-6941.12307")</f>
        <v>http://dx.doi.org/10.1111/1574-6941.12307</v>
      </c>
      <c r="BG836" t="s">
        <v>74</v>
      </c>
      <c r="BH836" t="s">
        <v>74</v>
      </c>
      <c r="BI836">
        <v>12</v>
      </c>
      <c r="BJ836" t="s">
        <v>1012</v>
      </c>
      <c r="BK836" t="s">
        <v>102</v>
      </c>
      <c r="BL836" t="s">
        <v>1012</v>
      </c>
      <c r="BM836" t="s">
        <v>15617</v>
      </c>
      <c r="BN836">
        <v>24580017</v>
      </c>
      <c r="BO836" t="s">
        <v>74</v>
      </c>
      <c r="BP836" t="s">
        <v>74</v>
      </c>
      <c r="BQ836" t="s">
        <v>74</v>
      </c>
      <c r="BR836" t="s">
        <v>105</v>
      </c>
      <c r="BS836" t="s">
        <v>15618</v>
      </c>
      <c r="BT836" t="str">
        <f>HYPERLINK("https%3A%2F%2Fwww.webofscience.com%2Fwos%2Fwoscc%2Ffull-record%2FWOS:000335398400014","View Full Record in Web of Science")</f>
        <v>View Full Record in Web of Science</v>
      </c>
    </row>
    <row r="837" spans="1:72" x14ac:dyDescent="0.15">
      <c r="A837" t="s">
        <v>72</v>
      </c>
      <c r="B837" t="s">
        <v>15619</v>
      </c>
      <c r="C837" t="s">
        <v>74</v>
      </c>
      <c r="D837" t="s">
        <v>74</v>
      </c>
      <c r="E837" t="s">
        <v>74</v>
      </c>
      <c r="F837" t="s">
        <v>15620</v>
      </c>
      <c r="G837" t="s">
        <v>74</v>
      </c>
      <c r="H837" t="s">
        <v>74</v>
      </c>
      <c r="I837" t="s">
        <v>15621</v>
      </c>
      <c r="J837" t="s">
        <v>3677</v>
      </c>
      <c r="K837" t="s">
        <v>74</v>
      </c>
      <c r="L837" t="s">
        <v>74</v>
      </c>
      <c r="M837" t="s">
        <v>78</v>
      </c>
      <c r="N837" t="s">
        <v>79</v>
      </c>
      <c r="O837" t="s">
        <v>74</v>
      </c>
      <c r="P837" t="s">
        <v>74</v>
      </c>
      <c r="Q837" t="s">
        <v>74</v>
      </c>
      <c r="R837" t="s">
        <v>74</v>
      </c>
      <c r="S837" t="s">
        <v>74</v>
      </c>
      <c r="T837" t="s">
        <v>15622</v>
      </c>
      <c r="U837" t="s">
        <v>15623</v>
      </c>
      <c r="V837" t="s">
        <v>15624</v>
      </c>
      <c r="W837" t="s">
        <v>15625</v>
      </c>
      <c r="X837" t="s">
        <v>2873</v>
      </c>
      <c r="Y837" t="s">
        <v>15626</v>
      </c>
      <c r="Z837" t="s">
        <v>15627</v>
      </c>
      <c r="AA837" t="s">
        <v>15628</v>
      </c>
      <c r="AB837" t="s">
        <v>15629</v>
      </c>
      <c r="AC837" t="s">
        <v>15630</v>
      </c>
      <c r="AD837" t="s">
        <v>15631</v>
      </c>
      <c r="AE837" t="s">
        <v>15632</v>
      </c>
      <c r="AF837" t="s">
        <v>74</v>
      </c>
      <c r="AG837">
        <v>47</v>
      </c>
      <c r="AH837">
        <v>8</v>
      </c>
      <c r="AI837">
        <v>8</v>
      </c>
      <c r="AJ837">
        <v>0</v>
      </c>
      <c r="AK837">
        <v>54</v>
      </c>
      <c r="AL837" t="s">
        <v>1292</v>
      </c>
      <c r="AM837" t="s">
        <v>1293</v>
      </c>
      <c r="AN837" t="s">
        <v>1294</v>
      </c>
      <c r="AO837" t="s">
        <v>3688</v>
      </c>
      <c r="AP837" t="s">
        <v>3689</v>
      </c>
      <c r="AQ837" t="s">
        <v>74</v>
      </c>
      <c r="AR837" t="s">
        <v>3690</v>
      </c>
      <c r="AS837" t="s">
        <v>3691</v>
      </c>
      <c r="AT837" t="s">
        <v>14830</v>
      </c>
      <c r="AU837">
        <v>2014</v>
      </c>
      <c r="AV837">
        <v>217</v>
      </c>
      <c r="AW837">
        <v>9</v>
      </c>
      <c r="AX837" t="s">
        <v>74</v>
      </c>
      <c r="AY837" t="s">
        <v>74</v>
      </c>
      <c r="AZ837" t="s">
        <v>74</v>
      </c>
      <c r="BA837" t="s">
        <v>74</v>
      </c>
      <c r="BB837">
        <v>1430</v>
      </c>
      <c r="BC837">
        <v>1436</v>
      </c>
      <c r="BD837" t="s">
        <v>74</v>
      </c>
      <c r="BE837" t="s">
        <v>15633</v>
      </c>
      <c r="BF837" t="str">
        <f>HYPERLINK("http://dx.doi.org/10.1242/jeb.092726","http://dx.doi.org/10.1242/jeb.092726")</f>
        <v>http://dx.doi.org/10.1242/jeb.092726</v>
      </c>
      <c r="BG837" t="s">
        <v>74</v>
      </c>
      <c r="BH837" t="s">
        <v>74</v>
      </c>
      <c r="BI837">
        <v>7</v>
      </c>
      <c r="BJ837" t="s">
        <v>1300</v>
      </c>
      <c r="BK837" t="s">
        <v>102</v>
      </c>
      <c r="BL837" t="s">
        <v>1301</v>
      </c>
      <c r="BM837" t="s">
        <v>15634</v>
      </c>
      <c r="BN837">
        <v>24436387</v>
      </c>
      <c r="BO837" t="s">
        <v>1053</v>
      </c>
      <c r="BP837" t="s">
        <v>74</v>
      </c>
      <c r="BQ837" t="s">
        <v>74</v>
      </c>
      <c r="BR837" t="s">
        <v>105</v>
      </c>
      <c r="BS837" t="s">
        <v>15635</v>
      </c>
      <c r="BT837" t="str">
        <f>HYPERLINK("https%3A%2F%2Fwww.webofscience.com%2Fwos%2Fwoscc%2Ffull-record%2FWOS:000335583500010","View Full Record in Web of Science")</f>
        <v>View Full Record in Web of Science</v>
      </c>
    </row>
    <row r="838" spans="1:72" x14ac:dyDescent="0.15">
      <c r="A838" t="s">
        <v>72</v>
      </c>
      <c r="B838" t="s">
        <v>15636</v>
      </c>
      <c r="C838" t="s">
        <v>74</v>
      </c>
      <c r="D838" t="s">
        <v>74</v>
      </c>
      <c r="E838" t="s">
        <v>74</v>
      </c>
      <c r="F838" t="s">
        <v>15637</v>
      </c>
      <c r="G838" t="s">
        <v>74</v>
      </c>
      <c r="H838" t="s">
        <v>74</v>
      </c>
      <c r="I838" t="s">
        <v>15638</v>
      </c>
      <c r="J838" t="s">
        <v>5914</v>
      </c>
      <c r="K838" t="s">
        <v>74</v>
      </c>
      <c r="L838" t="s">
        <v>74</v>
      </c>
      <c r="M838" t="s">
        <v>78</v>
      </c>
      <c r="N838" t="s">
        <v>79</v>
      </c>
      <c r="O838" t="s">
        <v>74</v>
      </c>
      <c r="P838" t="s">
        <v>74</v>
      </c>
      <c r="Q838" t="s">
        <v>74</v>
      </c>
      <c r="R838" t="s">
        <v>74</v>
      </c>
      <c r="S838" t="s">
        <v>74</v>
      </c>
      <c r="T838" t="s">
        <v>74</v>
      </c>
      <c r="U838" t="s">
        <v>15639</v>
      </c>
      <c r="V838" t="s">
        <v>15640</v>
      </c>
      <c r="W838" t="s">
        <v>15641</v>
      </c>
      <c r="X838" t="s">
        <v>15642</v>
      </c>
      <c r="Y838" t="s">
        <v>15643</v>
      </c>
      <c r="Z838" t="s">
        <v>15644</v>
      </c>
      <c r="AA838" t="s">
        <v>15645</v>
      </c>
      <c r="AB838" t="s">
        <v>15646</v>
      </c>
      <c r="AC838" t="s">
        <v>15647</v>
      </c>
      <c r="AD838" t="s">
        <v>15648</v>
      </c>
      <c r="AE838" t="s">
        <v>15649</v>
      </c>
      <c r="AF838" t="s">
        <v>74</v>
      </c>
      <c r="AG838">
        <v>47</v>
      </c>
      <c r="AH838">
        <v>23</v>
      </c>
      <c r="AI838">
        <v>27</v>
      </c>
      <c r="AJ838">
        <v>2</v>
      </c>
      <c r="AK838">
        <v>72</v>
      </c>
      <c r="AL838" t="s">
        <v>304</v>
      </c>
      <c r="AM838" t="s">
        <v>305</v>
      </c>
      <c r="AN838" t="s">
        <v>306</v>
      </c>
      <c r="AO838" t="s">
        <v>5926</v>
      </c>
      <c r="AP838" t="s">
        <v>5927</v>
      </c>
      <c r="AQ838" t="s">
        <v>74</v>
      </c>
      <c r="AR838" t="s">
        <v>5928</v>
      </c>
      <c r="AS838" t="s">
        <v>5929</v>
      </c>
      <c r="AT838" t="s">
        <v>14830</v>
      </c>
      <c r="AU838">
        <v>2014</v>
      </c>
      <c r="AV838">
        <v>161</v>
      </c>
      <c r="AW838">
        <v>5</v>
      </c>
      <c r="AX838" t="s">
        <v>74</v>
      </c>
      <c r="AY838" t="s">
        <v>74</v>
      </c>
      <c r="AZ838" t="s">
        <v>74</v>
      </c>
      <c r="BA838" t="s">
        <v>74</v>
      </c>
      <c r="BB838">
        <v>1087</v>
      </c>
      <c r="BC838">
        <v>1093</v>
      </c>
      <c r="BD838" t="s">
        <v>74</v>
      </c>
      <c r="BE838" t="s">
        <v>15650</v>
      </c>
      <c r="BF838" t="str">
        <f>HYPERLINK("http://dx.doi.org/10.1007/s00227-014-2401-2","http://dx.doi.org/10.1007/s00227-014-2401-2")</f>
        <v>http://dx.doi.org/10.1007/s00227-014-2401-2</v>
      </c>
      <c r="BG838" t="s">
        <v>74</v>
      </c>
      <c r="BH838" t="s">
        <v>74</v>
      </c>
      <c r="BI838">
        <v>7</v>
      </c>
      <c r="BJ838" t="s">
        <v>130</v>
      </c>
      <c r="BK838" t="s">
        <v>102</v>
      </c>
      <c r="BL838" t="s">
        <v>130</v>
      </c>
      <c r="BM838" t="s">
        <v>15651</v>
      </c>
      <c r="BN838" t="s">
        <v>74</v>
      </c>
      <c r="BO838" t="s">
        <v>74</v>
      </c>
      <c r="BP838" t="s">
        <v>74</v>
      </c>
      <c r="BQ838" t="s">
        <v>74</v>
      </c>
      <c r="BR838" t="s">
        <v>105</v>
      </c>
      <c r="BS838" t="s">
        <v>15652</v>
      </c>
      <c r="BT838" t="str">
        <f>HYPERLINK("https%3A%2F%2Fwww.webofscience.com%2Fwos%2Fwoscc%2Ffull-record%2FWOS:000334935500011","View Full Record in Web of Science")</f>
        <v>View Full Record in Web of Science</v>
      </c>
    </row>
    <row r="839" spans="1:72" x14ac:dyDescent="0.15">
      <c r="A839" t="s">
        <v>72</v>
      </c>
      <c r="B839" t="s">
        <v>15653</v>
      </c>
      <c r="C839" t="s">
        <v>74</v>
      </c>
      <c r="D839" t="s">
        <v>74</v>
      </c>
      <c r="E839" t="s">
        <v>74</v>
      </c>
      <c r="F839" t="s">
        <v>15654</v>
      </c>
      <c r="G839" t="s">
        <v>74</v>
      </c>
      <c r="H839" t="s">
        <v>74</v>
      </c>
      <c r="I839" t="s">
        <v>15655</v>
      </c>
      <c r="J839" t="s">
        <v>3206</v>
      </c>
      <c r="K839" t="s">
        <v>74</v>
      </c>
      <c r="L839" t="s">
        <v>74</v>
      </c>
      <c r="M839" t="s">
        <v>78</v>
      </c>
      <c r="N839" t="s">
        <v>79</v>
      </c>
      <c r="O839" t="s">
        <v>74</v>
      </c>
      <c r="P839" t="s">
        <v>74</v>
      </c>
      <c r="Q839" t="s">
        <v>74</v>
      </c>
      <c r="R839" t="s">
        <v>74</v>
      </c>
      <c r="S839" t="s">
        <v>74</v>
      </c>
      <c r="T839" t="s">
        <v>15656</v>
      </c>
      <c r="U839" t="s">
        <v>15657</v>
      </c>
      <c r="V839" t="s">
        <v>15658</v>
      </c>
      <c r="W839" t="s">
        <v>15659</v>
      </c>
      <c r="X839" t="s">
        <v>15660</v>
      </c>
      <c r="Y839" t="s">
        <v>15661</v>
      </c>
      <c r="Z839" t="s">
        <v>15662</v>
      </c>
      <c r="AA839" t="s">
        <v>15663</v>
      </c>
      <c r="AB839" t="s">
        <v>15664</v>
      </c>
      <c r="AC839" t="s">
        <v>15665</v>
      </c>
      <c r="AD839" t="s">
        <v>15666</v>
      </c>
      <c r="AE839" t="s">
        <v>15667</v>
      </c>
      <c r="AF839" t="s">
        <v>74</v>
      </c>
      <c r="AG839">
        <v>47</v>
      </c>
      <c r="AH839">
        <v>34</v>
      </c>
      <c r="AI839">
        <v>35</v>
      </c>
      <c r="AJ839">
        <v>0</v>
      </c>
      <c r="AK839">
        <v>11</v>
      </c>
      <c r="AL839" t="s">
        <v>123</v>
      </c>
      <c r="AM839" t="s">
        <v>124</v>
      </c>
      <c r="AN839" t="s">
        <v>125</v>
      </c>
      <c r="AO839" t="s">
        <v>3219</v>
      </c>
      <c r="AP839" t="s">
        <v>3220</v>
      </c>
      <c r="AQ839" t="s">
        <v>74</v>
      </c>
      <c r="AR839" t="s">
        <v>3221</v>
      </c>
      <c r="AS839" t="s">
        <v>3222</v>
      </c>
      <c r="AT839" t="s">
        <v>14830</v>
      </c>
      <c r="AU839">
        <v>2014</v>
      </c>
      <c r="AV839">
        <v>245</v>
      </c>
      <c r="AW839" t="s">
        <v>74</v>
      </c>
      <c r="AX839" t="s">
        <v>74</v>
      </c>
      <c r="AY839" t="s">
        <v>74</v>
      </c>
      <c r="AZ839" t="s">
        <v>74</v>
      </c>
      <c r="BA839" t="s">
        <v>74</v>
      </c>
      <c r="BB839">
        <v>174</v>
      </c>
      <c r="BC839">
        <v>185</v>
      </c>
      <c r="BD839" t="s">
        <v>74</v>
      </c>
      <c r="BE839" t="s">
        <v>15668</v>
      </c>
      <c r="BF839" t="str">
        <f>HYPERLINK("http://dx.doi.org/10.1016/j.precamres.2014.02.009","http://dx.doi.org/10.1016/j.precamres.2014.02.009")</f>
        <v>http://dx.doi.org/10.1016/j.precamres.2014.02.009</v>
      </c>
      <c r="BG839" t="s">
        <v>74</v>
      </c>
      <c r="BH839" t="s">
        <v>74</v>
      </c>
      <c r="BI839">
        <v>12</v>
      </c>
      <c r="BJ839" t="s">
        <v>685</v>
      </c>
      <c r="BK839" t="s">
        <v>102</v>
      </c>
      <c r="BL839" t="s">
        <v>686</v>
      </c>
      <c r="BM839" t="s">
        <v>15669</v>
      </c>
      <c r="BN839" t="s">
        <v>74</v>
      </c>
      <c r="BO839" t="s">
        <v>74</v>
      </c>
      <c r="BP839" t="s">
        <v>74</v>
      </c>
      <c r="BQ839" t="s">
        <v>74</v>
      </c>
      <c r="BR839" t="s">
        <v>105</v>
      </c>
      <c r="BS839" t="s">
        <v>15670</v>
      </c>
      <c r="BT839" t="str">
        <f>HYPERLINK("https%3A%2F%2Fwww.webofscience.com%2Fwos%2Fwoscc%2Ffull-record%2FWOS:000335107000011","View Full Record in Web of Science")</f>
        <v>View Full Record in Web of Science</v>
      </c>
    </row>
    <row r="840" spans="1:72" x14ac:dyDescent="0.15">
      <c r="A840" t="s">
        <v>72</v>
      </c>
      <c r="B840" t="s">
        <v>15671</v>
      </c>
      <c r="C840" t="s">
        <v>74</v>
      </c>
      <c r="D840" t="s">
        <v>74</v>
      </c>
      <c r="E840" t="s">
        <v>74</v>
      </c>
      <c r="F840" t="s">
        <v>15672</v>
      </c>
      <c r="G840" t="s">
        <v>74</v>
      </c>
      <c r="H840" t="s">
        <v>74</v>
      </c>
      <c r="I840" t="s">
        <v>15673</v>
      </c>
      <c r="J840" t="s">
        <v>3206</v>
      </c>
      <c r="K840" t="s">
        <v>74</v>
      </c>
      <c r="L840" t="s">
        <v>74</v>
      </c>
      <c r="M840" t="s">
        <v>78</v>
      </c>
      <c r="N840" t="s">
        <v>79</v>
      </c>
      <c r="O840" t="s">
        <v>74</v>
      </c>
      <c r="P840" t="s">
        <v>74</v>
      </c>
      <c r="Q840" t="s">
        <v>74</v>
      </c>
      <c r="R840" t="s">
        <v>74</v>
      </c>
      <c r="S840" t="s">
        <v>74</v>
      </c>
      <c r="T840" t="s">
        <v>15674</v>
      </c>
      <c r="U840" t="s">
        <v>15675</v>
      </c>
      <c r="V840" t="s">
        <v>15676</v>
      </c>
      <c r="W840" t="s">
        <v>15677</v>
      </c>
      <c r="X840" t="s">
        <v>3189</v>
      </c>
      <c r="Y840" t="s">
        <v>15678</v>
      </c>
      <c r="Z840" t="s">
        <v>15679</v>
      </c>
      <c r="AA840" t="s">
        <v>74</v>
      </c>
      <c r="AB840" t="s">
        <v>74</v>
      </c>
      <c r="AC840" t="s">
        <v>15680</v>
      </c>
      <c r="AD840" t="s">
        <v>15680</v>
      </c>
      <c r="AE840" t="s">
        <v>15681</v>
      </c>
      <c r="AF840" t="s">
        <v>74</v>
      </c>
      <c r="AG840">
        <v>73</v>
      </c>
      <c r="AH840">
        <v>35</v>
      </c>
      <c r="AI840">
        <v>40</v>
      </c>
      <c r="AJ840">
        <v>0</v>
      </c>
      <c r="AK840">
        <v>24</v>
      </c>
      <c r="AL840" t="s">
        <v>753</v>
      </c>
      <c r="AM840" t="s">
        <v>124</v>
      </c>
      <c r="AN840" t="s">
        <v>754</v>
      </c>
      <c r="AO840" t="s">
        <v>3219</v>
      </c>
      <c r="AP840" t="s">
        <v>3220</v>
      </c>
      <c r="AQ840" t="s">
        <v>74</v>
      </c>
      <c r="AR840" t="s">
        <v>3221</v>
      </c>
      <c r="AS840" t="s">
        <v>3222</v>
      </c>
      <c r="AT840" t="s">
        <v>14830</v>
      </c>
      <c r="AU840">
        <v>2014</v>
      </c>
      <c r="AV840">
        <v>244</v>
      </c>
      <c r="AW840" t="s">
        <v>74</v>
      </c>
      <c r="AX840" t="s">
        <v>74</v>
      </c>
      <c r="AY840" t="s">
        <v>74</v>
      </c>
      <c r="AZ840" t="s">
        <v>258</v>
      </c>
      <c r="BA840" t="s">
        <v>74</v>
      </c>
      <c r="BB840">
        <v>279</v>
      </c>
      <c r="BC840">
        <v>287</v>
      </c>
      <c r="BD840" t="s">
        <v>74</v>
      </c>
      <c r="BE840" t="s">
        <v>15682</v>
      </c>
      <c r="BF840" t="str">
        <f>HYPERLINK("http://dx.doi.org/10.1016/j.precamres.2013.10.013","http://dx.doi.org/10.1016/j.precamres.2013.10.013")</f>
        <v>http://dx.doi.org/10.1016/j.precamres.2013.10.013</v>
      </c>
      <c r="BG840" t="s">
        <v>74</v>
      </c>
      <c r="BH840" t="s">
        <v>74</v>
      </c>
      <c r="BI840">
        <v>9</v>
      </c>
      <c r="BJ840" t="s">
        <v>685</v>
      </c>
      <c r="BK840" t="s">
        <v>102</v>
      </c>
      <c r="BL840" t="s">
        <v>686</v>
      </c>
      <c r="BM840" t="s">
        <v>15683</v>
      </c>
      <c r="BN840" t="s">
        <v>74</v>
      </c>
      <c r="BO840" t="s">
        <v>74</v>
      </c>
      <c r="BP840" t="s">
        <v>74</v>
      </c>
      <c r="BQ840" t="s">
        <v>74</v>
      </c>
      <c r="BR840" t="s">
        <v>105</v>
      </c>
      <c r="BS840" t="s">
        <v>15684</v>
      </c>
      <c r="BT840" t="str">
        <f>HYPERLINK("https%3A%2F%2Fwww.webofscience.com%2Fwos%2Fwoscc%2Ffull-record%2FWOS:000335106900018","View Full Record in Web of Science")</f>
        <v>View Full Record in Web of Science</v>
      </c>
    </row>
    <row r="841" spans="1:72" x14ac:dyDescent="0.15">
      <c r="A841" t="s">
        <v>72</v>
      </c>
      <c r="B841" t="s">
        <v>15685</v>
      </c>
      <c r="C841" t="s">
        <v>74</v>
      </c>
      <c r="D841" t="s">
        <v>74</v>
      </c>
      <c r="E841" t="s">
        <v>74</v>
      </c>
      <c r="F841" t="s">
        <v>15686</v>
      </c>
      <c r="G841" t="s">
        <v>74</v>
      </c>
      <c r="H841" t="s">
        <v>74</v>
      </c>
      <c r="I841" t="s">
        <v>15687</v>
      </c>
      <c r="J841" t="s">
        <v>15688</v>
      </c>
      <c r="K841" t="s">
        <v>74</v>
      </c>
      <c r="L841" t="s">
        <v>74</v>
      </c>
      <c r="M841" t="s">
        <v>78</v>
      </c>
      <c r="N841" t="s">
        <v>79</v>
      </c>
      <c r="O841" t="s">
        <v>74</v>
      </c>
      <c r="P841" t="s">
        <v>74</v>
      </c>
      <c r="Q841" t="s">
        <v>74</v>
      </c>
      <c r="R841" t="s">
        <v>74</v>
      </c>
      <c r="S841" t="s">
        <v>74</v>
      </c>
      <c r="T841" t="s">
        <v>74</v>
      </c>
      <c r="U841" t="s">
        <v>15689</v>
      </c>
      <c r="V841" t="s">
        <v>15690</v>
      </c>
      <c r="W841" t="s">
        <v>15691</v>
      </c>
      <c r="X841" t="s">
        <v>15692</v>
      </c>
      <c r="Y841" t="s">
        <v>15693</v>
      </c>
      <c r="Z841" t="s">
        <v>15694</v>
      </c>
      <c r="AA841" t="s">
        <v>74</v>
      </c>
      <c r="AB841" t="s">
        <v>74</v>
      </c>
      <c r="AC841" t="s">
        <v>74</v>
      </c>
      <c r="AD841" t="s">
        <v>74</v>
      </c>
      <c r="AE841" t="s">
        <v>74</v>
      </c>
      <c r="AF841" t="s">
        <v>74</v>
      </c>
      <c r="AG841">
        <v>26</v>
      </c>
      <c r="AH841">
        <v>1</v>
      </c>
      <c r="AI841">
        <v>2</v>
      </c>
      <c r="AJ841">
        <v>0</v>
      </c>
      <c r="AK841">
        <v>11</v>
      </c>
      <c r="AL841" t="s">
        <v>15695</v>
      </c>
      <c r="AM841" t="s">
        <v>15696</v>
      </c>
      <c r="AN841" t="s">
        <v>15697</v>
      </c>
      <c r="AO841" t="s">
        <v>15698</v>
      </c>
      <c r="AP841" t="s">
        <v>15699</v>
      </c>
      <c r="AQ841" t="s">
        <v>74</v>
      </c>
      <c r="AR841" t="s">
        <v>15700</v>
      </c>
      <c r="AS841" t="s">
        <v>15701</v>
      </c>
      <c r="AT841" t="s">
        <v>14830</v>
      </c>
      <c r="AU841">
        <v>2014</v>
      </c>
      <c r="AV841">
        <v>116</v>
      </c>
      <c r="AW841" t="s">
        <v>15702</v>
      </c>
      <c r="AX841" t="s">
        <v>74</v>
      </c>
      <c r="AY841" t="s">
        <v>74</v>
      </c>
      <c r="AZ841" t="s">
        <v>74</v>
      </c>
      <c r="BA841" t="s">
        <v>74</v>
      </c>
      <c r="BB841">
        <v>695</v>
      </c>
      <c r="BC841">
        <v>706</v>
      </c>
      <c r="BD841" t="s">
        <v>74</v>
      </c>
      <c r="BE841" t="s">
        <v>15703</v>
      </c>
      <c r="BF841" t="str">
        <f>HYPERLINK("http://dx.doi.org/10.1007/s00704-013-0983-0","http://dx.doi.org/10.1007/s00704-013-0983-0")</f>
        <v>http://dx.doi.org/10.1007/s00704-013-0983-0</v>
      </c>
      <c r="BG841" t="s">
        <v>74</v>
      </c>
      <c r="BH841" t="s">
        <v>74</v>
      </c>
      <c r="BI841">
        <v>12</v>
      </c>
      <c r="BJ841" t="s">
        <v>177</v>
      </c>
      <c r="BK841" t="s">
        <v>102</v>
      </c>
      <c r="BL841" t="s">
        <v>177</v>
      </c>
      <c r="BM841" t="s">
        <v>15704</v>
      </c>
      <c r="BN841" t="s">
        <v>74</v>
      </c>
      <c r="BO841" t="s">
        <v>74</v>
      </c>
      <c r="BP841" t="s">
        <v>74</v>
      </c>
      <c r="BQ841" t="s">
        <v>74</v>
      </c>
      <c r="BR841" t="s">
        <v>105</v>
      </c>
      <c r="BS841" t="s">
        <v>15705</v>
      </c>
      <c r="BT841" t="str">
        <f>HYPERLINK("https%3A%2F%2Fwww.webofscience.com%2Fwos%2Fwoscc%2Ffull-record%2FWOS:000335152500024","View Full Record in Web of Science")</f>
        <v>View Full Record in Web of Science</v>
      </c>
    </row>
    <row r="842" spans="1:72" x14ac:dyDescent="0.15">
      <c r="A842" t="s">
        <v>72</v>
      </c>
      <c r="B842" t="s">
        <v>15706</v>
      </c>
      <c r="C842" t="s">
        <v>74</v>
      </c>
      <c r="D842" t="s">
        <v>74</v>
      </c>
      <c r="E842" t="s">
        <v>74</v>
      </c>
      <c r="F842" t="s">
        <v>15707</v>
      </c>
      <c r="G842" t="s">
        <v>74</v>
      </c>
      <c r="H842" t="s">
        <v>74</v>
      </c>
      <c r="I842" t="s">
        <v>15708</v>
      </c>
      <c r="J842" t="s">
        <v>1819</v>
      </c>
      <c r="K842" t="s">
        <v>74</v>
      </c>
      <c r="L842" t="s">
        <v>74</v>
      </c>
      <c r="M842" t="s">
        <v>78</v>
      </c>
      <c r="N842" t="s">
        <v>79</v>
      </c>
      <c r="O842" t="s">
        <v>74</v>
      </c>
      <c r="P842" t="s">
        <v>74</v>
      </c>
      <c r="Q842" t="s">
        <v>74</v>
      </c>
      <c r="R842" t="s">
        <v>74</v>
      </c>
      <c r="S842" t="s">
        <v>74</v>
      </c>
      <c r="T842" t="s">
        <v>15709</v>
      </c>
      <c r="U842" t="s">
        <v>15710</v>
      </c>
      <c r="V842" t="s">
        <v>15711</v>
      </c>
      <c r="W842" t="s">
        <v>15712</v>
      </c>
      <c r="X842" t="s">
        <v>15713</v>
      </c>
      <c r="Y842" t="s">
        <v>15714</v>
      </c>
      <c r="Z842" t="s">
        <v>15715</v>
      </c>
      <c r="AA842" t="s">
        <v>15716</v>
      </c>
      <c r="AB842" t="s">
        <v>74</v>
      </c>
      <c r="AC842" t="s">
        <v>15717</v>
      </c>
      <c r="AD842" t="s">
        <v>15718</v>
      </c>
      <c r="AE842" t="s">
        <v>15719</v>
      </c>
      <c r="AF842" t="s">
        <v>74</v>
      </c>
      <c r="AG842">
        <v>28</v>
      </c>
      <c r="AH842">
        <v>1</v>
      </c>
      <c r="AI842">
        <v>1</v>
      </c>
      <c r="AJ842">
        <v>3</v>
      </c>
      <c r="AK842">
        <v>13</v>
      </c>
      <c r="AL842" t="s">
        <v>224</v>
      </c>
      <c r="AM842" t="s">
        <v>576</v>
      </c>
      <c r="AN842" t="s">
        <v>577</v>
      </c>
      <c r="AO842" t="s">
        <v>1832</v>
      </c>
      <c r="AP842" t="s">
        <v>1833</v>
      </c>
      <c r="AQ842" t="s">
        <v>74</v>
      </c>
      <c r="AR842" t="s">
        <v>1834</v>
      </c>
      <c r="AS842" t="s">
        <v>1835</v>
      </c>
      <c r="AT842" t="s">
        <v>14830</v>
      </c>
      <c r="AU842">
        <v>2014</v>
      </c>
      <c r="AV842">
        <v>33</v>
      </c>
      <c r="AW842">
        <v>5</v>
      </c>
      <c r="AX842" t="s">
        <v>74</v>
      </c>
      <c r="AY842" t="s">
        <v>74</v>
      </c>
      <c r="AZ842" t="s">
        <v>74</v>
      </c>
      <c r="BA842" t="s">
        <v>74</v>
      </c>
      <c r="BB842">
        <v>8</v>
      </c>
      <c r="BC842">
        <v>16</v>
      </c>
      <c r="BD842" t="s">
        <v>74</v>
      </c>
      <c r="BE842" t="s">
        <v>15720</v>
      </c>
      <c r="BF842" t="str">
        <f>HYPERLINK("http://dx.doi.org/10.1007/s13131-014-0480-z","http://dx.doi.org/10.1007/s13131-014-0480-z")</f>
        <v>http://dx.doi.org/10.1007/s13131-014-0480-z</v>
      </c>
      <c r="BG842" t="s">
        <v>74</v>
      </c>
      <c r="BH842" t="s">
        <v>74</v>
      </c>
      <c r="BI842">
        <v>9</v>
      </c>
      <c r="BJ842" t="s">
        <v>152</v>
      </c>
      <c r="BK842" t="s">
        <v>102</v>
      </c>
      <c r="BL842" t="s">
        <v>152</v>
      </c>
      <c r="BM842" t="s">
        <v>15721</v>
      </c>
      <c r="BN842" t="s">
        <v>74</v>
      </c>
      <c r="BO842" t="s">
        <v>74</v>
      </c>
      <c r="BP842" t="s">
        <v>74</v>
      </c>
      <c r="BQ842" t="s">
        <v>74</v>
      </c>
      <c r="BR842" t="s">
        <v>105</v>
      </c>
      <c r="BS842" t="s">
        <v>15722</v>
      </c>
      <c r="BT842" t="str">
        <f>HYPERLINK("https%3A%2F%2Fwww.webofscience.com%2Fwos%2Fwoscc%2Ffull-record%2FWOS:000334900100002","View Full Record in Web of Science")</f>
        <v>View Full Record in Web of Science</v>
      </c>
    </row>
    <row r="843" spans="1:72" x14ac:dyDescent="0.15">
      <c r="A843" t="s">
        <v>72</v>
      </c>
      <c r="B843" t="s">
        <v>15723</v>
      </c>
      <c r="C843" t="s">
        <v>74</v>
      </c>
      <c r="D843" t="s">
        <v>74</v>
      </c>
      <c r="E843" t="s">
        <v>74</v>
      </c>
      <c r="F843" t="s">
        <v>15724</v>
      </c>
      <c r="G843" t="s">
        <v>74</v>
      </c>
      <c r="H843" t="s">
        <v>74</v>
      </c>
      <c r="I843" t="s">
        <v>15725</v>
      </c>
      <c r="J843" t="s">
        <v>15726</v>
      </c>
      <c r="K843" t="s">
        <v>74</v>
      </c>
      <c r="L843" t="s">
        <v>74</v>
      </c>
      <c r="M843" t="s">
        <v>78</v>
      </c>
      <c r="N843" t="s">
        <v>185</v>
      </c>
      <c r="O843" t="s">
        <v>74</v>
      </c>
      <c r="P843" t="s">
        <v>74</v>
      </c>
      <c r="Q843" t="s">
        <v>74</v>
      </c>
      <c r="R843" t="s">
        <v>74</v>
      </c>
      <c r="S843" t="s">
        <v>74</v>
      </c>
      <c r="T843" t="s">
        <v>15727</v>
      </c>
      <c r="U843" t="s">
        <v>15728</v>
      </c>
      <c r="V843" t="s">
        <v>15729</v>
      </c>
      <c r="W843" t="s">
        <v>15730</v>
      </c>
      <c r="X843" t="s">
        <v>15731</v>
      </c>
      <c r="Y843" t="s">
        <v>15732</v>
      </c>
      <c r="Z843" t="s">
        <v>15733</v>
      </c>
      <c r="AA843" t="s">
        <v>15734</v>
      </c>
      <c r="AB843" t="s">
        <v>15735</v>
      </c>
      <c r="AC843" t="s">
        <v>15736</v>
      </c>
      <c r="AD843" t="s">
        <v>15737</v>
      </c>
      <c r="AE843" t="s">
        <v>15738</v>
      </c>
      <c r="AF843" t="s">
        <v>74</v>
      </c>
      <c r="AG843">
        <v>91</v>
      </c>
      <c r="AH843">
        <v>44</v>
      </c>
      <c r="AI843">
        <v>51</v>
      </c>
      <c r="AJ843">
        <v>1</v>
      </c>
      <c r="AK843">
        <v>78</v>
      </c>
      <c r="AL843" t="s">
        <v>627</v>
      </c>
      <c r="AM843" t="s">
        <v>628</v>
      </c>
      <c r="AN843" t="s">
        <v>629</v>
      </c>
      <c r="AO843" t="s">
        <v>15739</v>
      </c>
      <c r="AP843" t="s">
        <v>15740</v>
      </c>
      <c r="AQ843" t="s">
        <v>74</v>
      </c>
      <c r="AR843" t="s">
        <v>15741</v>
      </c>
      <c r="AS843" t="s">
        <v>15742</v>
      </c>
      <c r="AT843" t="s">
        <v>14830</v>
      </c>
      <c r="AU843">
        <v>2014</v>
      </c>
      <c r="AV843">
        <v>72</v>
      </c>
      <c r="AW843" t="s">
        <v>74</v>
      </c>
      <c r="AX843" t="s">
        <v>74</v>
      </c>
      <c r="AY843" t="s">
        <v>74</v>
      </c>
      <c r="AZ843" t="s">
        <v>74</v>
      </c>
      <c r="BA843" t="s">
        <v>74</v>
      </c>
      <c r="BB843">
        <v>109</v>
      </c>
      <c r="BC843">
        <v>117</v>
      </c>
      <c r="BD843" t="s">
        <v>74</v>
      </c>
      <c r="BE843" t="s">
        <v>15743</v>
      </c>
      <c r="BF843" t="str">
        <f>HYPERLINK("http://dx.doi.org/10.1016/j.biocontrol.2014.02.014","http://dx.doi.org/10.1016/j.biocontrol.2014.02.014")</f>
        <v>http://dx.doi.org/10.1016/j.biocontrol.2014.02.014</v>
      </c>
      <c r="BG843" t="s">
        <v>74</v>
      </c>
      <c r="BH843" t="s">
        <v>74</v>
      </c>
      <c r="BI843">
        <v>9</v>
      </c>
      <c r="BJ843" t="s">
        <v>15744</v>
      </c>
      <c r="BK843" t="s">
        <v>102</v>
      </c>
      <c r="BL843" t="s">
        <v>15744</v>
      </c>
      <c r="BM843" t="s">
        <v>15745</v>
      </c>
      <c r="BN843" t="s">
        <v>74</v>
      </c>
      <c r="BO843" t="s">
        <v>74</v>
      </c>
      <c r="BP843" t="s">
        <v>74</v>
      </c>
      <c r="BQ843" t="s">
        <v>74</v>
      </c>
      <c r="BR843" t="s">
        <v>105</v>
      </c>
      <c r="BS843" t="s">
        <v>15746</v>
      </c>
      <c r="BT843" t="str">
        <f>HYPERLINK("https%3A%2F%2Fwww.webofscience.com%2Fwos%2Fwoscc%2Ffull-record%2FWOS:000334849600014","View Full Record in Web of Science")</f>
        <v>View Full Record in Web of Science</v>
      </c>
    </row>
    <row r="844" spans="1:72" x14ac:dyDescent="0.15">
      <c r="A844" t="s">
        <v>72</v>
      </c>
      <c r="B844" t="s">
        <v>15747</v>
      </c>
      <c r="C844" t="s">
        <v>74</v>
      </c>
      <c r="D844" t="s">
        <v>74</v>
      </c>
      <c r="E844" t="s">
        <v>74</v>
      </c>
      <c r="F844" t="s">
        <v>15748</v>
      </c>
      <c r="G844" t="s">
        <v>74</v>
      </c>
      <c r="H844" t="s">
        <v>74</v>
      </c>
      <c r="I844" t="s">
        <v>15749</v>
      </c>
      <c r="J844" t="s">
        <v>2984</v>
      </c>
      <c r="K844" t="s">
        <v>74</v>
      </c>
      <c r="L844" t="s">
        <v>74</v>
      </c>
      <c r="M844" t="s">
        <v>78</v>
      </c>
      <c r="N844" t="s">
        <v>79</v>
      </c>
      <c r="O844" t="s">
        <v>74</v>
      </c>
      <c r="P844" t="s">
        <v>74</v>
      </c>
      <c r="Q844" t="s">
        <v>74</v>
      </c>
      <c r="R844" t="s">
        <v>74</v>
      </c>
      <c r="S844" t="s">
        <v>74</v>
      </c>
      <c r="T844" t="s">
        <v>15750</v>
      </c>
      <c r="U844" t="s">
        <v>15751</v>
      </c>
      <c r="V844" t="s">
        <v>15752</v>
      </c>
      <c r="W844" t="s">
        <v>15753</v>
      </c>
      <c r="X844" t="s">
        <v>15754</v>
      </c>
      <c r="Y844" t="s">
        <v>15755</v>
      </c>
      <c r="Z844" t="s">
        <v>15756</v>
      </c>
      <c r="AA844" t="s">
        <v>15757</v>
      </c>
      <c r="AB844" t="s">
        <v>15758</v>
      </c>
      <c r="AC844" t="s">
        <v>15759</v>
      </c>
      <c r="AD844" t="s">
        <v>15760</v>
      </c>
      <c r="AE844" t="s">
        <v>15761</v>
      </c>
      <c r="AF844" t="s">
        <v>74</v>
      </c>
      <c r="AG844">
        <v>44</v>
      </c>
      <c r="AH844">
        <v>8</v>
      </c>
      <c r="AI844">
        <v>8</v>
      </c>
      <c r="AJ844">
        <v>1</v>
      </c>
      <c r="AK844">
        <v>32</v>
      </c>
      <c r="AL844" t="s">
        <v>753</v>
      </c>
      <c r="AM844" t="s">
        <v>124</v>
      </c>
      <c r="AN844" t="s">
        <v>754</v>
      </c>
      <c r="AO844" t="s">
        <v>2997</v>
      </c>
      <c r="AP844" t="s">
        <v>2998</v>
      </c>
      <c r="AQ844" t="s">
        <v>74</v>
      </c>
      <c r="AR844" t="s">
        <v>2999</v>
      </c>
      <c r="AS844" t="s">
        <v>3000</v>
      </c>
      <c r="AT844" t="s">
        <v>15223</v>
      </c>
      <c r="AU844">
        <v>2014</v>
      </c>
      <c r="AV844">
        <v>393</v>
      </c>
      <c r="AW844" t="s">
        <v>74</v>
      </c>
      <c r="AX844" t="s">
        <v>74</v>
      </c>
      <c r="AY844" t="s">
        <v>74</v>
      </c>
      <c r="AZ844" t="s">
        <v>74</v>
      </c>
      <c r="BA844" t="s">
        <v>74</v>
      </c>
      <c r="BB844">
        <v>26</v>
      </c>
      <c r="BC844">
        <v>30</v>
      </c>
      <c r="BD844" t="s">
        <v>74</v>
      </c>
      <c r="BE844" t="s">
        <v>15762</v>
      </c>
      <c r="BF844" t="str">
        <f>HYPERLINK("http://dx.doi.org/10.1016/j.epsl.2014.02.034","http://dx.doi.org/10.1016/j.epsl.2014.02.034")</f>
        <v>http://dx.doi.org/10.1016/j.epsl.2014.02.034</v>
      </c>
      <c r="BG844" t="s">
        <v>74</v>
      </c>
      <c r="BH844" t="s">
        <v>74</v>
      </c>
      <c r="BI844">
        <v>5</v>
      </c>
      <c r="BJ844" t="s">
        <v>425</v>
      </c>
      <c r="BK844" t="s">
        <v>102</v>
      </c>
      <c r="BL844" t="s">
        <v>425</v>
      </c>
      <c r="BM844" t="s">
        <v>15763</v>
      </c>
      <c r="BN844" t="s">
        <v>74</v>
      </c>
      <c r="BO844" t="s">
        <v>74</v>
      </c>
      <c r="BP844" t="s">
        <v>74</v>
      </c>
      <c r="BQ844" t="s">
        <v>74</v>
      </c>
      <c r="BR844" t="s">
        <v>105</v>
      </c>
      <c r="BS844" t="s">
        <v>15764</v>
      </c>
      <c r="BT844" t="str">
        <f>HYPERLINK("https%3A%2F%2Fwww.webofscience.com%2Fwos%2Fwoscc%2Ffull-record%2FWOS:000335103800004","View Full Record in Web of Science")</f>
        <v>View Full Record in Web of Science</v>
      </c>
    </row>
    <row r="845" spans="1:72" x14ac:dyDescent="0.15">
      <c r="A845" t="s">
        <v>72</v>
      </c>
      <c r="B845" t="s">
        <v>15765</v>
      </c>
      <c r="C845" t="s">
        <v>74</v>
      </c>
      <c r="D845" t="s">
        <v>74</v>
      </c>
      <c r="E845" t="s">
        <v>74</v>
      </c>
      <c r="F845" t="s">
        <v>15766</v>
      </c>
      <c r="G845" t="s">
        <v>74</v>
      </c>
      <c r="H845" t="s">
        <v>74</v>
      </c>
      <c r="I845" t="s">
        <v>15767</v>
      </c>
      <c r="J845" t="s">
        <v>2984</v>
      </c>
      <c r="K845" t="s">
        <v>74</v>
      </c>
      <c r="L845" t="s">
        <v>74</v>
      </c>
      <c r="M845" t="s">
        <v>78</v>
      </c>
      <c r="N845" t="s">
        <v>79</v>
      </c>
      <c r="O845" t="s">
        <v>74</v>
      </c>
      <c r="P845" t="s">
        <v>74</v>
      </c>
      <c r="Q845" t="s">
        <v>74</v>
      </c>
      <c r="R845" t="s">
        <v>74</v>
      </c>
      <c r="S845" t="s">
        <v>74</v>
      </c>
      <c r="T845" t="s">
        <v>15768</v>
      </c>
      <c r="U845" t="s">
        <v>15769</v>
      </c>
      <c r="V845" t="s">
        <v>15770</v>
      </c>
      <c r="W845" t="s">
        <v>15771</v>
      </c>
      <c r="X845" t="s">
        <v>15772</v>
      </c>
      <c r="Y845" t="s">
        <v>15773</v>
      </c>
      <c r="Z845" t="s">
        <v>15774</v>
      </c>
      <c r="AA845" t="s">
        <v>15775</v>
      </c>
      <c r="AB845" t="s">
        <v>15776</v>
      </c>
      <c r="AC845" t="s">
        <v>15777</v>
      </c>
      <c r="AD845" t="s">
        <v>15778</v>
      </c>
      <c r="AE845" t="s">
        <v>15779</v>
      </c>
      <c r="AF845" t="s">
        <v>74</v>
      </c>
      <c r="AG845">
        <v>38</v>
      </c>
      <c r="AH845">
        <v>103</v>
      </c>
      <c r="AI845">
        <v>112</v>
      </c>
      <c r="AJ845">
        <v>1</v>
      </c>
      <c r="AK845">
        <v>49</v>
      </c>
      <c r="AL845" t="s">
        <v>123</v>
      </c>
      <c r="AM845" t="s">
        <v>124</v>
      </c>
      <c r="AN845" t="s">
        <v>125</v>
      </c>
      <c r="AO845" t="s">
        <v>2997</v>
      </c>
      <c r="AP845" t="s">
        <v>2998</v>
      </c>
      <c r="AQ845" t="s">
        <v>74</v>
      </c>
      <c r="AR845" t="s">
        <v>2999</v>
      </c>
      <c r="AS845" t="s">
        <v>3000</v>
      </c>
      <c r="AT845" t="s">
        <v>15223</v>
      </c>
      <c r="AU845">
        <v>2014</v>
      </c>
      <c r="AV845">
        <v>393</v>
      </c>
      <c r="AW845" t="s">
        <v>74</v>
      </c>
      <c r="AX845" t="s">
        <v>74</v>
      </c>
      <c r="AY845" t="s">
        <v>74</v>
      </c>
      <c r="AZ845" t="s">
        <v>74</v>
      </c>
      <c r="BA845" t="s">
        <v>74</v>
      </c>
      <c r="BB845">
        <v>200</v>
      </c>
      <c r="BC845">
        <v>209</v>
      </c>
      <c r="BD845" t="s">
        <v>74</v>
      </c>
      <c r="BE845" t="s">
        <v>15780</v>
      </c>
      <c r="BF845" t="str">
        <f>HYPERLINK("http://dx.doi.org/10.1016/j.epsl.2014.02.055","http://dx.doi.org/10.1016/j.epsl.2014.02.055")</f>
        <v>http://dx.doi.org/10.1016/j.epsl.2014.02.055</v>
      </c>
      <c r="BG845" t="s">
        <v>74</v>
      </c>
      <c r="BH845" t="s">
        <v>74</v>
      </c>
      <c r="BI845">
        <v>10</v>
      </c>
      <c r="BJ845" t="s">
        <v>425</v>
      </c>
      <c r="BK845" t="s">
        <v>102</v>
      </c>
      <c r="BL845" t="s">
        <v>425</v>
      </c>
      <c r="BM845" t="s">
        <v>15763</v>
      </c>
      <c r="BN845" t="s">
        <v>74</v>
      </c>
      <c r="BO845" t="s">
        <v>262</v>
      </c>
      <c r="BP845" t="s">
        <v>74</v>
      </c>
      <c r="BQ845" t="s">
        <v>74</v>
      </c>
      <c r="BR845" t="s">
        <v>105</v>
      </c>
      <c r="BS845" t="s">
        <v>15781</v>
      </c>
      <c r="BT845" t="str">
        <f>HYPERLINK("https%3A%2F%2Fwww.webofscience.com%2Fwos%2Fwoscc%2Ffull-record%2FWOS:000335103800022","View Full Record in Web of Science")</f>
        <v>View Full Record in Web of Science</v>
      </c>
    </row>
    <row r="846" spans="1:72" x14ac:dyDescent="0.15">
      <c r="A846" t="s">
        <v>72</v>
      </c>
      <c r="B846" t="s">
        <v>15782</v>
      </c>
      <c r="C846" t="s">
        <v>74</v>
      </c>
      <c r="D846" t="s">
        <v>74</v>
      </c>
      <c r="E846" t="s">
        <v>74</v>
      </c>
      <c r="F846" t="s">
        <v>15783</v>
      </c>
      <c r="G846" t="s">
        <v>74</v>
      </c>
      <c r="H846" t="s">
        <v>74</v>
      </c>
      <c r="I846" t="s">
        <v>15784</v>
      </c>
      <c r="J846" t="s">
        <v>1329</v>
      </c>
      <c r="K846" t="s">
        <v>74</v>
      </c>
      <c r="L846" t="s">
        <v>74</v>
      </c>
      <c r="M846" t="s">
        <v>78</v>
      </c>
      <c r="N846" t="s">
        <v>79</v>
      </c>
      <c r="O846" t="s">
        <v>74</v>
      </c>
      <c r="P846" t="s">
        <v>74</v>
      </c>
      <c r="Q846" t="s">
        <v>74</v>
      </c>
      <c r="R846" t="s">
        <v>74</v>
      </c>
      <c r="S846" t="s">
        <v>74</v>
      </c>
      <c r="T846" t="s">
        <v>74</v>
      </c>
      <c r="U846" t="s">
        <v>15785</v>
      </c>
      <c r="V846" t="s">
        <v>15786</v>
      </c>
      <c r="W846" t="s">
        <v>15787</v>
      </c>
      <c r="X846" t="s">
        <v>15788</v>
      </c>
      <c r="Y846" t="s">
        <v>15789</v>
      </c>
      <c r="Z846" t="s">
        <v>15790</v>
      </c>
      <c r="AA846" t="s">
        <v>15791</v>
      </c>
      <c r="AB846" t="s">
        <v>15792</v>
      </c>
      <c r="AC846" t="s">
        <v>15793</v>
      </c>
      <c r="AD846" t="s">
        <v>15794</v>
      </c>
      <c r="AE846" t="s">
        <v>15795</v>
      </c>
      <c r="AF846" t="s">
        <v>74</v>
      </c>
      <c r="AG846">
        <v>86</v>
      </c>
      <c r="AH846">
        <v>32</v>
      </c>
      <c r="AI846">
        <v>36</v>
      </c>
      <c r="AJ846">
        <v>1</v>
      </c>
      <c r="AK846">
        <v>99</v>
      </c>
      <c r="AL846" t="s">
        <v>250</v>
      </c>
      <c r="AM846" t="s">
        <v>251</v>
      </c>
      <c r="AN846" t="s">
        <v>252</v>
      </c>
      <c r="AO846" t="s">
        <v>1341</v>
      </c>
      <c r="AP846" t="s">
        <v>1342</v>
      </c>
      <c r="AQ846" t="s">
        <v>74</v>
      </c>
      <c r="AR846" t="s">
        <v>1343</v>
      </c>
      <c r="AS846" t="s">
        <v>1344</v>
      </c>
      <c r="AT846" t="s">
        <v>15223</v>
      </c>
      <c r="AU846">
        <v>2014</v>
      </c>
      <c r="AV846">
        <v>132</v>
      </c>
      <c r="AW846" t="s">
        <v>74</v>
      </c>
      <c r="AX846" t="s">
        <v>74</v>
      </c>
      <c r="AY846" t="s">
        <v>74</v>
      </c>
      <c r="AZ846" t="s">
        <v>74</v>
      </c>
      <c r="BA846" t="s">
        <v>74</v>
      </c>
      <c r="BB846">
        <v>391</v>
      </c>
      <c r="BC846">
        <v>412</v>
      </c>
      <c r="BD846" t="s">
        <v>74</v>
      </c>
      <c r="BE846" t="s">
        <v>15796</v>
      </c>
      <c r="BF846" t="str">
        <f>HYPERLINK("http://dx.doi.org/10.1016/j.gca.2013.09.030","http://dx.doi.org/10.1016/j.gca.2013.09.030")</f>
        <v>http://dx.doi.org/10.1016/j.gca.2013.09.030</v>
      </c>
      <c r="BG846" t="s">
        <v>74</v>
      </c>
      <c r="BH846" t="s">
        <v>74</v>
      </c>
      <c r="BI846">
        <v>22</v>
      </c>
      <c r="BJ846" t="s">
        <v>425</v>
      </c>
      <c r="BK846" t="s">
        <v>102</v>
      </c>
      <c r="BL846" t="s">
        <v>425</v>
      </c>
      <c r="BM846" t="s">
        <v>15797</v>
      </c>
      <c r="BN846" t="s">
        <v>74</v>
      </c>
      <c r="BO846" t="s">
        <v>74</v>
      </c>
      <c r="BP846" t="s">
        <v>74</v>
      </c>
      <c r="BQ846" t="s">
        <v>74</v>
      </c>
      <c r="BR846" t="s">
        <v>105</v>
      </c>
      <c r="BS846" t="s">
        <v>15798</v>
      </c>
      <c r="BT846" t="str">
        <f>HYPERLINK("https%3A%2F%2Fwww.webofscience.com%2Fwos%2Fwoscc%2Ffull-record%2FWOS:000334832100022","View Full Record in Web of Science")</f>
        <v>View Full Record in Web of Science</v>
      </c>
    </row>
    <row r="847" spans="1:72" x14ac:dyDescent="0.15">
      <c r="A847" t="s">
        <v>72</v>
      </c>
      <c r="B847" t="s">
        <v>15799</v>
      </c>
      <c r="C847" t="s">
        <v>74</v>
      </c>
      <c r="D847" t="s">
        <v>74</v>
      </c>
      <c r="E847" t="s">
        <v>74</v>
      </c>
      <c r="F847" t="s">
        <v>15800</v>
      </c>
      <c r="G847" t="s">
        <v>74</v>
      </c>
      <c r="H847" t="s">
        <v>74</v>
      </c>
      <c r="I847" t="s">
        <v>15801</v>
      </c>
      <c r="J847" t="s">
        <v>15802</v>
      </c>
      <c r="K847" t="s">
        <v>74</v>
      </c>
      <c r="L847" t="s">
        <v>74</v>
      </c>
      <c r="M847" t="s">
        <v>78</v>
      </c>
      <c r="N847" t="s">
        <v>79</v>
      </c>
      <c r="O847" t="s">
        <v>74</v>
      </c>
      <c r="P847" t="s">
        <v>74</v>
      </c>
      <c r="Q847" t="s">
        <v>74</v>
      </c>
      <c r="R847" t="s">
        <v>74</v>
      </c>
      <c r="S847" t="s">
        <v>74</v>
      </c>
      <c r="T847" t="s">
        <v>15803</v>
      </c>
      <c r="U847" t="s">
        <v>15804</v>
      </c>
      <c r="V847" t="s">
        <v>15805</v>
      </c>
      <c r="W847" t="s">
        <v>15806</v>
      </c>
      <c r="X847" t="s">
        <v>620</v>
      </c>
      <c r="Y847" t="s">
        <v>15807</v>
      </c>
      <c r="Z847" t="s">
        <v>15808</v>
      </c>
      <c r="AA847" t="s">
        <v>74</v>
      </c>
      <c r="AB847" t="s">
        <v>15809</v>
      </c>
      <c r="AC847" t="s">
        <v>15810</v>
      </c>
      <c r="AD847" t="s">
        <v>620</v>
      </c>
      <c r="AE847" t="s">
        <v>15811</v>
      </c>
      <c r="AF847" t="s">
        <v>74</v>
      </c>
      <c r="AG847">
        <v>29</v>
      </c>
      <c r="AH847">
        <v>0</v>
      </c>
      <c r="AI847">
        <v>0</v>
      </c>
      <c r="AJ847">
        <v>0</v>
      </c>
      <c r="AK847">
        <v>8</v>
      </c>
      <c r="AL847" t="s">
        <v>304</v>
      </c>
      <c r="AM847" t="s">
        <v>305</v>
      </c>
      <c r="AN847" t="s">
        <v>306</v>
      </c>
      <c r="AO847" t="s">
        <v>307</v>
      </c>
      <c r="AP847" t="s">
        <v>308</v>
      </c>
      <c r="AQ847" t="s">
        <v>74</v>
      </c>
      <c r="AR847" t="s">
        <v>309</v>
      </c>
      <c r="AS847" t="s">
        <v>310</v>
      </c>
      <c r="AT847" t="s">
        <v>14830</v>
      </c>
      <c r="AU847">
        <v>2014</v>
      </c>
      <c r="AV847">
        <v>184</v>
      </c>
      <c r="AW847">
        <v>4</v>
      </c>
      <c r="AX847" t="s">
        <v>74</v>
      </c>
      <c r="AY847" t="s">
        <v>74</v>
      </c>
      <c r="AZ847" t="s">
        <v>74</v>
      </c>
      <c r="BA847" t="s">
        <v>74</v>
      </c>
      <c r="BB847">
        <v>415</v>
      </c>
      <c r="BC847">
        <v>423</v>
      </c>
      <c r="BD847" t="s">
        <v>74</v>
      </c>
      <c r="BE847" t="s">
        <v>15812</v>
      </c>
      <c r="BF847" t="str">
        <f>HYPERLINK("http://dx.doi.org/10.1007/s00360-014-0818-z","http://dx.doi.org/10.1007/s00360-014-0818-z")</f>
        <v>http://dx.doi.org/10.1007/s00360-014-0818-z</v>
      </c>
      <c r="BG847" t="s">
        <v>74</v>
      </c>
      <c r="BH847" t="s">
        <v>74</v>
      </c>
      <c r="BI847">
        <v>9</v>
      </c>
      <c r="BJ847" t="s">
        <v>312</v>
      </c>
      <c r="BK847" t="s">
        <v>102</v>
      </c>
      <c r="BL847" t="s">
        <v>312</v>
      </c>
      <c r="BM847" t="s">
        <v>15813</v>
      </c>
      <c r="BN847">
        <v>24604292</v>
      </c>
      <c r="BO847" t="s">
        <v>74</v>
      </c>
      <c r="BP847" t="s">
        <v>74</v>
      </c>
      <c r="BQ847" t="s">
        <v>74</v>
      </c>
      <c r="BR847" t="s">
        <v>105</v>
      </c>
      <c r="BS847" t="s">
        <v>15814</v>
      </c>
      <c r="BT847" t="str">
        <f>HYPERLINK("https%3A%2F%2Fwww.webofscience.com%2Fwos%2Fwoscc%2Ffull-record%2FWOS:000334498900001","View Full Record in Web of Science")</f>
        <v>View Full Record in Web of Science</v>
      </c>
    </row>
    <row r="848" spans="1:72" x14ac:dyDescent="0.15">
      <c r="A848" t="s">
        <v>72</v>
      </c>
      <c r="B848" t="s">
        <v>15815</v>
      </c>
      <c r="C848" t="s">
        <v>74</v>
      </c>
      <c r="D848" t="s">
        <v>74</v>
      </c>
      <c r="E848" t="s">
        <v>74</v>
      </c>
      <c r="F848" t="s">
        <v>15816</v>
      </c>
      <c r="G848" t="s">
        <v>74</v>
      </c>
      <c r="H848" t="s">
        <v>74</v>
      </c>
      <c r="I848" t="s">
        <v>15817</v>
      </c>
      <c r="J848" t="s">
        <v>7165</v>
      </c>
      <c r="K848" t="s">
        <v>74</v>
      </c>
      <c r="L848" t="s">
        <v>74</v>
      </c>
      <c r="M848" t="s">
        <v>78</v>
      </c>
      <c r="N848" t="s">
        <v>79</v>
      </c>
      <c r="O848" t="s">
        <v>74</v>
      </c>
      <c r="P848" t="s">
        <v>74</v>
      </c>
      <c r="Q848" t="s">
        <v>74</v>
      </c>
      <c r="R848" t="s">
        <v>74</v>
      </c>
      <c r="S848" t="s">
        <v>74</v>
      </c>
      <c r="T848" t="s">
        <v>74</v>
      </c>
      <c r="U848" t="s">
        <v>15818</v>
      </c>
      <c r="V848" t="s">
        <v>15819</v>
      </c>
      <c r="W848" t="s">
        <v>15820</v>
      </c>
      <c r="X848" t="s">
        <v>15821</v>
      </c>
      <c r="Y848" t="s">
        <v>15822</v>
      </c>
      <c r="Z848" t="s">
        <v>15823</v>
      </c>
      <c r="AA848" t="s">
        <v>15824</v>
      </c>
      <c r="AB848" t="s">
        <v>15825</v>
      </c>
      <c r="AC848" t="s">
        <v>15826</v>
      </c>
      <c r="AD848" t="s">
        <v>15827</v>
      </c>
      <c r="AE848" t="s">
        <v>15828</v>
      </c>
      <c r="AF848" t="s">
        <v>74</v>
      </c>
      <c r="AG848">
        <v>59</v>
      </c>
      <c r="AH848">
        <v>82</v>
      </c>
      <c r="AI848">
        <v>88</v>
      </c>
      <c r="AJ848">
        <v>1</v>
      </c>
      <c r="AK848">
        <v>39</v>
      </c>
      <c r="AL848" t="s">
        <v>224</v>
      </c>
      <c r="AM848" t="s">
        <v>576</v>
      </c>
      <c r="AN848" t="s">
        <v>577</v>
      </c>
      <c r="AO848" t="s">
        <v>7177</v>
      </c>
      <c r="AP848" t="s">
        <v>7178</v>
      </c>
      <c r="AQ848" t="s">
        <v>74</v>
      </c>
      <c r="AR848" t="s">
        <v>7179</v>
      </c>
      <c r="AS848" t="s">
        <v>7180</v>
      </c>
      <c r="AT848" t="s">
        <v>14830</v>
      </c>
      <c r="AU848">
        <v>2014</v>
      </c>
      <c r="AV848">
        <v>67</v>
      </c>
      <c r="AW848">
        <v>4</v>
      </c>
      <c r="AX848" t="s">
        <v>74</v>
      </c>
      <c r="AY848" t="s">
        <v>74</v>
      </c>
      <c r="AZ848" t="s">
        <v>74</v>
      </c>
      <c r="BA848" t="s">
        <v>74</v>
      </c>
      <c r="BB848">
        <v>775</v>
      </c>
      <c r="BC848">
        <v>787</v>
      </c>
      <c r="BD848" t="s">
        <v>74</v>
      </c>
      <c r="BE848" t="s">
        <v>15829</v>
      </c>
      <c r="BF848" t="str">
        <f>HYPERLINK("http://dx.doi.org/10.1007/s00248-014-0374-9","http://dx.doi.org/10.1007/s00248-014-0374-9")</f>
        <v>http://dx.doi.org/10.1007/s00248-014-0374-9</v>
      </c>
      <c r="BG848" t="s">
        <v>74</v>
      </c>
      <c r="BH848" t="s">
        <v>74</v>
      </c>
      <c r="BI848">
        <v>13</v>
      </c>
      <c r="BJ848" t="s">
        <v>7182</v>
      </c>
      <c r="BK848" t="s">
        <v>102</v>
      </c>
      <c r="BL848" t="s">
        <v>7183</v>
      </c>
      <c r="BM848" t="s">
        <v>15830</v>
      </c>
      <c r="BN848">
        <v>24509705</v>
      </c>
      <c r="BO848" t="s">
        <v>74</v>
      </c>
      <c r="BP848" t="s">
        <v>74</v>
      </c>
      <c r="BQ848" t="s">
        <v>74</v>
      </c>
      <c r="BR848" t="s">
        <v>105</v>
      </c>
      <c r="BS848" t="s">
        <v>15831</v>
      </c>
      <c r="BT848" t="str">
        <f>HYPERLINK("https%3A%2F%2Fwww.webofscience.com%2Fwos%2Fwoscc%2Ffull-record%2FWOS:000334495000005","View Full Record in Web of Science")</f>
        <v>View Full Record in Web of Science</v>
      </c>
    </row>
    <row r="849" spans="1:72" x14ac:dyDescent="0.15">
      <c r="A849" t="s">
        <v>72</v>
      </c>
      <c r="B849" t="s">
        <v>15832</v>
      </c>
      <c r="C849" t="s">
        <v>74</v>
      </c>
      <c r="D849" t="s">
        <v>74</v>
      </c>
      <c r="E849" t="s">
        <v>74</v>
      </c>
      <c r="F849" t="s">
        <v>15833</v>
      </c>
      <c r="G849" t="s">
        <v>74</v>
      </c>
      <c r="H849" t="s">
        <v>74</v>
      </c>
      <c r="I849" t="s">
        <v>15834</v>
      </c>
      <c r="J849" t="s">
        <v>15835</v>
      </c>
      <c r="K849" t="s">
        <v>74</v>
      </c>
      <c r="L849" t="s">
        <v>74</v>
      </c>
      <c r="M849" t="s">
        <v>78</v>
      </c>
      <c r="N849" t="s">
        <v>79</v>
      </c>
      <c r="O849" t="s">
        <v>74</v>
      </c>
      <c r="P849" t="s">
        <v>74</v>
      </c>
      <c r="Q849" t="s">
        <v>74</v>
      </c>
      <c r="R849" t="s">
        <v>74</v>
      </c>
      <c r="S849" t="s">
        <v>74</v>
      </c>
      <c r="T849" t="s">
        <v>15836</v>
      </c>
      <c r="U849" t="s">
        <v>15837</v>
      </c>
      <c r="V849" t="s">
        <v>15838</v>
      </c>
      <c r="W849" t="s">
        <v>15839</v>
      </c>
      <c r="X849" t="s">
        <v>15713</v>
      </c>
      <c r="Y849" t="s">
        <v>15840</v>
      </c>
      <c r="Z849" t="s">
        <v>15841</v>
      </c>
      <c r="AA849" t="s">
        <v>74</v>
      </c>
      <c r="AB849" t="s">
        <v>74</v>
      </c>
      <c r="AC849" t="s">
        <v>15842</v>
      </c>
      <c r="AD849" t="s">
        <v>15843</v>
      </c>
      <c r="AE849" t="s">
        <v>15844</v>
      </c>
      <c r="AF849" t="s">
        <v>74</v>
      </c>
      <c r="AG849">
        <v>29</v>
      </c>
      <c r="AH849">
        <v>5</v>
      </c>
      <c r="AI849">
        <v>5</v>
      </c>
      <c r="AJ849">
        <v>0</v>
      </c>
      <c r="AK849">
        <v>30</v>
      </c>
      <c r="AL849" t="s">
        <v>5574</v>
      </c>
      <c r="AM849" t="s">
        <v>5575</v>
      </c>
      <c r="AN849" t="s">
        <v>5576</v>
      </c>
      <c r="AO849" t="s">
        <v>15845</v>
      </c>
      <c r="AP849" t="s">
        <v>15846</v>
      </c>
      <c r="AQ849" t="s">
        <v>74</v>
      </c>
      <c r="AR849" t="s">
        <v>15847</v>
      </c>
      <c r="AS849" t="s">
        <v>15848</v>
      </c>
      <c r="AT849" t="s">
        <v>14830</v>
      </c>
      <c r="AU849">
        <v>2014</v>
      </c>
      <c r="AV849">
        <v>31</v>
      </c>
      <c r="AW849">
        <v>3</v>
      </c>
      <c r="AX849" t="s">
        <v>74</v>
      </c>
      <c r="AY849" t="s">
        <v>74</v>
      </c>
      <c r="AZ849" t="s">
        <v>74</v>
      </c>
      <c r="BA849" t="s">
        <v>74</v>
      </c>
      <c r="BB849">
        <v>637</v>
      </c>
      <c r="BC849">
        <v>646</v>
      </c>
      <c r="BD849" t="s">
        <v>74</v>
      </c>
      <c r="BE849" t="s">
        <v>15849</v>
      </c>
      <c r="BF849" t="str">
        <f>HYPERLINK("http://dx.doi.org/10.1007/s00376-013-2279-9","http://dx.doi.org/10.1007/s00376-013-2279-9")</f>
        <v>http://dx.doi.org/10.1007/s00376-013-2279-9</v>
      </c>
      <c r="BG849" t="s">
        <v>74</v>
      </c>
      <c r="BH849" t="s">
        <v>74</v>
      </c>
      <c r="BI849">
        <v>10</v>
      </c>
      <c r="BJ849" t="s">
        <v>177</v>
      </c>
      <c r="BK849" t="s">
        <v>102</v>
      </c>
      <c r="BL849" t="s">
        <v>177</v>
      </c>
      <c r="BM849" t="s">
        <v>15850</v>
      </c>
      <c r="BN849" t="s">
        <v>74</v>
      </c>
      <c r="BO849" t="s">
        <v>74</v>
      </c>
      <c r="BP849" t="s">
        <v>74</v>
      </c>
      <c r="BQ849" t="s">
        <v>74</v>
      </c>
      <c r="BR849" t="s">
        <v>105</v>
      </c>
      <c r="BS849" t="s">
        <v>15851</v>
      </c>
      <c r="BT849" t="str">
        <f>HYPERLINK("https%3A%2F%2Fwww.webofscience.com%2Fwos%2Fwoscc%2Ffull-record%2FWOS:000334181000014","View Full Record in Web of Science")</f>
        <v>View Full Record in Web of Science</v>
      </c>
    </row>
    <row r="850" spans="1:72" x14ac:dyDescent="0.15">
      <c r="A850" t="s">
        <v>72</v>
      </c>
      <c r="B850" t="s">
        <v>15852</v>
      </c>
      <c r="C850" t="s">
        <v>74</v>
      </c>
      <c r="D850" t="s">
        <v>74</v>
      </c>
      <c r="E850" t="s">
        <v>74</v>
      </c>
      <c r="F850" t="s">
        <v>15853</v>
      </c>
      <c r="G850" t="s">
        <v>74</v>
      </c>
      <c r="H850" t="s">
        <v>74</v>
      </c>
      <c r="I850" t="s">
        <v>15854</v>
      </c>
      <c r="J850" t="s">
        <v>3093</v>
      </c>
      <c r="K850" t="s">
        <v>74</v>
      </c>
      <c r="L850" t="s">
        <v>74</v>
      </c>
      <c r="M850" t="s">
        <v>78</v>
      </c>
      <c r="N850" t="s">
        <v>79</v>
      </c>
      <c r="O850" t="s">
        <v>74</v>
      </c>
      <c r="P850" t="s">
        <v>74</v>
      </c>
      <c r="Q850" t="s">
        <v>74</v>
      </c>
      <c r="R850" t="s">
        <v>74</v>
      </c>
      <c r="S850" t="s">
        <v>74</v>
      </c>
      <c r="T850" t="s">
        <v>15855</v>
      </c>
      <c r="U850" t="s">
        <v>15856</v>
      </c>
      <c r="V850" t="s">
        <v>15857</v>
      </c>
      <c r="W850" t="s">
        <v>15858</v>
      </c>
      <c r="X850" t="s">
        <v>15859</v>
      </c>
      <c r="Y850" t="s">
        <v>15860</v>
      </c>
      <c r="Z850" t="s">
        <v>15861</v>
      </c>
      <c r="AA850" t="s">
        <v>15862</v>
      </c>
      <c r="AB850" t="s">
        <v>15863</v>
      </c>
      <c r="AC850" t="s">
        <v>15864</v>
      </c>
      <c r="AD850" t="s">
        <v>15865</v>
      </c>
      <c r="AE850" t="s">
        <v>15866</v>
      </c>
      <c r="AF850" t="s">
        <v>74</v>
      </c>
      <c r="AG850">
        <v>61</v>
      </c>
      <c r="AH850">
        <v>23</v>
      </c>
      <c r="AI850">
        <v>24</v>
      </c>
      <c r="AJ850">
        <v>1</v>
      </c>
      <c r="AK850">
        <v>41</v>
      </c>
      <c r="AL850" t="s">
        <v>171</v>
      </c>
      <c r="AM850" t="s">
        <v>93</v>
      </c>
      <c r="AN850" t="s">
        <v>94</v>
      </c>
      <c r="AO850" t="s">
        <v>3105</v>
      </c>
      <c r="AP850" t="s">
        <v>3106</v>
      </c>
      <c r="AQ850" t="s">
        <v>74</v>
      </c>
      <c r="AR850" t="s">
        <v>3107</v>
      </c>
      <c r="AS850" t="s">
        <v>3108</v>
      </c>
      <c r="AT850" t="s">
        <v>14830</v>
      </c>
      <c r="AU850">
        <v>2014</v>
      </c>
      <c r="AV850">
        <v>83</v>
      </c>
      <c r="AW850">
        <v>3</v>
      </c>
      <c r="AX850" t="s">
        <v>74</v>
      </c>
      <c r="AY850" t="s">
        <v>74</v>
      </c>
      <c r="AZ850" t="s">
        <v>74</v>
      </c>
      <c r="BA850" t="s">
        <v>74</v>
      </c>
      <c r="BB850">
        <v>576</v>
      </c>
      <c r="BC850">
        <v>587</v>
      </c>
      <c r="BD850" t="s">
        <v>74</v>
      </c>
      <c r="BE850" t="s">
        <v>15867</v>
      </c>
      <c r="BF850" t="str">
        <f>HYPERLINK("http://dx.doi.org/10.1111/1365-2656.12170","http://dx.doi.org/10.1111/1365-2656.12170")</f>
        <v>http://dx.doi.org/10.1111/1365-2656.12170</v>
      </c>
      <c r="BG850" t="s">
        <v>74</v>
      </c>
      <c r="BH850" t="s">
        <v>74</v>
      </c>
      <c r="BI850">
        <v>12</v>
      </c>
      <c r="BJ850" t="s">
        <v>3110</v>
      </c>
      <c r="BK850" t="s">
        <v>102</v>
      </c>
      <c r="BL850" t="s">
        <v>3111</v>
      </c>
      <c r="BM850" t="s">
        <v>15868</v>
      </c>
      <c r="BN850">
        <v>24467400</v>
      </c>
      <c r="BO850" t="s">
        <v>74</v>
      </c>
      <c r="BP850" t="s">
        <v>74</v>
      </c>
      <c r="BQ850" t="s">
        <v>74</v>
      </c>
      <c r="BR850" t="s">
        <v>105</v>
      </c>
      <c r="BS850" t="s">
        <v>15869</v>
      </c>
      <c r="BT850" t="str">
        <f>HYPERLINK("https%3A%2F%2Fwww.webofscience.com%2Fwos%2Fwoscc%2Ffull-record%2FWOS:000334289500006","View Full Record in Web of Science")</f>
        <v>View Full Record in Web of Science</v>
      </c>
    </row>
    <row r="851" spans="1:72" x14ac:dyDescent="0.15">
      <c r="A851" t="s">
        <v>72</v>
      </c>
      <c r="B851" t="s">
        <v>15870</v>
      </c>
      <c r="C851" t="s">
        <v>74</v>
      </c>
      <c r="D851" t="s">
        <v>74</v>
      </c>
      <c r="E851" t="s">
        <v>74</v>
      </c>
      <c r="F851" t="s">
        <v>15871</v>
      </c>
      <c r="G851" t="s">
        <v>74</v>
      </c>
      <c r="H851" t="s">
        <v>74</v>
      </c>
      <c r="I851" t="s">
        <v>15872</v>
      </c>
      <c r="J851" t="s">
        <v>432</v>
      </c>
      <c r="K851" t="s">
        <v>74</v>
      </c>
      <c r="L851" t="s">
        <v>74</v>
      </c>
      <c r="M851" t="s">
        <v>78</v>
      </c>
      <c r="N851" t="s">
        <v>79</v>
      </c>
      <c r="O851" t="s">
        <v>74</v>
      </c>
      <c r="P851" t="s">
        <v>74</v>
      </c>
      <c r="Q851" t="s">
        <v>74</v>
      </c>
      <c r="R851" t="s">
        <v>74</v>
      </c>
      <c r="S851" t="s">
        <v>74</v>
      </c>
      <c r="T851" t="s">
        <v>15873</v>
      </c>
      <c r="U851" t="s">
        <v>15874</v>
      </c>
      <c r="V851" t="s">
        <v>15875</v>
      </c>
      <c r="W851" t="s">
        <v>15876</v>
      </c>
      <c r="X851" t="s">
        <v>15877</v>
      </c>
      <c r="Y851" t="s">
        <v>15878</v>
      </c>
      <c r="Z851" t="s">
        <v>15879</v>
      </c>
      <c r="AA851" t="s">
        <v>15880</v>
      </c>
      <c r="AB851" t="s">
        <v>74</v>
      </c>
      <c r="AC851" t="s">
        <v>15881</v>
      </c>
      <c r="AD851" t="s">
        <v>15882</v>
      </c>
      <c r="AE851" t="s">
        <v>15883</v>
      </c>
      <c r="AF851" t="s">
        <v>74</v>
      </c>
      <c r="AG851">
        <v>40</v>
      </c>
      <c r="AH851">
        <v>19</v>
      </c>
      <c r="AI851">
        <v>19</v>
      </c>
      <c r="AJ851">
        <v>0</v>
      </c>
      <c r="AK851">
        <v>12</v>
      </c>
      <c r="AL851" t="s">
        <v>280</v>
      </c>
      <c r="AM851" t="s">
        <v>281</v>
      </c>
      <c r="AN851" t="s">
        <v>282</v>
      </c>
      <c r="AO851" t="s">
        <v>444</v>
      </c>
      <c r="AP851" t="s">
        <v>445</v>
      </c>
      <c r="AQ851" t="s">
        <v>74</v>
      </c>
      <c r="AR851" t="s">
        <v>446</v>
      </c>
      <c r="AS851" t="s">
        <v>447</v>
      </c>
      <c r="AT851" t="s">
        <v>14830</v>
      </c>
      <c r="AU851">
        <v>2014</v>
      </c>
      <c r="AV851">
        <v>44</v>
      </c>
      <c r="AW851">
        <v>5</v>
      </c>
      <c r="AX851" t="s">
        <v>74</v>
      </c>
      <c r="AY851" t="s">
        <v>74</v>
      </c>
      <c r="AZ851" t="s">
        <v>74</v>
      </c>
      <c r="BA851" t="s">
        <v>74</v>
      </c>
      <c r="BB851">
        <v>1456</v>
      </c>
      <c r="BC851">
        <v>1465</v>
      </c>
      <c r="BD851" t="s">
        <v>74</v>
      </c>
      <c r="BE851" t="s">
        <v>15884</v>
      </c>
      <c r="BF851" t="str">
        <f>HYPERLINK("http://dx.doi.org/10.1175/JPO-D-13-0223.1","http://dx.doi.org/10.1175/JPO-D-13-0223.1")</f>
        <v>http://dx.doi.org/10.1175/JPO-D-13-0223.1</v>
      </c>
      <c r="BG851" t="s">
        <v>74</v>
      </c>
      <c r="BH851" t="s">
        <v>74</v>
      </c>
      <c r="BI851">
        <v>10</v>
      </c>
      <c r="BJ851" t="s">
        <v>152</v>
      </c>
      <c r="BK851" t="s">
        <v>102</v>
      </c>
      <c r="BL851" t="s">
        <v>152</v>
      </c>
      <c r="BM851" t="s">
        <v>15885</v>
      </c>
      <c r="BN851" t="s">
        <v>74</v>
      </c>
      <c r="BO851" t="s">
        <v>289</v>
      </c>
      <c r="BP851" t="s">
        <v>74</v>
      </c>
      <c r="BQ851" t="s">
        <v>74</v>
      </c>
      <c r="BR851" t="s">
        <v>105</v>
      </c>
      <c r="BS851" t="s">
        <v>15886</v>
      </c>
      <c r="BT851" t="str">
        <f>HYPERLINK("https%3A%2F%2Fwww.webofscience.com%2Fwos%2Fwoscc%2Ffull-record%2FWOS:000334815500011","View Full Record in Web of Science")</f>
        <v>View Full Record in Web of Science</v>
      </c>
    </row>
    <row r="852" spans="1:72" x14ac:dyDescent="0.15">
      <c r="A852" t="s">
        <v>72</v>
      </c>
      <c r="B852" t="s">
        <v>15887</v>
      </c>
      <c r="C852" t="s">
        <v>74</v>
      </c>
      <c r="D852" t="s">
        <v>74</v>
      </c>
      <c r="E852" t="s">
        <v>74</v>
      </c>
      <c r="F852" t="s">
        <v>15888</v>
      </c>
      <c r="G852" t="s">
        <v>74</v>
      </c>
      <c r="H852" t="s">
        <v>74</v>
      </c>
      <c r="I852" t="s">
        <v>15889</v>
      </c>
      <c r="J852" t="s">
        <v>765</v>
      </c>
      <c r="K852" t="s">
        <v>74</v>
      </c>
      <c r="L852" t="s">
        <v>74</v>
      </c>
      <c r="M852" t="s">
        <v>78</v>
      </c>
      <c r="N852" t="s">
        <v>79</v>
      </c>
      <c r="O852" t="s">
        <v>74</v>
      </c>
      <c r="P852" t="s">
        <v>74</v>
      </c>
      <c r="Q852" t="s">
        <v>74</v>
      </c>
      <c r="R852" t="s">
        <v>74</v>
      </c>
      <c r="S852" t="s">
        <v>74</v>
      </c>
      <c r="T852" t="s">
        <v>15890</v>
      </c>
      <c r="U852" t="s">
        <v>15891</v>
      </c>
      <c r="V852" t="s">
        <v>15892</v>
      </c>
      <c r="W852" t="s">
        <v>15893</v>
      </c>
      <c r="X852" t="s">
        <v>15894</v>
      </c>
      <c r="Y852" t="s">
        <v>15895</v>
      </c>
      <c r="Z852" t="s">
        <v>15896</v>
      </c>
      <c r="AA852" t="s">
        <v>15897</v>
      </c>
      <c r="AB852" t="s">
        <v>15898</v>
      </c>
      <c r="AC852" t="s">
        <v>15899</v>
      </c>
      <c r="AD852" t="s">
        <v>15900</v>
      </c>
      <c r="AE852" t="s">
        <v>15901</v>
      </c>
      <c r="AF852" t="s">
        <v>74</v>
      </c>
      <c r="AG852">
        <v>50</v>
      </c>
      <c r="AH852">
        <v>38</v>
      </c>
      <c r="AI852">
        <v>41</v>
      </c>
      <c r="AJ852">
        <v>0</v>
      </c>
      <c r="AK852">
        <v>86</v>
      </c>
      <c r="AL852" t="s">
        <v>224</v>
      </c>
      <c r="AM852" t="s">
        <v>576</v>
      </c>
      <c r="AN852" t="s">
        <v>778</v>
      </c>
      <c r="AO852" t="s">
        <v>779</v>
      </c>
      <c r="AP852" t="s">
        <v>780</v>
      </c>
      <c r="AQ852" t="s">
        <v>74</v>
      </c>
      <c r="AR852" t="s">
        <v>781</v>
      </c>
      <c r="AS852" t="s">
        <v>782</v>
      </c>
      <c r="AT852" t="s">
        <v>14830</v>
      </c>
      <c r="AU852">
        <v>2014</v>
      </c>
      <c r="AV852">
        <v>37</v>
      </c>
      <c r="AW852">
        <v>5</v>
      </c>
      <c r="AX852" t="s">
        <v>74</v>
      </c>
      <c r="AY852" t="s">
        <v>74</v>
      </c>
      <c r="AZ852" t="s">
        <v>74</v>
      </c>
      <c r="BA852" t="s">
        <v>74</v>
      </c>
      <c r="BB852">
        <v>675</v>
      </c>
      <c r="BC852">
        <v>683</v>
      </c>
      <c r="BD852" t="s">
        <v>74</v>
      </c>
      <c r="BE852" t="s">
        <v>15902</v>
      </c>
      <c r="BF852" t="str">
        <f>HYPERLINK("http://dx.doi.org/10.1007/s00300-014-1468-z","http://dx.doi.org/10.1007/s00300-014-1468-z")</f>
        <v>http://dx.doi.org/10.1007/s00300-014-1468-z</v>
      </c>
      <c r="BG852" t="s">
        <v>74</v>
      </c>
      <c r="BH852" t="s">
        <v>74</v>
      </c>
      <c r="BI852">
        <v>9</v>
      </c>
      <c r="BJ852" t="s">
        <v>784</v>
      </c>
      <c r="BK852" t="s">
        <v>102</v>
      </c>
      <c r="BL852" t="s">
        <v>785</v>
      </c>
      <c r="BM852" t="s">
        <v>15903</v>
      </c>
      <c r="BN852" t="s">
        <v>74</v>
      </c>
      <c r="BO852" t="s">
        <v>74</v>
      </c>
      <c r="BP852" t="s">
        <v>74</v>
      </c>
      <c r="BQ852" t="s">
        <v>74</v>
      </c>
      <c r="BR852" t="s">
        <v>105</v>
      </c>
      <c r="BS852" t="s">
        <v>15904</v>
      </c>
      <c r="BT852" t="str">
        <f>HYPERLINK("https%3A%2F%2Fwww.webofscience.com%2Fwos%2Fwoscc%2Ffull-record%2FWOS:000334172600008","View Full Record in Web of Science")</f>
        <v>View Full Record in Web of Science</v>
      </c>
    </row>
    <row r="853" spans="1:72" x14ac:dyDescent="0.15">
      <c r="A853" t="s">
        <v>72</v>
      </c>
      <c r="B853" t="s">
        <v>15905</v>
      </c>
      <c r="C853" t="s">
        <v>74</v>
      </c>
      <c r="D853" t="s">
        <v>74</v>
      </c>
      <c r="E853" t="s">
        <v>74</v>
      </c>
      <c r="F853" t="s">
        <v>15906</v>
      </c>
      <c r="G853" t="s">
        <v>74</v>
      </c>
      <c r="H853" t="s">
        <v>74</v>
      </c>
      <c r="I853" t="s">
        <v>15907</v>
      </c>
      <c r="J853" t="s">
        <v>765</v>
      </c>
      <c r="K853" t="s">
        <v>74</v>
      </c>
      <c r="L853" t="s">
        <v>74</v>
      </c>
      <c r="M853" t="s">
        <v>78</v>
      </c>
      <c r="N853" t="s">
        <v>79</v>
      </c>
      <c r="O853" t="s">
        <v>74</v>
      </c>
      <c r="P853" t="s">
        <v>74</v>
      </c>
      <c r="Q853" t="s">
        <v>74</v>
      </c>
      <c r="R853" t="s">
        <v>74</v>
      </c>
      <c r="S853" t="s">
        <v>74</v>
      </c>
      <c r="T853" t="s">
        <v>15908</v>
      </c>
      <c r="U853" t="s">
        <v>15909</v>
      </c>
      <c r="V853" t="s">
        <v>15910</v>
      </c>
      <c r="W853" t="s">
        <v>15911</v>
      </c>
      <c r="X853" t="s">
        <v>15912</v>
      </c>
      <c r="Y853" t="s">
        <v>15913</v>
      </c>
      <c r="Z853" t="s">
        <v>15914</v>
      </c>
      <c r="AA853" t="s">
        <v>15915</v>
      </c>
      <c r="AB853" t="s">
        <v>15916</v>
      </c>
      <c r="AC853" t="s">
        <v>15917</v>
      </c>
      <c r="AD853" t="s">
        <v>15918</v>
      </c>
      <c r="AE853" t="s">
        <v>15919</v>
      </c>
      <c r="AF853" t="s">
        <v>74</v>
      </c>
      <c r="AG853">
        <v>36</v>
      </c>
      <c r="AH853">
        <v>8</v>
      </c>
      <c r="AI853">
        <v>8</v>
      </c>
      <c r="AJ853">
        <v>1</v>
      </c>
      <c r="AK853">
        <v>32</v>
      </c>
      <c r="AL853" t="s">
        <v>224</v>
      </c>
      <c r="AM853" t="s">
        <v>576</v>
      </c>
      <c r="AN853" t="s">
        <v>577</v>
      </c>
      <c r="AO853" t="s">
        <v>779</v>
      </c>
      <c r="AP853" t="s">
        <v>780</v>
      </c>
      <c r="AQ853" t="s">
        <v>74</v>
      </c>
      <c r="AR853" t="s">
        <v>781</v>
      </c>
      <c r="AS853" t="s">
        <v>782</v>
      </c>
      <c r="AT853" t="s">
        <v>14830</v>
      </c>
      <c r="AU853">
        <v>2014</v>
      </c>
      <c r="AV853">
        <v>37</v>
      </c>
      <c r="AW853">
        <v>5</v>
      </c>
      <c r="AX853" t="s">
        <v>74</v>
      </c>
      <c r="AY853" t="s">
        <v>74</v>
      </c>
      <c r="AZ853" t="s">
        <v>74</v>
      </c>
      <c r="BA853" t="s">
        <v>74</v>
      </c>
      <c r="BB853">
        <v>685</v>
      </c>
      <c r="BC853">
        <v>695</v>
      </c>
      <c r="BD853" t="s">
        <v>74</v>
      </c>
      <c r="BE853" t="s">
        <v>15920</v>
      </c>
      <c r="BF853" t="str">
        <f>HYPERLINK("http://dx.doi.org/10.1007/s00300-014-1469-y","http://dx.doi.org/10.1007/s00300-014-1469-y")</f>
        <v>http://dx.doi.org/10.1007/s00300-014-1469-y</v>
      </c>
      <c r="BG853" t="s">
        <v>74</v>
      </c>
      <c r="BH853" t="s">
        <v>74</v>
      </c>
      <c r="BI853">
        <v>11</v>
      </c>
      <c r="BJ853" t="s">
        <v>784</v>
      </c>
      <c r="BK853" t="s">
        <v>102</v>
      </c>
      <c r="BL853" t="s">
        <v>785</v>
      </c>
      <c r="BM853" t="s">
        <v>15903</v>
      </c>
      <c r="BN853" t="s">
        <v>74</v>
      </c>
      <c r="BO853" t="s">
        <v>74</v>
      </c>
      <c r="BP853" t="s">
        <v>74</v>
      </c>
      <c r="BQ853" t="s">
        <v>74</v>
      </c>
      <c r="BR853" t="s">
        <v>105</v>
      </c>
      <c r="BS853" t="s">
        <v>15921</v>
      </c>
      <c r="BT853" t="str">
        <f>HYPERLINK("https%3A%2F%2Fwww.webofscience.com%2Fwos%2Fwoscc%2Ffull-record%2FWOS:000334172600009","View Full Record in Web of Science")</f>
        <v>View Full Record in Web of Science</v>
      </c>
    </row>
    <row r="854" spans="1:72" x14ac:dyDescent="0.15">
      <c r="A854" t="s">
        <v>72</v>
      </c>
      <c r="B854" t="s">
        <v>15922</v>
      </c>
      <c r="C854" t="s">
        <v>74</v>
      </c>
      <c r="D854" t="s">
        <v>74</v>
      </c>
      <c r="E854" t="s">
        <v>74</v>
      </c>
      <c r="F854" t="s">
        <v>15923</v>
      </c>
      <c r="G854" t="s">
        <v>74</v>
      </c>
      <c r="H854" t="s">
        <v>74</v>
      </c>
      <c r="I854" t="s">
        <v>15924</v>
      </c>
      <c r="J854" t="s">
        <v>765</v>
      </c>
      <c r="K854" t="s">
        <v>74</v>
      </c>
      <c r="L854" t="s">
        <v>74</v>
      </c>
      <c r="M854" t="s">
        <v>78</v>
      </c>
      <c r="N854" t="s">
        <v>79</v>
      </c>
      <c r="O854" t="s">
        <v>74</v>
      </c>
      <c r="P854" t="s">
        <v>74</v>
      </c>
      <c r="Q854" t="s">
        <v>74</v>
      </c>
      <c r="R854" t="s">
        <v>74</v>
      </c>
      <c r="S854" t="s">
        <v>74</v>
      </c>
      <c r="T854" t="s">
        <v>15925</v>
      </c>
      <c r="U854" t="s">
        <v>15926</v>
      </c>
      <c r="V854" t="s">
        <v>15927</v>
      </c>
      <c r="W854" t="s">
        <v>15928</v>
      </c>
      <c r="X854" t="s">
        <v>5848</v>
      </c>
      <c r="Y854" t="s">
        <v>15929</v>
      </c>
      <c r="Z854" t="s">
        <v>5850</v>
      </c>
      <c r="AA854" t="s">
        <v>74</v>
      </c>
      <c r="AB854" t="s">
        <v>15930</v>
      </c>
      <c r="AC854" t="s">
        <v>15931</v>
      </c>
      <c r="AD854" t="s">
        <v>15931</v>
      </c>
      <c r="AE854" t="s">
        <v>15932</v>
      </c>
      <c r="AF854" t="s">
        <v>74</v>
      </c>
      <c r="AG854">
        <v>38</v>
      </c>
      <c r="AH854">
        <v>16</v>
      </c>
      <c r="AI854">
        <v>17</v>
      </c>
      <c r="AJ854">
        <v>0</v>
      </c>
      <c r="AK854">
        <v>10</v>
      </c>
      <c r="AL854" t="s">
        <v>224</v>
      </c>
      <c r="AM854" t="s">
        <v>576</v>
      </c>
      <c r="AN854" t="s">
        <v>778</v>
      </c>
      <c r="AO854" t="s">
        <v>779</v>
      </c>
      <c r="AP854" t="s">
        <v>780</v>
      </c>
      <c r="AQ854" t="s">
        <v>74</v>
      </c>
      <c r="AR854" t="s">
        <v>781</v>
      </c>
      <c r="AS854" t="s">
        <v>782</v>
      </c>
      <c r="AT854" t="s">
        <v>14830</v>
      </c>
      <c r="AU854">
        <v>2014</v>
      </c>
      <c r="AV854">
        <v>37</v>
      </c>
      <c r="AW854">
        <v>5</v>
      </c>
      <c r="AX854" t="s">
        <v>74</v>
      </c>
      <c r="AY854" t="s">
        <v>74</v>
      </c>
      <c r="AZ854" t="s">
        <v>74</v>
      </c>
      <c r="BA854" t="s">
        <v>74</v>
      </c>
      <c r="BB854">
        <v>727</v>
      </c>
      <c r="BC854">
        <v>735</v>
      </c>
      <c r="BD854" t="s">
        <v>74</v>
      </c>
      <c r="BE854" t="s">
        <v>15933</v>
      </c>
      <c r="BF854" t="str">
        <f>HYPERLINK("http://dx.doi.org/10.1007/s00300-014-1473-2","http://dx.doi.org/10.1007/s00300-014-1473-2")</f>
        <v>http://dx.doi.org/10.1007/s00300-014-1473-2</v>
      </c>
      <c r="BG854" t="s">
        <v>74</v>
      </c>
      <c r="BH854" t="s">
        <v>74</v>
      </c>
      <c r="BI854">
        <v>9</v>
      </c>
      <c r="BJ854" t="s">
        <v>784</v>
      </c>
      <c r="BK854" t="s">
        <v>102</v>
      </c>
      <c r="BL854" t="s">
        <v>785</v>
      </c>
      <c r="BM854" t="s">
        <v>15903</v>
      </c>
      <c r="BN854" t="s">
        <v>74</v>
      </c>
      <c r="BO854" t="s">
        <v>74</v>
      </c>
      <c r="BP854" t="s">
        <v>74</v>
      </c>
      <c r="BQ854" t="s">
        <v>74</v>
      </c>
      <c r="BR854" t="s">
        <v>105</v>
      </c>
      <c r="BS854" t="s">
        <v>15934</v>
      </c>
      <c r="BT854" t="str">
        <f>HYPERLINK("https%3A%2F%2Fwww.webofscience.com%2Fwos%2Fwoscc%2Ffull-record%2FWOS:000334172600013","View Full Record in Web of Science")</f>
        <v>View Full Record in Web of Science</v>
      </c>
    </row>
    <row r="855" spans="1:72" x14ac:dyDescent="0.15">
      <c r="A855" t="s">
        <v>72</v>
      </c>
      <c r="B855" t="s">
        <v>15935</v>
      </c>
      <c r="C855" t="s">
        <v>74</v>
      </c>
      <c r="D855" t="s">
        <v>74</v>
      </c>
      <c r="E855" t="s">
        <v>74</v>
      </c>
      <c r="F855" t="s">
        <v>15936</v>
      </c>
      <c r="G855" t="s">
        <v>74</v>
      </c>
      <c r="H855" t="s">
        <v>74</v>
      </c>
      <c r="I855" t="s">
        <v>15937</v>
      </c>
      <c r="J855" t="s">
        <v>15938</v>
      </c>
      <c r="K855" t="s">
        <v>74</v>
      </c>
      <c r="L855" t="s">
        <v>74</v>
      </c>
      <c r="M855" t="s">
        <v>78</v>
      </c>
      <c r="N855" t="s">
        <v>79</v>
      </c>
      <c r="O855" t="s">
        <v>74</v>
      </c>
      <c r="P855" t="s">
        <v>74</v>
      </c>
      <c r="Q855" t="s">
        <v>74</v>
      </c>
      <c r="R855" t="s">
        <v>74</v>
      </c>
      <c r="S855" t="s">
        <v>74</v>
      </c>
      <c r="T855" t="s">
        <v>15939</v>
      </c>
      <c r="U855" t="s">
        <v>15940</v>
      </c>
      <c r="V855" t="s">
        <v>15941</v>
      </c>
      <c r="W855" t="s">
        <v>15942</v>
      </c>
      <c r="X855" t="s">
        <v>15943</v>
      </c>
      <c r="Y855" t="s">
        <v>15944</v>
      </c>
      <c r="Z855" t="s">
        <v>15945</v>
      </c>
      <c r="AA855" t="s">
        <v>15946</v>
      </c>
      <c r="AB855" t="s">
        <v>74</v>
      </c>
      <c r="AC855" t="s">
        <v>15947</v>
      </c>
      <c r="AD855" t="s">
        <v>15948</v>
      </c>
      <c r="AE855" t="s">
        <v>15949</v>
      </c>
      <c r="AF855" t="s">
        <v>74</v>
      </c>
      <c r="AG855">
        <v>42</v>
      </c>
      <c r="AH855">
        <v>22</v>
      </c>
      <c r="AI855">
        <v>24</v>
      </c>
      <c r="AJ855">
        <v>1</v>
      </c>
      <c r="AK855">
        <v>86</v>
      </c>
      <c r="AL855" t="s">
        <v>171</v>
      </c>
      <c r="AM855" t="s">
        <v>93</v>
      </c>
      <c r="AN855" t="s">
        <v>94</v>
      </c>
      <c r="AO855" t="s">
        <v>15950</v>
      </c>
      <c r="AP855" t="s">
        <v>15951</v>
      </c>
      <c r="AQ855" t="s">
        <v>74</v>
      </c>
      <c r="AR855" t="s">
        <v>15952</v>
      </c>
      <c r="AS855" t="s">
        <v>15953</v>
      </c>
      <c r="AT855" t="s">
        <v>14830</v>
      </c>
      <c r="AU855">
        <v>2014</v>
      </c>
      <c r="AV855">
        <v>39</v>
      </c>
      <c r="AW855">
        <v>3</v>
      </c>
      <c r="AX855" t="s">
        <v>74</v>
      </c>
      <c r="AY855" t="s">
        <v>74</v>
      </c>
      <c r="AZ855" t="s">
        <v>74</v>
      </c>
      <c r="BA855" t="s">
        <v>74</v>
      </c>
      <c r="BB855">
        <v>288</v>
      </c>
      <c r="BC855">
        <v>303</v>
      </c>
      <c r="BD855" t="s">
        <v>74</v>
      </c>
      <c r="BE855" t="s">
        <v>15954</v>
      </c>
      <c r="BF855" t="str">
        <f>HYPERLINK("http://dx.doi.org/10.1111/aec.12078","http://dx.doi.org/10.1111/aec.12078")</f>
        <v>http://dx.doi.org/10.1111/aec.12078</v>
      </c>
      <c r="BG855" t="s">
        <v>74</v>
      </c>
      <c r="BH855" t="s">
        <v>74</v>
      </c>
      <c r="BI855">
        <v>16</v>
      </c>
      <c r="BJ855" t="s">
        <v>5627</v>
      </c>
      <c r="BK855" t="s">
        <v>102</v>
      </c>
      <c r="BL855" t="s">
        <v>2553</v>
      </c>
      <c r="BM855" t="s">
        <v>15955</v>
      </c>
      <c r="BN855" t="s">
        <v>74</v>
      </c>
      <c r="BO855" t="s">
        <v>74</v>
      </c>
      <c r="BP855" t="s">
        <v>74</v>
      </c>
      <c r="BQ855" t="s">
        <v>74</v>
      </c>
      <c r="BR855" t="s">
        <v>105</v>
      </c>
      <c r="BS855" t="s">
        <v>15956</v>
      </c>
      <c r="BT855" t="str">
        <f>HYPERLINK("https%3A%2F%2Fwww.webofscience.com%2Fwos%2Fwoscc%2Ffull-record%2FWOS:000334019500004","View Full Record in Web of Science")</f>
        <v>View Full Record in Web of Science</v>
      </c>
    </row>
    <row r="856" spans="1:72" x14ac:dyDescent="0.15">
      <c r="A856" t="s">
        <v>72</v>
      </c>
      <c r="B856" t="s">
        <v>15957</v>
      </c>
      <c r="C856" t="s">
        <v>74</v>
      </c>
      <c r="D856" t="s">
        <v>74</v>
      </c>
      <c r="E856" t="s">
        <v>74</v>
      </c>
      <c r="F856" t="s">
        <v>15958</v>
      </c>
      <c r="G856" t="s">
        <v>74</v>
      </c>
      <c r="H856" t="s">
        <v>74</v>
      </c>
      <c r="I856" t="s">
        <v>15959</v>
      </c>
      <c r="J856" t="s">
        <v>15960</v>
      </c>
      <c r="K856" t="s">
        <v>74</v>
      </c>
      <c r="L856" t="s">
        <v>74</v>
      </c>
      <c r="M856" t="s">
        <v>78</v>
      </c>
      <c r="N856" t="s">
        <v>79</v>
      </c>
      <c r="O856" t="s">
        <v>74</v>
      </c>
      <c r="P856" t="s">
        <v>74</v>
      </c>
      <c r="Q856" t="s">
        <v>74</v>
      </c>
      <c r="R856" t="s">
        <v>74</v>
      </c>
      <c r="S856" t="s">
        <v>74</v>
      </c>
      <c r="T856" t="s">
        <v>15961</v>
      </c>
      <c r="U856" t="s">
        <v>15962</v>
      </c>
      <c r="V856" t="s">
        <v>15963</v>
      </c>
      <c r="W856" t="s">
        <v>15964</v>
      </c>
      <c r="X856" t="s">
        <v>15965</v>
      </c>
      <c r="Y856" t="s">
        <v>15966</v>
      </c>
      <c r="Z856" t="s">
        <v>15967</v>
      </c>
      <c r="AA856" t="s">
        <v>74</v>
      </c>
      <c r="AB856" t="s">
        <v>74</v>
      </c>
      <c r="AC856" t="s">
        <v>15968</v>
      </c>
      <c r="AD856" t="s">
        <v>15969</v>
      </c>
      <c r="AE856" t="s">
        <v>15970</v>
      </c>
      <c r="AF856" t="s">
        <v>74</v>
      </c>
      <c r="AG856">
        <v>46</v>
      </c>
      <c r="AH856">
        <v>24</v>
      </c>
      <c r="AI856">
        <v>26</v>
      </c>
      <c r="AJ856">
        <v>1</v>
      </c>
      <c r="AK856">
        <v>53</v>
      </c>
      <c r="AL856" t="s">
        <v>753</v>
      </c>
      <c r="AM856" t="s">
        <v>124</v>
      </c>
      <c r="AN856" t="s">
        <v>754</v>
      </c>
      <c r="AO856" t="s">
        <v>15971</v>
      </c>
      <c r="AP856" t="s">
        <v>15972</v>
      </c>
      <c r="AQ856" t="s">
        <v>74</v>
      </c>
      <c r="AR856" t="s">
        <v>15973</v>
      </c>
      <c r="AS856" t="s">
        <v>15974</v>
      </c>
      <c r="AT856" t="s">
        <v>14830</v>
      </c>
      <c r="AU856">
        <v>2014</v>
      </c>
      <c r="AV856">
        <v>114</v>
      </c>
      <c r="AW856" t="s">
        <v>74</v>
      </c>
      <c r="AX856" t="s">
        <v>74</v>
      </c>
      <c r="AY856" t="s">
        <v>74</v>
      </c>
      <c r="AZ856" t="s">
        <v>74</v>
      </c>
      <c r="BA856" t="s">
        <v>74</v>
      </c>
      <c r="BB856">
        <v>247</v>
      </c>
      <c r="BC856">
        <v>260</v>
      </c>
      <c r="BD856" t="s">
        <v>74</v>
      </c>
      <c r="BE856" t="s">
        <v>15975</v>
      </c>
      <c r="BF856" t="str">
        <f>HYPERLINK("http://dx.doi.org/10.1016/j.microc.2014.01.010","http://dx.doi.org/10.1016/j.microc.2014.01.010")</f>
        <v>http://dx.doi.org/10.1016/j.microc.2014.01.010</v>
      </c>
      <c r="BG856" t="s">
        <v>74</v>
      </c>
      <c r="BH856" t="s">
        <v>74</v>
      </c>
      <c r="BI856">
        <v>14</v>
      </c>
      <c r="BJ856" t="s">
        <v>15976</v>
      </c>
      <c r="BK856" t="s">
        <v>102</v>
      </c>
      <c r="BL856" t="s">
        <v>14413</v>
      </c>
      <c r="BM856" t="s">
        <v>15977</v>
      </c>
      <c r="BN856" t="s">
        <v>74</v>
      </c>
      <c r="BO856" t="s">
        <v>74</v>
      </c>
      <c r="BP856" t="s">
        <v>74</v>
      </c>
      <c r="BQ856" t="s">
        <v>74</v>
      </c>
      <c r="BR856" t="s">
        <v>105</v>
      </c>
      <c r="BS856" t="s">
        <v>15978</v>
      </c>
      <c r="BT856" t="str">
        <f>HYPERLINK("https%3A%2F%2Fwww.webofscience.com%2Fwos%2Fwoscc%2Ffull-record%2FWOS:000333495800034","View Full Record in Web of Science")</f>
        <v>View Full Record in Web of Science</v>
      </c>
    </row>
    <row r="857" spans="1:72" x14ac:dyDescent="0.15">
      <c r="A857" t="s">
        <v>72</v>
      </c>
      <c r="B857" t="s">
        <v>15979</v>
      </c>
      <c r="C857" t="s">
        <v>74</v>
      </c>
      <c r="D857" t="s">
        <v>74</v>
      </c>
      <c r="E857" t="s">
        <v>74</v>
      </c>
      <c r="F857" t="s">
        <v>15980</v>
      </c>
      <c r="G857" t="s">
        <v>74</v>
      </c>
      <c r="H857" t="s">
        <v>74</v>
      </c>
      <c r="I857" t="s">
        <v>15981</v>
      </c>
      <c r="J857" t="s">
        <v>14462</v>
      </c>
      <c r="K857" t="s">
        <v>74</v>
      </c>
      <c r="L857" t="s">
        <v>74</v>
      </c>
      <c r="M857" t="s">
        <v>78</v>
      </c>
      <c r="N857" t="s">
        <v>185</v>
      </c>
      <c r="O857" t="s">
        <v>74</v>
      </c>
      <c r="P857" t="s">
        <v>74</v>
      </c>
      <c r="Q857" t="s">
        <v>74</v>
      </c>
      <c r="R857" t="s">
        <v>74</v>
      </c>
      <c r="S857" t="s">
        <v>74</v>
      </c>
      <c r="T857" t="s">
        <v>15982</v>
      </c>
      <c r="U857" t="s">
        <v>15983</v>
      </c>
      <c r="V857" t="s">
        <v>15984</v>
      </c>
      <c r="W857" t="s">
        <v>15985</v>
      </c>
      <c r="X857" t="s">
        <v>15986</v>
      </c>
      <c r="Y857" t="s">
        <v>15987</v>
      </c>
      <c r="Z857" t="s">
        <v>15988</v>
      </c>
      <c r="AA857" t="s">
        <v>15989</v>
      </c>
      <c r="AB857" t="s">
        <v>15990</v>
      </c>
      <c r="AC857" t="s">
        <v>15991</v>
      </c>
      <c r="AD857" t="s">
        <v>15992</v>
      </c>
      <c r="AE857" t="s">
        <v>15993</v>
      </c>
      <c r="AF857" t="s">
        <v>74</v>
      </c>
      <c r="AG857">
        <v>96</v>
      </c>
      <c r="AH857">
        <v>72</v>
      </c>
      <c r="AI857">
        <v>73</v>
      </c>
      <c r="AJ857">
        <v>4</v>
      </c>
      <c r="AK857">
        <v>54</v>
      </c>
      <c r="AL857" t="s">
        <v>601</v>
      </c>
      <c r="AM857" t="s">
        <v>251</v>
      </c>
      <c r="AN857" t="s">
        <v>602</v>
      </c>
      <c r="AO857" t="s">
        <v>14475</v>
      </c>
      <c r="AP857" t="s">
        <v>14476</v>
      </c>
      <c r="AQ857" t="s">
        <v>74</v>
      </c>
      <c r="AR857" t="s">
        <v>14477</v>
      </c>
      <c r="AS857" t="s">
        <v>14478</v>
      </c>
      <c r="AT857" t="s">
        <v>15223</v>
      </c>
      <c r="AU857">
        <v>2014</v>
      </c>
      <c r="AV857">
        <v>53</v>
      </c>
      <c r="AW857">
        <v>9</v>
      </c>
      <c r="AX857" t="s">
        <v>74</v>
      </c>
      <c r="AY857" t="s">
        <v>74</v>
      </c>
      <c r="AZ857" t="s">
        <v>74</v>
      </c>
      <c r="BA857" t="s">
        <v>74</v>
      </c>
      <c r="BB857">
        <v>1265</v>
      </c>
      <c r="BC857">
        <v>1289</v>
      </c>
      <c r="BD857" t="s">
        <v>74</v>
      </c>
      <c r="BE857" t="s">
        <v>15994</v>
      </c>
      <c r="BF857" t="str">
        <f>HYPERLINK("http://dx.doi.org/10.1016/j.asr.2014.02.005","http://dx.doi.org/10.1016/j.asr.2014.02.005")</f>
        <v>http://dx.doi.org/10.1016/j.asr.2014.02.005</v>
      </c>
      <c r="BG857" t="s">
        <v>74</v>
      </c>
      <c r="BH857" t="s">
        <v>74</v>
      </c>
      <c r="BI857">
        <v>25</v>
      </c>
      <c r="BJ857" t="s">
        <v>14480</v>
      </c>
      <c r="BK857" t="s">
        <v>102</v>
      </c>
      <c r="BL857" t="s">
        <v>14481</v>
      </c>
      <c r="BM857" t="s">
        <v>15995</v>
      </c>
      <c r="BN857" t="s">
        <v>74</v>
      </c>
      <c r="BO857" t="s">
        <v>74</v>
      </c>
      <c r="BP857" t="s">
        <v>74</v>
      </c>
      <c r="BQ857" t="s">
        <v>74</v>
      </c>
      <c r="BR857" t="s">
        <v>105</v>
      </c>
      <c r="BS857" t="s">
        <v>15996</v>
      </c>
      <c r="BT857" t="str">
        <f>HYPERLINK("https%3A%2F%2Fwww.webofscience.com%2Fwos%2Fwoscc%2Ffull-record%2FWOS:000335105800001","View Full Record in Web of Science")</f>
        <v>View Full Record in Web of Science</v>
      </c>
    </row>
    <row r="858" spans="1:72" x14ac:dyDescent="0.15">
      <c r="A858" t="s">
        <v>72</v>
      </c>
      <c r="B858" t="s">
        <v>15997</v>
      </c>
      <c r="C858" t="s">
        <v>74</v>
      </c>
      <c r="D858" t="s">
        <v>74</v>
      </c>
      <c r="E858" t="s">
        <v>74</v>
      </c>
      <c r="F858" t="s">
        <v>15998</v>
      </c>
      <c r="G858" t="s">
        <v>74</v>
      </c>
      <c r="H858" t="s">
        <v>74</v>
      </c>
      <c r="I858" t="s">
        <v>15999</v>
      </c>
      <c r="J858" t="s">
        <v>5255</v>
      </c>
      <c r="K858" t="s">
        <v>74</v>
      </c>
      <c r="L858" t="s">
        <v>74</v>
      </c>
      <c r="M858" t="s">
        <v>78</v>
      </c>
      <c r="N858" t="s">
        <v>79</v>
      </c>
      <c r="O858" t="s">
        <v>74</v>
      </c>
      <c r="P858" t="s">
        <v>74</v>
      </c>
      <c r="Q858" t="s">
        <v>74</v>
      </c>
      <c r="R858" t="s">
        <v>74</v>
      </c>
      <c r="S858" t="s">
        <v>74</v>
      </c>
      <c r="T858" t="s">
        <v>74</v>
      </c>
      <c r="U858" t="s">
        <v>16000</v>
      </c>
      <c r="V858" t="s">
        <v>16001</v>
      </c>
      <c r="W858" t="s">
        <v>16002</v>
      </c>
      <c r="X858" t="s">
        <v>16003</v>
      </c>
      <c r="Y858" t="s">
        <v>16004</v>
      </c>
      <c r="Z858" t="s">
        <v>16005</v>
      </c>
      <c r="AA858" t="s">
        <v>16006</v>
      </c>
      <c r="AB858" t="s">
        <v>16007</v>
      </c>
      <c r="AC858" t="s">
        <v>74</v>
      </c>
      <c r="AD858" t="s">
        <v>74</v>
      </c>
      <c r="AE858" t="s">
        <v>74</v>
      </c>
      <c r="AF858" t="s">
        <v>74</v>
      </c>
      <c r="AG858">
        <v>55</v>
      </c>
      <c r="AH858">
        <v>51</v>
      </c>
      <c r="AI858">
        <v>66</v>
      </c>
      <c r="AJ858">
        <v>14</v>
      </c>
      <c r="AK858">
        <v>138</v>
      </c>
      <c r="AL858" t="s">
        <v>1764</v>
      </c>
      <c r="AM858" t="s">
        <v>1765</v>
      </c>
      <c r="AN858" t="s">
        <v>3608</v>
      </c>
      <c r="AO858" t="s">
        <v>5268</v>
      </c>
      <c r="AP858" t="s">
        <v>5269</v>
      </c>
      <c r="AQ858" t="s">
        <v>74</v>
      </c>
      <c r="AR858" t="s">
        <v>5270</v>
      </c>
      <c r="AS858" t="s">
        <v>5271</v>
      </c>
      <c r="AT858" t="s">
        <v>14830</v>
      </c>
      <c r="AU858">
        <v>2014</v>
      </c>
      <c r="AV858">
        <v>46</v>
      </c>
      <c r="AW858">
        <v>2</v>
      </c>
      <c r="AX858" t="s">
        <v>74</v>
      </c>
      <c r="AY858" t="s">
        <v>74</v>
      </c>
      <c r="AZ858" t="s">
        <v>74</v>
      </c>
      <c r="BA858" t="s">
        <v>74</v>
      </c>
      <c r="BB858">
        <v>308</v>
      </c>
      <c r="BC858">
        <v>326</v>
      </c>
      <c r="BD858" t="s">
        <v>74</v>
      </c>
      <c r="BE858" t="s">
        <v>16008</v>
      </c>
      <c r="BF858" t="str">
        <f>HYPERLINK("http://dx.doi.org/10.1657/1938-4246-46.2.308","http://dx.doi.org/10.1657/1938-4246-46.2.308")</f>
        <v>http://dx.doi.org/10.1657/1938-4246-46.2.308</v>
      </c>
      <c r="BG858" t="s">
        <v>74</v>
      </c>
      <c r="BH858" t="s">
        <v>74</v>
      </c>
      <c r="BI858">
        <v>19</v>
      </c>
      <c r="BJ858" t="s">
        <v>5273</v>
      </c>
      <c r="BK858" t="s">
        <v>102</v>
      </c>
      <c r="BL858" t="s">
        <v>103</v>
      </c>
      <c r="BM858" t="s">
        <v>15238</v>
      </c>
      <c r="BN858" t="s">
        <v>74</v>
      </c>
      <c r="BO858" t="s">
        <v>1274</v>
      </c>
      <c r="BP858" t="s">
        <v>74</v>
      </c>
      <c r="BQ858" t="s">
        <v>74</v>
      </c>
      <c r="BR858" t="s">
        <v>105</v>
      </c>
      <c r="BS858" t="s">
        <v>16009</v>
      </c>
      <c r="BT858" t="str">
        <f>HYPERLINK("https%3A%2F%2Fwww.webofscience.com%2Fwos%2Fwoscc%2Ffull-record%2FWOS:000336778500002","View Full Record in Web of Science")</f>
        <v>View Full Record in Web of Science</v>
      </c>
    </row>
    <row r="859" spans="1:72" x14ac:dyDescent="0.15">
      <c r="A859" t="s">
        <v>72</v>
      </c>
      <c r="B859" t="s">
        <v>16010</v>
      </c>
      <c r="C859" t="s">
        <v>74</v>
      </c>
      <c r="D859" t="s">
        <v>74</v>
      </c>
      <c r="E859" t="s">
        <v>74</v>
      </c>
      <c r="F859" t="s">
        <v>16011</v>
      </c>
      <c r="G859" t="s">
        <v>74</v>
      </c>
      <c r="H859" t="s">
        <v>74</v>
      </c>
      <c r="I859" t="s">
        <v>16012</v>
      </c>
      <c r="J859" t="s">
        <v>5255</v>
      </c>
      <c r="K859" t="s">
        <v>74</v>
      </c>
      <c r="L859" t="s">
        <v>74</v>
      </c>
      <c r="M859" t="s">
        <v>78</v>
      </c>
      <c r="N859" t="s">
        <v>79</v>
      </c>
      <c r="O859" t="s">
        <v>74</v>
      </c>
      <c r="P859" t="s">
        <v>74</v>
      </c>
      <c r="Q859" t="s">
        <v>74</v>
      </c>
      <c r="R859" t="s">
        <v>74</v>
      </c>
      <c r="S859" t="s">
        <v>74</v>
      </c>
      <c r="T859" t="s">
        <v>74</v>
      </c>
      <c r="U859" t="s">
        <v>16013</v>
      </c>
      <c r="V859" t="s">
        <v>16014</v>
      </c>
      <c r="W859" t="s">
        <v>16015</v>
      </c>
      <c r="X859" t="s">
        <v>16016</v>
      </c>
      <c r="Y859" t="s">
        <v>16017</v>
      </c>
      <c r="Z859" t="s">
        <v>16018</v>
      </c>
      <c r="AA859" t="s">
        <v>74</v>
      </c>
      <c r="AB859" t="s">
        <v>74</v>
      </c>
      <c r="AC859" t="s">
        <v>16019</v>
      </c>
      <c r="AD859" t="s">
        <v>16019</v>
      </c>
      <c r="AE859" t="s">
        <v>16020</v>
      </c>
      <c r="AF859" t="s">
        <v>74</v>
      </c>
      <c r="AG859">
        <v>53</v>
      </c>
      <c r="AH859">
        <v>15</v>
      </c>
      <c r="AI859">
        <v>16</v>
      </c>
      <c r="AJ859">
        <v>1</v>
      </c>
      <c r="AK859">
        <v>30</v>
      </c>
      <c r="AL859" t="s">
        <v>1764</v>
      </c>
      <c r="AM859" t="s">
        <v>1765</v>
      </c>
      <c r="AN859" t="s">
        <v>3608</v>
      </c>
      <c r="AO859" t="s">
        <v>5268</v>
      </c>
      <c r="AP859" t="s">
        <v>5269</v>
      </c>
      <c r="AQ859" t="s">
        <v>74</v>
      </c>
      <c r="AR859" t="s">
        <v>5270</v>
      </c>
      <c r="AS859" t="s">
        <v>5271</v>
      </c>
      <c r="AT859" t="s">
        <v>14830</v>
      </c>
      <c r="AU859">
        <v>2014</v>
      </c>
      <c r="AV859">
        <v>46</v>
      </c>
      <c r="AW859">
        <v>2</v>
      </c>
      <c r="AX859" t="s">
        <v>74</v>
      </c>
      <c r="AY859" t="s">
        <v>74</v>
      </c>
      <c r="AZ859" t="s">
        <v>74</v>
      </c>
      <c r="BA859" t="s">
        <v>74</v>
      </c>
      <c r="BB859">
        <v>327</v>
      </c>
      <c r="BC859">
        <v>332</v>
      </c>
      <c r="BD859" t="s">
        <v>74</v>
      </c>
      <c r="BE859" t="s">
        <v>16021</v>
      </c>
      <c r="BF859" t="str">
        <f>HYPERLINK("http://dx.doi.org/10.1657/1938-4246-46.2.327","http://dx.doi.org/10.1657/1938-4246-46.2.327")</f>
        <v>http://dx.doi.org/10.1657/1938-4246-46.2.327</v>
      </c>
      <c r="BG859" t="s">
        <v>74</v>
      </c>
      <c r="BH859" t="s">
        <v>74</v>
      </c>
      <c r="BI859">
        <v>6</v>
      </c>
      <c r="BJ859" t="s">
        <v>5273</v>
      </c>
      <c r="BK859" t="s">
        <v>102</v>
      </c>
      <c r="BL859" t="s">
        <v>103</v>
      </c>
      <c r="BM859" t="s">
        <v>15238</v>
      </c>
      <c r="BN859" t="s">
        <v>74</v>
      </c>
      <c r="BO859" t="s">
        <v>1053</v>
      </c>
      <c r="BP859" t="s">
        <v>74</v>
      </c>
      <c r="BQ859" t="s">
        <v>74</v>
      </c>
      <c r="BR859" t="s">
        <v>105</v>
      </c>
      <c r="BS859" t="s">
        <v>16022</v>
      </c>
      <c r="BT859" t="str">
        <f>HYPERLINK("https%3A%2F%2Fwww.webofscience.com%2Fwos%2Fwoscc%2Ffull-record%2FWOS:000336778500003","View Full Record in Web of Science")</f>
        <v>View Full Record in Web of Science</v>
      </c>
    </row>
    <row r="860" spans="1:72" x14ac:dyDescent="0.15">
      <c r="A860" t="s">
        <v>72</v>
      </c>
      <c r="B860" t="s">
        <v>16023</v>
      </c>
      <c r="C860" t="s">
        <v>74</v>
      </c>
      <c r="D860" t="s">
        <v>74</v>
      </c>
      <c r="E860" t="s">
        <v>74</v>
      </c>
      <c r="F860" t="s">
        <v>16024</v>
      </c>
      <c r="G860" t="s">
        <v>74</v>
      </c>
      <c r="H860" t="s">
        <v>74</v>
      </c>
      <c r="I860" t="s">
        <v>16025</v>
      </c>
      <c r="J860" t="s">
        <v>5255</v>
      </c>
      <c r="K860" t="s">
        <v>74</v>
      </c>
      <c r="L860" t="s">
        <v>74</v>
      </c>
      <c r="M860" t="s">
        <v>78</v>
      </c>
      <c r="N860" t="s">
        <v>79</v>
      </c>
      <c r="O860" t="s">
        <v>74</v>
      </c>
      <c r="P860" t="s">
        <v>74</v>
      </c>
      <c r="Q860" t="s">
        <v>74</v>
      </c>
      <c r="R860" t="s">
        <v>74</v>
      </c>
      <c r="S860" t="s">
        <v>74</v>
      </c>
      <c r="T860" t="s">
        <v>74</v>
      </c>
      <c r="U860" t="s">
        <v>16026</v>
      </c>
      <c r="V860" t="s">
        <v>16027</v>
      </c>
      <c r="W860" t="s">
        <v>16028</v>
      </c>
      <c r="X860" t="s">
        <v>16029</v>
      </c>
      <c r="Y860" t="s">
        <v>16030</v>
      </c>
      <c r="Z860" t="s">
        <v>16031</v>
      </c>
      <c r="AA860" t="s">
        <v>16032</v>
      </c>
      <c r="AB860" t="s">
        <v>16033</v>
      </c>
      <c r="AC860" t="s">
        <v>16034</v>
      </c>
      <c r="AD860" t="s">
        <v>16035</v>
      </c>
      <c r="AE860" t="s">
        <v>16036</v>
      </c>
      <c r="AF860" t="s">
        <v>74</v>
      </c>
      <c r="AG860">
        <v>56</v>
      </c>
      <c r="AH860">
        <v>34</v>
      </c>
      <c r="AI860">
        <v>35</v>
      </c>
      <c r="AJ860">
        <v>0</v>
      </c>
      <c r="AK860">
        <v>24</v>
      </c>
      <c r="AL860" t="s">
        <v>1764</v>
      </c>
      <c r="AM860" t="s">
        <v>1765</v>
      </c>
      <c r="AN860" t="s">
        <v>3608</v>
      </c>
      <c r="AO860" t="s">
        <v>5268</v>
      </c>
      <c r="AP860" t="s">
        <v>5269</v>
      </c>
      <c r="AQ860" t="s">
        <v>74</v>
      </c>
      <c r="AR860" t="s">
        <v>5270</v>
      </c>
      <c r="AS860" t="s">
        <v>5271</v>
      </c>
      <c r="AT860" t="s">
        <v>14830</v>
      </c>
      <c r="AU860">
        <v>2014</v>
      </c>
      <c r="AV860">
        <v>46</v>
      </c>
      <c r="AW860">
        <v>2</v>
      </c>
      <c r="AX860" t="s">
        <v>74</v>
      </c>
      <c r="AY860" t="s">
        <v>74</v>
      </c>
      <c r="AZ860" t="s">
        <v>74</v>
      </c>
      <c r="BA860" t="s">
        <v>74</v>
      </c>
      <c r="BB860">
        <v>394</v>
      </c>
      <c r="BC860">
        <v>406</v>
      </c>
      <c r="BD860" t="s">
        <v>74</v>
      </c>
      <c r="BE860" t="s">
        <v>16037</v>
      </c>
      <c r="BF860" t="str">
        <f>HYPERLINK("http://dx.doi.org/10.1657/1938-4246-46.2.394","http://dx.doi.org/10.1657/1938-4246-46.2.394")</f>
        <v>http://dx.doi.org/10.1657/1938-4246-46.2.394</v>
      </c>
      <c r="BG860" t="s">
        <v>74</v>
      </c>
      <c r="BH860" t="s">
        <v>74</v>
      </c>
      <c r="BI860">
        <v>13</v>
      </c>
      <c r="BJ860" t="s">
        <v>5273</v>
      </c>
      <c r="BK860" t="s">
        <v>102</v>
      </c>
      <c r="BL860" t="s">
        <v>103</v>
      </c>
      <c r="BM860" t="s">
        <v>15238</v>
      </c>
      <c r="BN860" t="s">
        <v>74</v>
      </c>
      <c r="BO860" t="s">
        <v>7716</v>
      </c>
      <c r="BP860" t="s">
        <v>74</v>
      </c>
      <c r="BQ860" t="s">
        <v>74</v>
      </c>
      <c r="BR860" t="s">
        <v>105</v>
      </c>
      <c r="BS860" t="s">
        <v>16038</v>
      </c>
      <c r="BT860" t="str">
        <f>HYPERLINK("https%3A%2F%2Fwww.webofscience.com%2Fwos%2Fwoscc%2Ffull-record%2FWOS:000336778500010","View Full Record in Web of Science")</f>
        <v>View Full Record in Web of Science</v>
      </c>
    </row>
    <row r="861" spans="1:72" x14ac:dyDescent="0.15">
      <c r="A861" t="s">
        <v>72</v>
      </c>
      <c r="B861" t="s">
        <v>16039</v>
      </c>
      <c r="C861" t="s">
        <v>74</v>
      </c>
      <c r="D861" t="s">
        <v>74</v>
      </c>
      <c r="E861" t="s">
        <v>74</v>
      </c>
      <c r="F861" t="s">
        <v>16040</v>
      </c>
      <c r="G861" t="s">
        <v>74</v>
      </c>
      <c r="H861" t="s">
        <v>74</v>
      </c>
      <c r="I861" t="s">
        <v>16041</v>
      </c>
      <c r="J861" t="s">
        <v>5255</v>
      </c>
      <c r="K861" t="s">
        <v>74</v>
      </c>
      <c r="L861" t="s">
        <v>74</v>
      </c>
      <c r="M861" t="s">
        <v>78</v>
      </c>
      <c r="N861" t="s">
        <v>79</v>
      </c>
      <c r="O861" t="s">
        <v>74</v>
      </c>
      <c r="P861" t="s">
        <v>74</v>
      </c>
      <c r="Q861" t="s">
        <v>74</v>
      </c>
      <c r="R861" t="s">
        <v>74</v>
      </c>
      <c r="S861" t="s">
        <v>74</v>
      </c>
      <c r="T861" t="s">
        <v>74</v>
      </c>
      <c r="U861" t="s">
        <v>16042</v>
      </c>
      <c r="V861" t="s">
        <v>16043</v>
      </c>
      <c r="W861" t="s">
        <v>16044</v>
      </c>
      <c r="X861" t="s">
        <v>16045</v>
      </c>
      <c r="Y861" t="s">
        <v>16046</v>
      </c>
      <c r="Z861" t="s">
        <v>16047</v>
      </c>
      <c r="AA861" t="s">
        <v>16048</v>
      </c>
      <c r="AB861" t="s">
        <v>16049</v>
      </c>
      <c r="AC861" t="s">
        <v>16050</v>
      </c>
      <c r="AD861" t="s">
        <v>16051</v>
      </c>
      <c r="AE861" t="s">
        <v>16052</v>
      </c>
      <c r="AF861" t="s">
        <v>74</v>
      </c>
      <c r="AG861">
        <v>82</v>
      </c>
      <c r="AH861">
        <v>18</v>
      </c>
      <c r="AI861">
        <v>19</v>
      </c>
      <c r="AJ861">
        <v>1</v>
      </c>
      <c r="AK861">
        <v>37</v>
      </c>
      <c r="AL861" t="s">
        <v>1764</v>
      </c>
      <c r="AM861" t="s">
        <v>1765</v>
      </c>
      <c r="AN861" t="s">
        <v>3608</v>
      </c>
      <c r="AO861" t="s">
        <v>5268</v>
      </c>
      <c r="AP861" t="s">
        <v>5269</v>
      </c>
      <c r="AQ861" t="s">
        <v>74</v>
      </c>
      <c r="AR861" t="s">
        <v>5270</v>
      </c>
      <c r="AS861" t="s">
        <v>5271</v>
      </c>
      <c r="AT861" t="s">
        <v>14830</v>
      </c>
      <c r="AU861">
        <v>2014</v>
      </c>
      <c r="AV861">
        <v>46</v>
      </c>
      <c r="AW861">
        <v>2</v>
      </c>
      <c r="AX861" t="s">
        <v>74</v>
      </c>
      <c r="AY861" t="s">
        <v>74</v>
      </c>
      <c r="AZ861" t="s">
        <v>74</v>
      </c>
      <c r="BA861" t="s">
        <v>74</v>
      </c>
      <c r="BB861">
        <v>430</v>
      </c>
      <c r="BC861">
        <v>440</v>
      </c>
      <c r="BD861" t="s">
        <v>74</v>
      </c>
      <c r="BE861" t="s">
        <v>16053</v>
      </c>
      <c r="BF861" t="str">
        <f>HYPERLINK("http://dx.doi.org/10.1657/1938-4246-46.2.430","http://dx.doi.org/10.1657/1938-4246-46.2.430")</f>
        <v>http://dx.doi.org/10.1657/1938-4246-46.2.430</v>
      </c>
      <c r="BG861" t="s">
        <v>74</v>
      </c>
      <c r="BH861" t="s">
        <v>74</v>
      </c>
      <c r="BI861">
        <v>11</v>
      </c>
      <c r="BJ861" t="s">
        <v>5273</v>
      </c>
      <c r="BK861" t="s">
        <v>102</v>
      </c>
      <c r="BL861" t="s">
        <v>103</v>
      </c>
      <c r="BM861" t="s">
        <v>15238</v>
      </c>
      <c r="BN861" t="s">
        <v>74</v>
      </c>
      <c r="BO861" t="s">
        <v>1274</v>
      </c>
      <c r="BP861" t="s">
        <v>74</v>
      </c>
      <c r="BQ861" t="s">
        <v>74</v>
      </c>
      <c r="BR861" t="s">
        <v>105</v>
      </c>
      <c r="BS861" t="s">
        <v>16054</v>
      </c>
      <c r="BT861" t="str">
        <f>HYPERLINK("https%3A%2F%2Fwww.webofscience.com%2Fwos%2Fwoscc%2Ffull-record%2FWOS:000336778500013","View Full Record in Web of Science")</f>
        <v>View Full Record in Web of Science</v>
      </c>
    </row>
    <row r="862" spans="1:72" x14ac:dyDescent="0.15">
      <c r="A862" t="s">
        <v>72</v>
      </c>
      <c r="B862" t="s">
        <v>16055</v>
      </c>
      <c r="C862" t="s">
        <v>74</v>
      </c>
      <c r="D862" t="s">
        <v>74</v>
      </c>
      <c r="E862" t="s">
        <v>74</v>
      </c>
      <c r="F862" t="s">
        <v>16056</v>
      </c>
      <c r="G862" t="s">
        <v>74</v>
      </c>
      <c r="H862" t="s">
        <v>74</v>
      </c>
      <c r="I862" t="s">
        <v>16057</v>
      </c>
      <c r="J862" t="s">
        <v>5255</v>
      </c>
      <c r="K862" t="s">
        <v>74</v>
      </c>
      <c r="L862" t="s">
        <v>74</v>
      </c>
      <c r="M862" t="s">
        <v>78</v>
      </c>
      <c r="N862" t="s">
        <v>79</v>
      </c>
      <c r="O862" t="s">
        <v>74</v>
      </c>
      <c r="P862" t="s">
        <v>74</v>
      </c>
      <c r="Q862" t="s">
        <v>74</v>
      </c>
      <c r="R862" t="s">
        <v>74</v>
      </c>
      <c r="S862" t="s">
        <v>74</v>
      </c>
      <c r="T862" t="s">
        <v>74</v>
      </c>
      <c r="U862" t="s">
        <v>16058</v>
      </c>
      <c r="V862" t="s">
        <v>16059</v>
      </c>
      <c r="W862" t="s">
        <v>16060</v>
      </c>
      <c r="X862" t="s">
        <v>15368</v>
      </c>
      <c r="Y862" t="s">
        <v>16061</v>
      </c>
      <c r="Z862" t="s">
        <v>16062</v>
      </c>
      <c r="AA862" t="s">
        <v>16063</v>
      </c>
      <c r="AB862" t="s">
        <v>16064</v>
      </c>
      <c r="AC862" t="s">
        <v>16065</v>
      </c>
      <c r="AD862" t="s">
        <v>16066</v>
      </c>
      <c r="AE862" t="s">
        <v>16067</v>
      </c>
      <c r="AF862" t="s">
        <v>74</v>
      </c>
      <c r="AG862">
        <v>70</v>
      </c>
      <c r="AH862">
        <v>69</v>
      </c>
      <c r="AI862">
        <v>84</v>
      </c>
      <c r="AJ862">
        <v>5</v>
      </c>
      <c r="AK862">
        <v>54</v>
      </c>
      <c r="AL862" t="s">
        <v>1764</v>
      </c>
      <c r="AM862" t="s">
        <v>1765</v>
      </c>
      <c r="AN862" t="s">
        <v>3608</v>
      </c>
      <c r="AO862" t="s">
        <v>5268</v>
      </c>
      <c r="AP862" t="s">
        <v>5269</v>
      </c>
      <c r="AQ862" t="s">
        <v>74</v>
      </c>
      <c r="AR862" t="s">
        <v>5270</v>
      </c>
      <c r="AS862" t="s">
        <v>5271</v>
      </c>
      <c r="AT862" t="s">
        <v>14830</v>
      </c>
      <c r="AU862">
        <v>2014</v>
      </c>
      <c r="AV862">
        <v>46</v>
      </c>
      <c r="AW862">
        <v>2</v>
      </c>
      <c r="AX862" t="s">
        <v>74</v>
      </c>
      <c r="AY862" t="s">
        <v>74</v>
      </c>
      <c r="AZ862" t="s">
        <v>74</v>
      </c>
      <c r="BA862" t="s">
        <v>74</v>
      </c>
      <c r="BB862">
        <v>505</v>
      </c>
      <c r="BC862">
        <v>523</v>
      </c>
      <c r="BD862" t="s">
        <v>74</v>
      </c>
      <c r="BE862" t="s">
        <v>16068</v>
      </c>
      <c r="BF862" t="str">
        <f>HYPERLINK("http://dx.doi.org/10.1657/1938-4246-46.2.505","http://dx.doi.org/10.1657/1938-4246-46.2.505")</f>
        <v>http://dx.doi.org/10.1657/1938-4246-46.2.505</v>
      </c>
      <c r="BG862" t="s">
        <v>74</v>
      </c>
      <c r="BH862" t="s">
        <v>74</v>
      </c>
      <c r="BI862">
        <v>19</v>
      </c>
      <c r="BJ862" t="s">
        <v>5273</v>
      </c>
      <c r="BK862" t="s">
        <v>102</v>
      </c>
      <c r="BL862" t="s">
        <v>103</v>
      </c>
      <c r="BM862" t="s">
        <v>15238</v>
      </c>
      <c r="BN862" t="s">
        <v>74</v>
      </c>
      <c r="BO862" t="s">
        <v>1053</v>
      </c>
      <c r="BP862" t="s">
        <v>74</v>
      </c>
      <c r="BQ862" t="s">
        <v>74</v>
      </c>
      <c r="BR862" t="s">
        <v>105</v>
      </c>
      <c r="BS862" t="s">
        <v>16069</v>
      </c>
      <c r="BT862" t="str">
        <f>HYPERLINK("https%3A%2F%2Fwww.webofscience.com%2Fwos%2Fwoscc%2Ffull-record%2FWOS:000336778500018","View Full Record in Web of Science")</f>
        <v>View Full Record in Web of Science</v>
      </c>
    </row>
    <row r="863" spans="1:72" x14ac:dyDescent="0.15">
      <c r="A863" t="s">
        <v>72</v>
      </c>
      <c r="B863" t="s">
        <v>16070</v>
      </c>
      <c r="C863" t="s">
        <v>74</v>
      </c>
      <c r="D863" t="s">
        <v>74</v>
      </c>
      <c r="E863" t="s">
        <v>74</v>
      </c>
      <c r="F863" t="s">
        <v>16071</v>
      </c>
      <c r="G863" t="s">
        <v>74</v>
      </c>
      <c r="H863" t="s">
        <v>74</v>
      </c>
      <c r="I863" t="s">
        <v>16072</v>
      </c>
      <c r="J863" t="s">
        <v>5843</v>
      </c>
      <c r="K863" t="s">
        <v>74</v>
      </c>
      <c r="L863" t="s">
        <v>74</v>
      </c>
      <c r="M863" t="s">
        <v>78</v>
      </c>
      <c r="N863" t="s">
        <v>79</v>
      </c>
      <c r="O863" t="s">
        <v>74</v>
      </c>
      <c r="P863" t="s">
        <v>74</v>
      </c>
      <c r="Q863" t="s">
        <v>74</v>
      </c>
      <c r="R863" t="s">
        <v>74</v>
      </c>
      <c r="S863" t="s">
        <v>74</v>
      </c>
      <c r="T863" t="s">
        <v>16073</v>
      </c>
      <c r="U863" t="s">
        <v>16074</v>
      </c>
      <c r="V863" t="s">
        <v>16075</v>
      </c>
      <c r="W863" t="s">
        <v>16076</v>
      </c>
      <c r="X863" t="s">
        <v>16077</v>
      </c>
      <c r="Y863" t="s">
        <v>16078</v>
      </c>
      <c r="Z863" t="s">
        <v>16079</v>
      </c>
      <c r="AA863" t="s">
        <v>16080</v>
      </c>
      <c r="AB863" t="s">
        <v>16081</v>
      </c>
      <c r="AC863" t="s">
        <v>16082</v>
      </c>
      <c r="AD863" t="s">
        <v>16083</v>
      </c>
      <c r="AE863" t="s">
        <v>16084</v>
      </c>
      <c r="AF863" t="s">
        <v>74</v>
      </c>
      <c r="AG863">
        <v>87</v>
      </c>
      <c r="AH863">
        <v>316</v>
      </c>
      <c r="AI863">
        <v>342</v>
      </c>
      <c r="AJ863">
        <v>4</v>
      </c>
      <c r="AK863">
        <v>242</v>
      </c>
      <c r="AL863" t="s">
        <v>601</v>
      </c>
      <c r="AM863" t="s">
        <v>251</v>
      </c>
      <c r="AN863" t="s">
        <v>602</v>
      </c>
      <c r="AO863" t="s">
        <v>5853</v>
      </c>
      <c r="AP863" t="s">
        <v>5854</v>
      </c>
      <c r="AQ863" t="s">
        <v>74</v>
      </c>
      <c r="AR863" t="s">
        <v>5855</v>
      </c>
      <c r="AS863" t="s">
        <v>5856</v>
      </c>
      <c r="AT863" t="s">
        <v>14830</v>
      </c>
      <c r="AU863">
        <v>2014</v>
      </c>
      <c r="AV863">
        <v>173</v>
      </c>
      <c r="AW863" t="s">
        <v>74</v>
      </c>
      <c r="AX863" t="s">
        <v>74</v>
      </c>
      <c r="AY863" t="s">
        <v>74</v>
      </c>
      <c r="AZ863" t="s">
        <v>74</v>
      </c>
      <c r="BA863" t="s">
        <v>74</v>
      </c>
      <c r="BB863">
        <v>144</v>
      </c>
      <c r="BC863">
        <v>154</v>
      </c>
      <c r="BD863" t="s">
        <v>74</v>
      </c>
      <c r="BE863" t="s">
        <v>16085</v>
      </c>
      <c r="BF863" t="str">
        <f>HYPERLINK("http://dx.doi.org/10.1016/j.biocon.2013.07.037","http://dx.doi.org/10.1016/j.biocon.2013.07.037")</f>
        <v>http://dx.doi.org/10.1016/j.biocon.2013.07.037</v>
      </c>
      <c r="BG863" t="s">
        <v>74</v>
      </c>
      <c r="BH863" t="s">
        <v>74</v>
      </c>
      <c r="BI863">
        <v>11</v>
      </c>
      <c r="BJ863" t="s">
        <v>5858</v>
      </c>
      <c r="BK863" t="s">
        <v>102</v>
      </c>
      <c r="BL863" t="s">
        <v>785</v>
      </c>
      <c r="BM863" t="s">
        <v>16086</v>
      </c>
      <c r="BN863" t="s">
        <v>74</v>
      </c>
      <c r="BO863" t="s">
        <v>74</v>
      </c>
      <c r="BP863" t="s">
        <v>74</v>
      </c>
      <c r="BQ863" t="s">
        <v>74</v>
      </c>
      <c r="BR863" t="s">
        <v>105</v>
      </c>
      <c r="BS863" t="s">
        <v>16087</v>
      </c>
      <c r="BT863" t="str">
        <f>HYPERLINK("https%3A%2F%2Fwww.webofscience.com%2Fwos%2Fwoscc%2Ffull-record%2FWOS:000336874100017","View Full Record in Web of Science")</f>
        <v>View Full Record in Web of Science</v>
      </c>
    </row>
    <row r="864" spans="1:72" x14ac:dyDescent="0.15">
      <c r="A864" t="s">
        <v>72</v>
      </c>
      <c r="B864" t="s">
        <v>16088</v>
      </c>
      <c r="C864" t="s">
        <v>74</v>
      </c>
      <c r="D864" t="s">
        <v>74</v>
      </c>
      <c r="E864" t="s">
        <v>74</v>
      </c>
      <c r="F864" t="s">
        <v>16089</v>
      </c>
      <c r="G864" t="s">
        <v>74</v>
      </c>
      <c r="H864" t="s">
        <v>74</v>
      </c>
      <c r="I864" t="s">
        <v>16090</v>
      </c>
      <c r="J864" t="s">
        <v>3350</v>
      </c>
      <c r="K864" t="s">
        <v>74</v>
      </c>
      <c r="L864" t="s">
        <v>74</v>
      </c>
      <c r="M864" t="s">
        <v>78</v>
      </c>
      <c r="N864" t="s">
        <v>79</v>
      </c>
      <c r="O864" t="s">
        <v>74</v>
      </c>
      <c r="P864" t="s">
        <v>74</v>
      </c>
      <c r="Q864" t="s">
        <v>74</v>
      </c>
      <c r="R864" t="s">
        <v>74</v>
      </c>
      <c r="S864" t="s">
        <v>74</v>
      </c>
      <c r="T864" t="s">
        <v>16091</v>
      </c>
      <c r="U864" t="s">
        <v>16092</v>
      </c>
      <c r="V864" t="s">
        <v>16093</v>
      </c>
      <c r="W864" t="s">
        <v>16094</v>
      </c>
      <c r="X864" t="s">
        <v>16095</v>
      </c>
      <c r="Y864" t="s">
        <v>16096</v>
      </c>
      <c r="Z864" t="s">
        <v>16097</v>
      </c>
      <c r="AA864" t="s">
        <v>16098</v>
      </c>
      <c r="AB864" t="s">
        <v>16099</v>
      </c>
      <c r="AC864" t="s">
        <v>16100</v>
      </c>
      <c r="AD864" t="s">
        <v>16101</v>
      </c>
      <c r="AE864" t="s">
        <v>16102</v>
      </c>
      <c r="AF864" t="s">
        <v>74</v>
      </c>
      <c r="AG864">
        <v>22</v>
      </c>
      <c r="AH864">
        <v>25</v>
      </c>
      <c r="AI864">
        <v>26</v>
      </c>
      <c r="AJ864">
        <v>0</v>
      </c>
      <c r="AK864">
        <v>50</v>
      </c>
      <c r="AL864" t="s">
        <v>1070</v>
      </c>
      <c r="AM864" t="s">
        <v>654</v>
      </c>
      <c r="AN864" t="s">
        <v>1071</v>
      </c>
      <c r="AO864" t="s">
        <v>3363</v>
      </c>
      <c r="AP864" t="s">
        <v>3364</v>
      </c>
      <c r="AQ864" t="s">
        <v>74</v>
      </c>
      <c r="AR864" t="s">
        <v>3365</v>
      </c>
      <c r="AS864" t="s">
        <v>3366</v>
      </c>
      <c r="AT864" t="s">
        <v>15223</v>
      </c>
      <c r="AU864">
        <v>2014</v>
      </c>
      <c r="AV864">
        <v>10</v>
      </c>
      <c r="AW864">
        <v>5</v>
      </c>
      <c r="AX864" t="s">
        <v>74</v>
      </c>
      <c r="AY864" t="s">
        <v>74</v>
      </c>
      <c r="AZ864" t="s">
        <v>74</v>
      </c>
      <c r="BA864" t="s">
        <v>74</v>
      </c>
      <c r="BB864" t="s">
        <v>74</v>
      </c>
      <c r="BC864" t="s">
        <v>74</v>
      </c>
      <c r="BD864">
        <v>20140264</v>
      </c>
      <c r="BE864" t="s">
        <v>16103</v>
      </c>
      <c r="BF864" t="str">
        <f>HYPERLINK("http://dx.doi.org/10.1098/rsbl.2014.0264","http://dx.doi.org/10.1098/rsbl.2014.0264")</f>
        <v>http://dx.doi.org/10.1098/rsbl.2014.0264</v>
      </c>
      <c r="BG864" t="s">
        <v>74</v>
      </c>
      <c r="BH864" t="s">
        <v>74</v>
      </c>
      <c r="BI864">
        <v>5</v>
      </c>
      <c r="BJ864" t="s">
        <v>3368</v>
      </c>
      <c r="BK864" t="s">
        <v>102</v>
      </c>
      <c r="BL864" t="s">
        <v>3369</v>
      </c>
      <c r="BM864" t="s">
        <v>16104</v>
      </c>
      <c r="BN864">
        <v>24872464</v>
      </c>
      <c r="BO864" t="s">
        <v>1053</v>
      </c>
      <c r="BP864" t="s">
        <v>74</v>
      </c>
      <c r="BQ864" t="s">
        <v>74</v>
      </c>
      <c r="BR864" t="s">
        <v>105</v>
      </c>
      <c r="BS864" t="s">
        <v>16105</v>
      </c>
      <c r="BT864" t="str">
        <f>HYPERLINK("https%3A%2F%2Fwww.webofscience.com%2Fwos%2Fwoscc%2Ffull-record%2FWOS:000336783500017","View Full Record in Web of Science")</f>
        <v>View Full Record in Web of Science</v>
      </c>
    </row>
    <row r="865" spans="1:72" x14ac:dyDescent="0.15">
      <c r="A865" t="s">
        <v>72</v>
      </c>
      <c r="B865" t="s">
        <v>16106</v>
      </c>
      <c r="C865" t="s">
        <v>74</v>
      </c>
      <c r="D865" t="s">
        <v>74</v>
      </c>
      <c r="E865" t="s">
        <v>74</v>
      </c>
      <c r="F865" t="s">
        <v>16107</v>
      </c>
      <c r="G865" t="s">
        <v>74</v>
      </c>
      <c r="H865" t="s">
        <v>74</v>
      </c>
      <c r="I865" t="s">
        <v>16108</v>
      </c>
      <c r="J865" t="s">
        <v>2947</v>
      </c>
      <c r="K865" t="s">
        <v>74</v>
      </c>
      <c r="L865" t="s">
        <v>74</v>
      </c>
      <c r="M865" t="s">
        <v>78</v>
      </c>
      <c r="N865" t="s">
        <v>79</v>
      </c>
      <c r="O865" t="s">
        <v>74</v>
      </c>
      <c r="P865" t="s">
        <v>74</v>
      </c>
      <c r="Q865" t="s">
        <v>74</v>
      </c>
      <c r="R865" t="s">
        <v>74</v>
      </c>
      <c r="S865" t="s">
        <v>74</v>
      </c>
      <c r="T865" t="s">
        <v>16109</v>
      </c>
      <c r="U865" t="s">
        <v>16110</v>
      </c>
      <c r="V865" t="s">
        <v>16111</v>
      </c>
      <c r="W865" t="s">
        <v>16112</v>
      </c>
      <c r="X865" t="s">
        <v>16113</v>
      </c>
      <c r="Y865" t="s">
        <v>16114</v>
      </c>
      <c r="Z865" t="s">
        <v>16115</v>
      </c>
      <c r="AA865" t="s">
        <v>16116</v>
      </c>
      <c r="AB865" t="s">
        <v>13382</v>
      </c>
      <c r="AC865" t="s">
        <v>16117</v>
      </c>
      <c r="AD865" t="s">
        <v>16118</v>
      </c>
      <c r="AE865" t="s">
        <v>16119</v>
      </c>
      <c r="AF865" t="s">
        <v>74</v>
      </c>
      <c r="AG865">
        <v>75</v>
      </c>
      <c r="AH865">
        <v>48</v>
      </c>
      <c r="AI865">
        <v>53</v>
      </c>
      <c r="AJ865">
        <v>8</v>
      </c>
      <c r="AK865">
        <v>123</v>
      </c>
      <c r="AL865" t="s">
        <v>250</v>
      </c>
      <c r="AM865" t="s">
        <v>251</v>
      </c>
      <c r="AN865" t="s">
        <v>252</v>
      </c>
      <c r="AO865" t="s">
        <v>2956</v>
      </c>
      <c r="AP865" t="s">
        <v>2957</v>
      </c>
      <c r="AQ865" t="s">
        <v>74</v>
      </c>
      <c r="AR865" t="s">
        <v>2958</v>
      </c>
      <c r="AS865" t="s">
        <v>2959</v>
      </c>
      <c r="AT865" t="s">
        <v>14830</v>
      </c>
      <c r="AU865">
        <v>2014</v>
      </c>
      <c r="AV865">
        <v>87</v>
      </c>
      <c r="AW865" t="s">
        <v>74</v>
      </c>
      <c r="AX865" t="s">
        <v>74</v>
      </c>
      <c r="AY865" t="s">
        <v>74</v>
      </c>
      <c r="AZ865" t="s">
        <v>74</v>
      </c>
      <c r="BA865" t="s">
        <v>74</v>
      </c>
      <c r="BB865">
        <v>82</v>
      </c>
      <c r="BC865">
        <v>94</v>
      </c>
      <c r="BD865" t="s">
        <v>74</v>
      </c>
      <c r="BE865" t="s">
        <v>16120</v>
      </c>
      <c r="BF865" t="str">
        <f>HYPERLINK("http://dx.doi.org/10.1016/j.dsr.2014.02.003","http://dx.doi.org/10.1016/j.dsr.2014.02.003")</f>
        <v>http://dx.doi.org/10.1016/j.dsr.2014.02.003</v>
      </c>
      <c r="BG865" t="s">
        <v>74</v>
      </c>
      <c r="BH865" t="s">
        <v>74</v>
      </c>
      <c r="BI865">
        <v>13</v>
      </c>
      <c r="BJ865" t="s">
        <v>152</v>
      </c>
      <c r="BK865" t="s">
        <v>102</v>
      </c>
      <c r="BL865" t="s">
        <v>152</v>
      </c>
      <c r="BM865" t="s">
        <v>16121</v>
      </c>
      <c r="BN865" t="s">
        <v>74</v>
      </c>
      <c r="BO865" t="s">
        <v>74</v>
      </c>
      <c r="BP865" t="s">
        <v>74</v>
      </c>
      <c r="BQ865" t="s">
        <v>74</v>
      </c>
      <c r="BR865" t="s">
        <v>105</v>
      </c>
      <c r="BS865" t="s">
        <v>16122</v>
      </c>
      <c r="BT865" t="str">
        <f>HYPERLINK("https%3A%2F%2Fwww.webofscience.com%2Fwos%2Fwoscc%2Ffull-record%2FWOS:000335286400009","View Full Record in Web of Science")</f>
        <v>View Full Record in Web of Science</v>
      </c>
    </row>
    <row r="866" spans="1:72" x14ac:dyDescent="0.15">
      <c r="A866" t="s">
        <v>72</v>
      </c>
      <c r="B866" t="s">
        <v>16123</v>
      </c>
      <c r="C866" t="s">
        <v>74</v>
      </c>
      <c r="D866" t="s">
        <v>74</v>
      </c>
      <c r="E866" t="s">
        <v>74</v>
      </c>
      <c r="F866" t="s">
        <v>16124</v>
      </c>
      <c r="G866" t="s">
        <v>74</v>
      </c>
      <c r="H866" t="s">
        <v>74</v>
      </c>
      <c r="I866" t="s">
        <v>16125</v>
      </c>
      <c r="J866" t="s">
        <v>16126</v>
      </c>
      <c r="K866" t="s">
        <v>74</v>
      </c>
      <c r="L866" t="s">
        <v>74</v>
      </c>
      <c r="M866" t="s">
        <v>78</v>
      </c>
      <c r="N866" t="s">
        <v>185</v>
      </c>
      <c r="O866" t="s">
        <v>74</v>
      </c>
      <c r="P866" t="s">
        <v>74</v>
      </c>
      <c r="Q866" t="s">
        <v>74</v>
      </c>
      <c r="R866" t="s">
        <v>74</v>
      </c>
      <c r="S866" t="s">
        <v>74</v>
      </c>
      <c r="T866" t="s">
        <v>16127</v>
      </c>
      <c r="U866" t="s">
        <v>16128</v>
      </c>
      <c r="V866" t="s">
        <v>16129</v>
      </c>
      <c r="W866" t="s">
        <v>16130</v>
      </c>
      <c r="X866" t="s">
        <v>16131</v>
      </c>
      <c r="Y866" t="s">
        <v>16132</v>
      </c>
      <c r="Z866" t="s">
        <v>16133</v>
      </c>
      <c r="AA866" t="s">
        <v>16134</v>
      </c>
      <c r="AB866" t="s">
        <v>16135</v>
      </c>
      <c r="AC866" t="s">
        <v>16136</v>
      </c>
      <c r="AD866" t="s">
        <v>16137</v>
      </c>
      <c r="AE866" t="s">
        <v>16138</v>
      </c>
      <c r="AF866" t="s">
        <v>74</v>
      </c>
      <c r="AG866">
        <v>555</v>
      </c>
      <c r="AH866">
        <v>246</v>
      </c>
      <c r="AI866">
        <v>258</v>
      </c>
      <c r="AJ866">
        <v>4</v>
      </c>
      <c r="AK866">
        <v>223</v>
      </c>
      <c r="AL866" t="s">
        <v>171</v>
      </c>
      <c r="AM866" t="s">
        <v>93</v>
      </c>
      <c r="AN866" t="s">
        <v>94</v>
      </c>
      <c r="AO866" t="s">
        <v>16139</v>
      </c>
      <c r="AP866" t="s">
        <v>16140</v>
      </c>
      <c r="AQ866" t="s">
        <v>74</v>
      </c>
      <c r="AR866" t="s">
        <v>16141</v>
      </c>
      <c r="AS866" t="s">
        <v>16142</v>
      </c>
      <c r="AT866" t="s">
        <v>14830</v>
      </c>
      <c r="AU866">
        <v>2014</v>
      </c>
      <c r="AV866">
        <v>84</v>
      </c>
      <c r="AW866">
        <v>2</v>
      </c>
      <c r="AX866" t="s">
        <v>74</v>
      </c>
      <c r="AY866" t="s">
        <v>74</v>
      </c>
      <c r="AZ866" t="s">
        <v>74</v>
      </c>
      <c r="BA866" t="s">
        <v>74</v>
      </c>
      <c r="BB866">
        <v>203</v>
      </c>
      <c r="BC866">
        <v>244</v>
      </c>
      <c r="BD866" t="s">
        <v>74</v>
      </c>
      <c r="BE866" t="s">
        <v>16143</v>
      </c>
      <c r="BF866" t="str">
        <f>HYPERLINK("http://dx.doi.org/10.1890/12-2216.1","http://dx.doi.org/10.1890/12-2216.1")</f>
        <v>http://dx.doi.org/10.1890/12-2216.1</v>
      </c>
      <c r="BG866" t="s">
        <v>74</v>
      </c>
      <c r="BH866" t="s">
        <v>74</v>
      </c>
      <c r="BI866">
        <v>42</v>
      </c>
      <c r="BJ866" t="s">
        <v>5627</v>
      </c>
      <c r="BK866" t="s">
        <v>102</v>
      </c>
      <c r="BL866" t="s">
        <v>2553</v>
      </c>
      <c r="BM866" t="s">
        <v>16144</v>
      </c>
      <c r="BN866" t="s">
        <v>74</v>
      </c>
      <c r="BO866" t="s">
        <v>16145</v>
      </c>
      <c r="BP866" t="s">
        <v>74</v>
      </c>
      <c r="BQ866" t="s">
        <v>74</v>
      </c>
      <c r="BR866" t="s">
        <v>105</v>
      </c>
      <c r="BS866" t="s">
        <v>16146</v>
      </c>
      <c r="BT866" t="str">
        <f>HYPERLINK("https%3A%2F%2Fwww.webofscience.com%2Fwos%2Fwoscc%2Ffull-record%2FWOS:000335859700002","View Full Record in Web of Science")</f>
        <v>View Full Record in Web of Science</v>
      </c>
    </row>
    <row r="867" spans="1:72" x14ac:dyDescent="0.15">
      <c r="A867" t="s">
        <v>72</v>
      </c>
      <c r="B867" t="s">
        <v>16147</v>
      </c>
      <c r="C867" t="s">
        <v>74</v>
      </c>
      <c r="D867" t="s">
        <v>74</v>
      </c>
      <c r="E867" t="s">
        <v>74</v>
      </c>
      <c r="F867" t="s">
        <v>16148</v>
      </c>
      <c r="G867" t="s">
        <v>74</v>
      </c>
      <c r="H867" t="s">
        <v>74</v>
      </c>
      <c r="I867" t="s">
        <v>16149</v>
      </c>
      <c r="J867" t="s">
        <v>16150</v>
      </c>
      <c r="K867" t="s">
        <v>74</v>
      </c>
      <c r="L867" t="s">
        <v>74</v>
      </c>
      <c r="M867" t="s">
        <v>78</v>
      </c>
      <c r="N867" t="s">
        <v>185</v>
      </c>
      <c r="O867" t="s">
        <v>74</v>
      </c>
      <c r="P867" t="s">
        <v>74</v>
      </c>
      <c r="Q867" t="s">
        <v>74</v>
      </c>
      <c r="R867" t="s">
        <v>74</v>
      </c>
      <c r="S867" t="s">
        <v>74</v>
      </c>
      <c r="T867" t="s">
        <v>16151</v>
      </c>
      <c r="U867" t="s">
        <v>16152</v>
      </c>
      <c r="V867" t="s">
        <v>16153</v>
      </c>
      <c r="W867" t="s">
        <v>16154</v>
      </c>
      <c r="X867" t="s">
        <v>16155</v>
      </c>
      <c r="Y867" t="s">
        <v>16156</v>
      </c>
      <c r="Z867" t="s">
        <v>16157</v>
      </c>
      <c r="AA867" t="s">
        <v>16158</v>
      </c>
      <c r="AB867" t="s">
        <v>16159</v>
      </c>
      <c r="AC867" t="s">
        <v>74</v>
      </c>
      <c r="AD867" t="s">
        <v>74</v>
      </c>
      <c r="AE867" t="s">
        <v>74</v>
      </c>
      <c r="AF867" t="s">
        <v>74</v>
      </c>
      <c r="AG867">
        <v>88</v>
      </c>
      <c r="AH867">
        <v>334</v>
      </c>
      <c r="AI867">
        <v>371</v>
      </c>
      <c r="AJ867">
        <v>10</v>
      </c>
      <c r="AK867">
        <v>262</v>
      </c>
      <c r="AL867" t="s">
        <v>171</v>
      </c>
      <c r="AM867" t="s">
        <v>93</v>
      </c>
      <c r="AN867" t="s">
        <v>94</v>
      </c>
      <c r="AO867" t="s">
        <v>16160</v>
      </c>
      <c r="AP867" t="s">
        <v>16161</v>
      </c>
      <c r="AQ867" t="s">
        <v>74</v>
      </c>
      <c r="AR867" t="s">
        <v>16162</v>
      </c>
      <c r="AS867" t="s">
        <v>16163</v>
      </c>
      <c r="AT867" t="s">
        <v>14830</v>
      </c>
      <c r="AU867">
        <v>2014</v>
      </c>
      <c r="AV867">
        <v>15</v>
      </c>
      <c r="AW867">
        <v>5</v>
      </c>
      <c r="AX867" t="s">
        <v>74</v>
      </c>
      <c r="AY867" t="s">
        <v>74</v>
      </c>
      <c r="AZ867" t="s">
        <v>74</v>
      </c>
      <c r="BA867" t="s">
        <v>74</v>
      </c>
      <c r="BB867">
        <v>508</v>
      </c>
      <c r="BC867">
        <v>517</v>
      </c>
      <c r="BD867" t="s">
        <v>74</v>
      </c>
      <c r="BE867" t="s">
        <v>16164</v>
      </c>
      <c r="BF867" t="str">
        <f>HYPERLINK("http://dx.doi.org/10.1002/embr.201338170","http://dx.doi.org/10.1002/embr.201338170")</f>
        <v>http://dx.doi.org/10.1002/embr.201338170</v>
      </c>
      <c r="BG867" t="s">
        <v>74</v>
      </c>
      <c r="BH867" t="s">
        <v>74</v>
      </c>
      <c r="BI867">
        <v>10</v>
      </c>
      <c r="BJ867" t="s">
        <v>16165</v>
      </c>
      <c r="BK867" t="s">
        <v>102</v>
      </c>
      <c r="BL867" t="s">
        <v>16165</v>
      </c>
      <c r="BM867" t="s">
        <v>16166</v>
      </c>
      <c r="BN867">
        <v>24671034</v>
      </c>
      <c r="BO867" t="s">
        <v>450</v>
      </c>
      <c r="BP867" t="s">
        <v>74</v>
      </c>
      <c r="BQ867" t="s">
        <v>74</v>
      </c>
      <c r="BR867" t="s">
        <v>105</v>
      </c>
      <c r="BS867" t="s">
        <v>16167</v>
      </c>
      <c r="BT867" t="str">
        <f>HYPERLINK("https%3A%2F%2Fwww.webofscience.com%2Fwos%2Fwoscc%2Ffull-record%2FWOS:000335579900016","View Full Record in Web of Science")</f>
        <v>View Full Record in Web of Science</v>
      </c>
    </row>
    <row r="868" spans="1:72" x14ac:dyDescent="0.15">
      <c r="A868" t="s">
        <v>72</v>
      </c>
      <c r="B868" t="s">
        <v>16168</v>
      </c>
      <c r="C868" t="s">
        <v>74</v>
      </c>
      <c r="D868" t="s">
        <v>74</v>
      </c>
      <c r="E868" t="s">
        <v>74</v>
      </c>
      <c r="F868" t="s">
        <v>16169</v>
      </c>
      <c r="G868" t="s">
        <v>74</v>
      </c>
      <c r="H868" t="s">
        <v>74</v>
      </c>
      <c r="I868" t="s">
        <v>16170</v>
      </c>
      <c r="J868" t="s">
        <v>16171</v>
      </c>
      <c r="K868" t="s">
        <v>74</v>
      </c>
      <c r="L868" t="s">
        <v>74</v>
      </c>
      <c r="M868" t="s">
        <v>78</v>
      </c>
      <c r="N868" t="s">
        <v>79</v>
      </c>
      <c r="O868" t="s">
        <v>74</v>
      </c>
      <c r="P868" t="s">
        <v>74</v>
      </c>
      <c r="Q868" t="s">
        <v>74</v>
      </c>
      <c r="R868" t="s">
        <v>74</v>
      </c>
      <c r="S868" t="s">
        <v>74</v>
      </c>
      <c r="T868" t="s">
        <v>16172</v>
      </c>
      <c r="U868" t="s">
        <v>16173</v>
      </c>
      <c r="V868" t="s">
        <v>16174</v>
      </c>
      <c r="W868" t="s">
        <v>16175</v>
      </c>
      <c r="X868" t="s">
        <v>16176</v>
      </c>
      <c r="Y868" t="s">
        <v>16177</v>
      </c>
      <c r="Z868" t="s">
        <v>16178</v>
      </c>
      <c r="AA868" t="s">
        <v>16179</v>
      </c>
      <c r="AB868" t="s">
        <v>16180</v>
      </c>
      <c r="AC868" t="s">
        <v>16181</v>
      </c>
      <c r="AD868" t="s">
        <v>16182</v>
      </c>
      <c r="AE868" t="s">
        <v>16183</v>
      </c>
      <c r="AF868" t="s">
        <v>74</v>
      </c>
      <c r="AG868">
        <v>22</v>
      </c>
      <c r="AH868">
        <v>8</v>
      </c>
      <c r="AI868">
        <v>13</v>
      </c>
      <c r="AJ868">
        <v>0</v>
      </c>
      <c r="AK868">
        <v>32</v>
      </c>
      <c r="AL868" t="s">
        <v>304</v>
      </c>
      <c r="AM868" t="s">
        <v>305</v>
      </c>
      <c r="AN868" t="s">
        <v>306</v>
      </c>
      <c r="AO868" t="s">
        <v>16184</v>
      </c>
      <c r="AP868" t="s">
        <v>16185</v>
      </c>
      <c r="AQ868" t="s">
        <v>74</v>
      </c>
      <c r="AR868" t="s">
        <v>16186</v>
      </c>
      <c r="AS868" t="s">
        <v>16187</v>
      </c>
      <c r="AT868" t="s">
        <v>14830</v>
      </c>
      <c r="AU868">
        <v>2014</v>
      </c>
      <c r="AV868">
        <v>21</v>
      </c>
      <c r="AW868">
        <v>9</v>
      </c>
      <c r="AX868" t="s">
        <v>74</v>
      </c>
      <c r="AY868" t="s">
        <v>74</v>
      </c>
      <c r="AZ868" t="s">
        <v>74</v>
      </c>
      <c r="BA868" t="s">
        <v>74</v>
      </c>
      <c r="BB868">
        <v>6221</v>
      </c>
      <c r="BC868">
        <v>6227</v>
      </c>
      <c r="BD868" t="s">
        <v>74</v>
      </c>
      <c r="BE868" t="s">
        <v>16188</v>
      </c>
      <c r="BF868" t="str">
        <f>HYPERLINK("http://dx.doi.org/10.1007/s11356-013-2466-3","http://dx.doi.org/10.1007/s11356-013-2466-3")</f>
        <v>http://dx.doi.org/10.1007/s11356-013-2466-3</v>
      </c>
      <c r="BG868" t="s">
        <v>74</v>
      </c>
      <c r="BH868" t="s">
        <v>74</v>
      </c>
      <c r="BI868">
        <v>7</v>
      </c>
      <c r="BJ868" t="s">
        <v>4397</v>
      </c>
      <c r="BK868" t="s">
        <v>102</v>
      </c>
      <c r="BL868" t="s">
        <v>2553</v>
      </c>
      <c r="BM868" t="s">
        <v>16189</v>
      </c>
      <c r="BN868">
        <v>24488519</v>
      </c>
      <c r="BO868" t="s">
        <v>262</v>
      </c>
      <c r="BP868" t="s">
        <v>74</v>
      </c>
      <c r="BQ868" t="s">
        <v>74</v>
      </c>
      <c r="BR868" t="s">
        <v>105</v>
      </c>
      <c r="BS868" t="s">
        <v>16190</v>
      </c>
      <c r="BT868" t="str">
        <f>HYPERLINK("https%3A%2F%2Fwww.webofscience.com%2Fwos%2Fwoscc%2Ffull-record%2FWOS:000334684700045","View Full Record in Web of Science")</f>
        <v>View Full Record in Web of Science</v>
      </c>
    </row>
    <row r="869" spans="1:72" x14ac:dyDescent="0.15">
      <c r="A869" t="s">
        <v>72</v>
      </c>
      <c r="B869" t="s">
        <v>16191</v>
      </c>
      <c r="C869" t="s">
        <v>74</v>
      </c>
      <c r="D869" t="s">
        <v>74</v>
      </c>
      <c r="E869" t="s">
        <v>74</v>
      </c>
      <c r="F869" t="s">
        <v>16192</v>
      </c>
      <c r="G869" t="s">
        <v>74</v>
      </c>
      <c r="H869" t="s">
        <v>74</v>
      </c>
      <c r="I869" t="s">
        <v>16193</v>
      </c>
      <c r="J869" t="s">
        <v>16194</v>
      </c>
      <c r="K869" t="s">
        <v>74</v>
      </c>
      <c r="L869" t="s">
        <v>74</v>
      </c>
      <c r="M869" t="s">
        <v>78</v>
      </c>
      <c r="N869" t="s">
        <v>79</v>
      </c>
      <c r="O869" t="s">
        <v>74</v>
      </c>
      <c r="P869" t="s">
        <v>74</v>
      </c>
      <c r="Q869" t="s">
        <v>74</v>
      </c>
      <c r="R869" t="s">
        <v>74</v>
      </c>
      <c r="S869" t="s">
        <v>74</v>
      </c>
      <c r="T869" t="s">
        <v>16195</v>
      </c>
      <c r="U869" t="s">
        <v>16196</v>
      </c>
      <c r="V869" t="s">
        <v>16197</v>
      </c>
      <c r="W869" t="s">
        <v>16198</v>
      </c>
      <c r="X869" t="s">
        <v>16199</v>
      </c>
      <c r="Y869" t="s">
        <v>16200</v>
      </c>
      <c r="Z869" t="s">
        <v>16201</v>
      </c>
      <c r="AA869" t="s">
        <v>16202</v>
      </c>
      <c r="AB869" t="s">
        <v>16203</v>
      </c>
      <c r="AC869" t="s">
        <v>16204</v>
      </c>
      <c r="AD869" t="s">
        <v>16205</v>
      </c>
      <c r="AE869" t="s">
        <v>16206</v>
      </c>
      <c r="AF869" t="s">
        <v>74</v>
      </c>
      <c r="AG869">
        <v>45</v>
      </c>
      <c r="AH869">
        <v>40</v>
      </c>
      <c r="AI869">
        <v>47</v>
      </c>
      <c r="AJ869">
        <v>0</v>
      </c>
      <c r="AK869">
        <v>18</v>
      </c>
      <c r="AL869" t="s">
        <v>601</v>
      </c>
      <c r="AM869" t="s">
        <v>251</v>
      </c>
      <c r="AN869" t="s">
        <v>602</v>
      </c>
      <c r="AO869" t="s">
        <v>16207</v>
      </c>
      <c r="AP869" t="s">
        <v>16208</v>
      </c>
      <c r="AQ869" t="s">
        <v>74</v>
      </c>
      <c r="AR869" t="s">
        <v>16209</v>
      </c>
      <c r="AS869" t="s">
        <v>16210</v>
      </c>
      <c r="AT869" t="s">
        <v>14830</v>
      </c>
      <c r="AU869">
        <v>2014</v>
      </c>
      <c r="AV869">
        <v>39</v>
      </c>
      <c r="AW869" t="s">
        <v>74</v>
      </c>
      <c r="AX869" t="s">
        <v>74</v>
      </c>
      <c r="AY869" t="s">
        <v>74</v>
      </c>
      <c r="AZ869" t="s">
        <v>74</v>
      </c>
      <c r="BA869" t="s">
        <v>74</v>
      </c>
      <c r="BB869">
        <v>162</v>
      </c>
      <c r="BC869">
        <v>171</v>
      </c>
      <c r="BD869" t="s">
        <v>74</v>
      </c>
      <c r="BE869" t="s">
        <v>16211</v>
      </c>
      <c r="BF869" t="str">
        <f>HYPERLINK("http://dx.doi.org/10.1016/j.envsci.2014.01.001","http://dx.doi.org/10.1016/j.envsci.2014.01.001")</f>
        <v>http://dx.doi.org/10.1016/j.envsci.2014.01.001</v>
      </c>
      <c r="BG869" t="s">
        <v>74</v>
      </c>
      <c r="BH869" t="s">
        <v>74</v>
      </c>
      <c r="BI869">
        <v>10</v>
      </c>
      <c r="BJ869" t="s">
        <v>4397</v>
      </c>
      <c r="BK869" t="s">
        <v>1690</v>
      </c>
      <c r="BL869" t="s">
        <v>2553</v>
      </c>
      <c r="BM869" t="s">
        <v>16212</v>
      </c>
      <c r="BN869" t="s">
        <v>74</v>
      </c>
      <c r="BO869" t="s">
        <v>74</v>
      </c>
      <c r="BP869" t="s">
        <v>74</v>
      </c>
      <c r="BQ869" t="s">
        <v>74</v>
      </c>
      <c r="BR869" t="s">
        <v>105</v>
      </c>
      <c r="BS869" t="s">
        <v>16213</v>
      </c>
      <c r="BT869" t="str">
        <f>HYPERLINK("https%3A%2F%2Fwww.webofscience.com%2Fwos%2Fwoscc%2Ffull-record%2FWOS:000336948800015","View Full Record in Web of Science")</f>
        <v>View Full Record in Web of Science</v>
      </c>
    </row>
    <row r="870" spans="1:72" x14ac:dyDescent="0.15">
      <c r="A870" t="s">
        <v>72</v>
      </c>
      <c r="B870" t="s">
        <v>16214</v>
      </c>
      <c r="C870" t="s">
        <v>74</v>
      </c>
      <c r="D870" t="s">
        <v>74</v>
      </c>
      <c r="E870" t="s">
        <v>74</v>
      </c>
      <c r="F870" t="s">
        <v>16215</v>
      </c>
      <c r="G870" t="s">
        <v>74</v>
      </c>
      <c r="H870" t="s">
        <v>74</v>
      </c>
      <c r="I870" t="s">
        <v>16216</v>
      </c>
      <c r="J870" t="s">
        <v>16217</v>
      </c>
      <c r="K870" t="s">
        <v>74</v>
      </c>
      <c r="L870" t="s">
        <v>74</v>
      </c>
      <c r="M870" t="s">
        <v>78</v>
      </c>
      <c r="N870" t="s">
        <v>79</v>
      </c>
      <c r="O870" t="s">
        <v>74</v>
      </c>
      <c r="P870" t="s">
        <v>74</v>
      </c>
      <c r="Q870" t="s">
        <v>74</v>
      </c>
      <c r="R870" t="s">
        <v>74</v>
      </c>
      <c r="S870" t="s">
        <v>74</v>
      </c>
      <c r="T870" t="s">
        <v>74</v>
      </c>
      <c r="U870" t="s">
        <v>16218</v>
      </c>
      <c r="V870" t="s">
        <v>16219</v>
      </c>
      <c r="W870" t="s">
        <v>16220</v>
      </c>
      <c r="X870" t="s">
        <v>16221</v>
      </c>
      <c r="Y870" t="s">
        <v>16222</v>
      </c>
      <c r="Z870" t="s">
        <v>16223</v>
      </c>
      <c r="AA870" t="s">
        <v>16224</v>
      </c>
      <c r="AB870" t="s">
        <v>16225</v>
      </c>
      <c r="AC870" t="s">
        <v>16226</v>
      </c>
      <c r="AD870" t="s">
        <v>16227</v>
      </c>
      <c r="AE870" t="s">
        <v>16228</v>
      </c>
      <c r="AF870" t="s">
        <v>74</v>
      </c>
      <c r="AG870">
        <v>42</v>
      </c>
      <c r="AH870">
        <v>6</v>
      </c>
      <c r="AI870">
        <v>8</v>
      </c>
      <c r="AJ870">
        <v>1</v>
      </c>
      <c r="AK870">
        <v>8</v>
      </c>
      <c r="AL870" t="s">
        <v>224</v>
      </c>
      <c r="AM870" t="s">
        <v>576</v>
      </c>
      <c r="AN870" t="s">
        <v>778</v>
      </c>
      <c r="AO870" t="s">
        <v>16229</v>
      </c>
      <c r="AP870" t="s">
        <v>16230</v>
      </c>
      <c r="AQ870" t="s">
        <v>74</v>
      </c>
      <c r="AR870" t="s">
        <v>16231</v>
      </c>
      <c r="AS870" t="s">
        <v>16232</v>
      </c>
      <c r="AT870" t="s">
        <v>14830</v>
      </c>
      <c r="AU870">
        <v>2014</v>
      </c>
      <c r="AV870">
        <v>55</v>
      </c>
      <c r="AW870">
        <v>5</v>
      </c>
      <c r="AX870" t="s">
        <v>74</v>
      </c>
      <c r="AY870" t="s">
        <v>74</v>
      </c>
      <c r="AZ870" t="s">
        <v>74</v>
      </c>
      <c r="BA870" t="s">
        <v>74</v>
      </c>
      <c r="BB870" t="s">
        <v>74</v>
      </c>
      <c r="BC870" t="s">
        <v>74</v>
      </c>
      <c r="BD870">
        <v>1719</v>
      </c>
      <c r="BE870" t="s">
        <v>16233</v>
      </c>
      <c r="BF870" t="str">
        <f>HYPERLINK("http://dx.doi.org/10.1007/s00348-014-1719-3","http://dx.doi.org/10.1007/s00348-014-1719-3")</f>
        <v>http://dx.doi.org/10.1007/s00348-014-1719-3</v>
      </c>
      <c r="BG870" t="s">
        <v>74</v>
      </c>
      <c r="BH870" t="s">
        <v>74</v>
      </c>
      <c r="BI870">
        <v>19</v>
      </c>
      <c r="BJ870" t="s">
        <v>16234</v>
      </c>
      <c r="BK870" t="s">
        <v>102</v>
      </c>
      <c r="BL870" t="s">
        <v>16235</v>
      </c>
      <c r="BM870" t="s">
        <v>16236</v>
      </c>
      <c r="BN870" t="s">
        <v>74</v>
      </c>
      <c r="BO870" t="s">
        <v>3920</v>
      </c>
      <c r="BP870" t="s">
        <v>74</v>
      </c>
      <c r="BQ870" t="s">
        <v>74</v>
      </c>
      <c r="BR870" t="s">
        <v>105</v>
      </c>
      <c r="BS870" t="s">
        <v>16237</v>
      </c>
      <c r="BT870" t="str">
        <f>HYPERLINK("https%3A%2F%2Fwww.webofscience.com%2Fwos%2Fwoscc%2Ffull-record%2FWOS:000336410600002","View Full Record in Web of Science")</f>
        <v>View Full Record in Web of Science</v>
      </c>
    </row>
    <row r="871" spans="1:72" x14ac:dyDescent="0.15">
      <c r="A871" t="s">
        <v>72</v>
      </c>
      <c r="B871" t="s">
        <v>16238</v>
      </c>
      <c r="C871" t="s">
        <v>74</v>
      </c>
      <c r="D871" t="s">
        <v>74</v>
      </c>
      <c r="E871" t="s">
        <v>74</v>
      </c>
      <c r="F871" t="s">
        <v>16239</v>
      </c>
      <c r="G871" t="s">
        <v>74</v>
      </c>
      <c r="H871" t="s">
        <v>74</v>
      </c>
      <c r="I871" t="s">
        <v>16240</v>
      </c>
      <c r="J871" t="s">
        <v>9840</v>
      </c>
      <c r="K871" t="s">
        <v>74</v>
      </c>
      <c r="L871" t="s">
        <v>74</v>
      </c>
      <c r="M871" t="s">
        <v>78</v>
      </c>
      <c r="N871" t="s">
        <v>79</v>
      </c>
      <c r="O871" t="s">
        <v>74</v>
      </c>
      <c r="P871" t="s">
        <v>74</v>
      </c>
      <c r="Q871" t="s">
        <v>74</v>
      </c>
      <c r="R871" t="s">
        <v>74</v>
      </c>
      <c r="S871" t="s">
        <v>74</v>
      </c>
      <c r="T871" t="s">
        <v>74</v>
      </c>
      <c r="U871" t="s">
        <v>74</v>
      </c>
      <c r="V871" t="s">
        <v>16241</v>
      </c>
      <c r="W871" t="s">
        <v>16242</v>
      </c>
      <c r="X871" t="s">
        <v>16243</v>
      </c>
      <c r="Y871" t="s">
        <v>9863</v>
      </c>
      <c r="Z871" t="s">
        <v>9864</v>
      </c>
      <c r="AA871" t="s">
        <v>74</v>
      </c>
      <c r="AB871" t="s">
        <v>16244</v>
      </c>
      <c r="AC871" t="s">
        <v>16245</v>
      </c>
      <c r="AD871" t="s">
        <v>16246</v>
      </c>
      <c r="AE871" t="s">
        <v>16247</v>
      </c>
      <c r="AF871" t="s">
        <v>74</v>
      </c>
      <c r="AG871">
        <v>13</v>
      </c>
      <c r="AH871">
        <v>0</v>
      </c>
      <c r="AI871">
        <v>0</v>
      </c>
      <c r="AJ871">
        <v>0</v>
      </c>
      <c r="AK871">
        <v>1</v>
      </c>
      <c r="AL871" t="s">
        <v>9678</v>
      </c>
      <c r="AM871" t="s">
        <v>332</v>
      </c>
      <c r="AN871" t="s">
        <v>9679</v>
      </c>
      <c r="AO871" t="s">
        <v>74</v>
      </c>
      <c r="AP871" t="s">
        <v>9851</v>
      </c>
      <c r="AQ871" t="s">
        <v>74</v>
      </c>
      <c r="AR871" t="s">
        <v>9840</v>
      </c>
      <c r="AS871" t="s">
        <v>9852</v>
      </c>
      <c r="AT871" t="s">
        <v>14902</v>
      </c>
      <c r="AU871">
        <v>2014</v>
      </c>
      <c r="AV871">
        <v>2</v>
      </c>
      <c r="AW871">
        <v>3</v>
      </c>
      <c r="AX871" t="s">
        <v>74</v>
      </c>
      <c r="AY871" t="s">
        <v>74</v>
      </c>
      <c r="AZ871" t="s">
        <v>74</v>
      </c>
      <c r="BA871" t="s">
        <v>74</v>
      </c>
      <c r="BB871" t="s">
        <v>74</v>
      </c>
      <c r="BC871" t="s">
        <v>74</v>
      </c>
      <c r="BD871" t="s">
        <v>16248</v>
      </c>
      <c r="BE871" t="s">
        <v>16249</v>
      </c>
      <c r="BF871" t="str">
        <f>HYPERLINK("http://dx.doi.org/10.1128/genomeA.00522-14","http://dx.doi.org/10.1128/genomeA.00522-14")</f>
        <v>http://dx.doi.org/10.1128/genomeA.00522-14</v>
      </c>
      <c r="BG871" t="s">
        <v>74</v>
      </c>
      <c r="BH871" t="s">
        <v>74</v>
      </c>
      <c r="BI871">
        <v>2</v>
      </c>
      <c r="BJ871" t="s">
        <v>1012</v>
      </c>
      <c r="BK871" t="s">
        <v>488</v>
      </c>
      <c r="BL871" t="s">
        <v>1012</v>
      </c>
      <c r="BM871" t="s">
        <v>16250</v>
      </c>
      <c r="BN871">
        <v>24903870</v>
      </c>
      <c r="BO871" t="s">
        <v>1274</v>
      </c>
      <c r="BP871" t="s">
        <v>74</v>
      </c>
      <c r="BQ871" t="s">
        <v>74</v>
      </c>
      <c r="BR871" t="s">
        <v>105</v>
      </c>
      <c r="BS871" t="s">
        <v>16251</v>
      </c>
      <c r="BT871" t="str">
        <f>HYPERLINK("https%3A%2F%2Fwww.webofscience.com%2Fwos%2Fwoscc%2Ffull-record%2FWOS:000460596700107","View Full Record in Web of Science")</f>
        <v>View Full Record in Web of Science</v>
      </c>
    </row>
    <row r="872" spans="1:72" x14ac:dyDescent="0.15">
      <c r="A872" t="s">
        <v>72</v>
      </c>
      <c r="B872" t="s">
        <v>16252</v>
      </c>
      <c r="C872" t="s">
        <v>74</v>
      </c>
      <c r="D872" t="s">
        <v>74</v>
      </c>
      <c r="E872" t="s">
        <v>74</v>
      </c>
      <c r="F872" t="s">
        <v>16253</v>
      </c>
      <c r="G872" t="s">
        <v>74</v>
      </c>
      <c r="H872" t="s">
        <v>74</v>
      </c>
      <c r="I872" t="s">
        <v>16254</v>
      </c>
      <c r="J872" t="s">
        <v>2297</v>
      </c>
      <c r="K872" t="s">
        <v>74</v>
      </c>
      <c r="L872" t="s">
        <v>74</v>
      </c>
      <c r="M872" t="s">
        <v>78</v>
      </c>
      <c r="N872" t="s">
        <v>79</v>
      </c>
      <c r="O872" t="s">
        <v>74</v>
      </c>
      <c r="P872" t="s">
        <v>74</v>
      </c>
      <c r="Q872" t="s">
        <v>74</v>
      </c>
      <c r="R872" t="s">
        <v>74</v>
      </c>
      <c r="S872" t="s">
        <v>74</v>
      </c>
      <c r="T872" t="s">
        <v>74</v>
      </c>
      <c r="U872" t="s">
        <v>16255</v>
      </c>
      <c r="V872" t="s">
        <v>16256</v>
      </c>
      <c r="W872" t="s">
        <v>16257</v>
      </c>
      <c r="X872" t="s">
        <v>2686</v>
      </c>
      <c r="Y872" t="s">
        <v>74</v>
      </c>
      <c r="Z872" t="s">
        <v>16258</v>
      </c>
      <c r="AA872" t="s">
        <v>74</v>
      </c>
      <c r="AB872" t="s">
        <v>74</v>
      </c>
      <c r="AC872" t="s">
        <v>74</v>
      </c>
      <c r="AD872" t="s">
        <v>74</v>
      </c>
      <c r="AE872" t="s">
        <v>74</v>
      </c>
      <c r="AF872" t="s">
        <v>74</v>
      </c>
      <c r="AG872">
        <v>9</v>
      </c>
      <c r="AH872">
        <v>1</v>
      </c>
      <c r="AI872">
        <v>1</v>
      </c>
      <c r="AJ872">
        <v>1</v>
      </c>
      <c r="AK872">
        <v>1</v>
      </c>
      <c r="AL872" t="s">
        <v>2306</v>
      </c>
      <c r="AM872" t="s">
        <v>576</v>
      </c>
      <c r="AN872" t="s">
        <v>2307</v>
      </c>
      <c r="AO872" t="s">
        <v>2308</v>
      </c>
      <c r="AP872" t="s">
        <v>2309</v>
      </c>
      <c r="AQ872" t="s">
        <v>74</v>
      </c>
      <c r="AR872" t="s">
        <v>2310</v>
      </c>
      <c r="AS872" t="s">
        <v>2311</v>
      </c>
      <c r="AT872" t="s">
        <v>14830</v>
      </c>
      <c r="AU872">
        <v>2014</v>
      </c>
      <c r="AV872">
        <v>54</v>
      </c>
      <c r="AW872">
        <v>3</v>
      </c>
      <c r="AX872" t="s">
        <v>74</v>
      </c>
      <c r="AY872" t="s">
        <v>74</v>
      </c>
      <c r="AZ872" t="s">
        <v>74</v>
      </c>
      <c r="BA872" t="s">
        <v>74</v>
      </c>
      <c r="BB872">
        <v>269</v>
      </c>
      <c r="BC872">
        <v>274</v>
      </c>
      <c r="BD872" t="s">
        <v>74</v>
      </c>
      <c r="BE872" t="s">
        <v>16259</v>
      </c>
      <c r="BF872" t="str">
        <f>HYPERLINK("http://dx.doi.org/10.1134/S0016793214030128","http://dx.doi.org/10.1134/S0016793214030128")</f>
        <v>http://dx.doi.org/10.1134/S0016793214030128</v>
      </c>
      <c r="BG872" t="s">
        <v>74</v>
      </c>
      <c r="BH872" t="s">
        <v>74</v>
      </c>
      <c r="BI872">
        <v>6</v>
      </c>
      <c r="BJ872" t="s">
        <v>425</v>
      </c>
      <c r="BK872" t="s">
        <v>102</v>
      </c>
      <c r="BL872" t="s">
        <v>425</v>
      </c>
      <c r="BM872" t="s">
        <v>16260</v>
      </c>
      <c r="BN872" t="s">
        <v>74</v>
      </c>
      <c r="BO872" t="s">
        <v>74</v>
      </c>
      <c r="BP872" t="s">
        <v>74</v>
      </c>
      <c r="BQ872" t="s">
        <v>74</v>
      </c>
      <c r="BR872" t="s">
        <v>105</v>
      </c>
      <c r="BS872" t="s">
        <v>16261</v>
      </c>
      <c r="BT872" t="str">
        <f>HYPERLINK("https%3A%2F%2Fwww.webofscience.com%2Fwos%2Fwoscc%2Ffull-record%2FWOS:000337058500001","View Full Record in Web of Science")</f>
        <v>View Full Record in Web of Science</v>
      </c>
    </row>
    <row r="873" spans="1:72" x14ac:dyDescent="0.15">
      <c r="A873" t="s">
        <v>72</v>
      </c>
      <c r="B873" t="s">
        <v>16262</v>
      </c>
      <c r="C873" t="s">
        <v>74</v>
      </c>
      <c r="D873" t="s">
        <v>74</v>
      </c>
      <c r="E873" t="s">
        <v>74</v>
      </c>
      <c r="F873" t="s">
        <v>16263</v>
      </c>
      <c r="G873" t="s">
        <v>74</v>
      </c>
      <c r="H873" t="s">
        <v>74</v>
      </c>
      <c r="I873" t="s">
        <v>16264</v>
      </c>
      <c r="J873" t="s">
        <v>16265</v>
      </c>
      <c r="K873" t="s">
        <v>74</v>
      </c>
      <c r="L873" t="s">
        <v>74</v>
      </c>
      <c r="M873" t="s">
        <v>78</v>
      </c>
      <c r="N873" t="s">
        <v>79</v>
      </c>
      <c r="O873" t="s">
        <v>74</v>
      </c>
      <c r="P873" t="s">
        <v>74</v>
      </c>
      <c r="Q873" t="s">
        <v>74</v>
      </c>
      <c r="R873" t="s">
        <v>74</v>
      </c>
      <c r="S873" t="s">
        <v>74</v>
      </c>
      <c r="T873" t="s">
        <v>16266</v>
      </c>
      <c r="U873" t="s">
        <v>16267</v>
      </c>
      <c r="V873" t="s">
        <v>16268</v>
      </c>
      <c r="W873" t="s">
        <v>16269</v>
      </c>
      <c r="X873" t="s">
        <v>16270</v>
      </c>
      <c r="Y873" t="s">
        <v>16271</v>
      </c>
      <c r="Z873" t="s">
        <v>16272</v>
      </c>
      <c r="AA873" t="s">
        <v>16273</v>
      </c>
      <c r="AB873" t="s">
        <v>16274</v>
      </c>
      <c r="AC873" t="s">
        <v>16275</v>
      </c>
      <c r="AD873" t="s">
        <v>16276</v>
      </c>
      <c r="AE873" t="s">
        <v>16277</v>
      </c>
      <c r="AF873" t="s">
        <v>74</v>
      </c>
      <c r="AG873">
        <v>132</v>
      </c>
      <c r="AH873">
        <v>195</v>
      </c>
      <c r="AI873">
        <v>208</v>
      </c>
      <c r="AJ873">
        <v>3</v>
      </c>
      <c r="AK873">
        <v>221</v>
      </c>
      <c r="AL873" t="s">
        <v>601</v>
      </c>
      <c r="AM873" t="s">
        <v>251</v>
      </c>
      <c r="AN873" t="s">
        <v>602</v>
      </c>
      <c r="AO873" t="s">
        <v>16278</v>
      </c>
      <c r="AP873" t="s">
        <v>16279</v>
      </c>
      <c r="AQ873" t="s">
        <v>74</v>
      </c>
      <c r="AR873" t="s">
        <v>16280</v>
      </c>
      <c r="AS873" t="s">
        <v>16281</v>
      </c>
      <c r="AT873" t="s">
        <v>14830</v>
      </c>
      <c r="AU873">
        <v>2014</v>
      </c>
      <c r="AV873">
        <v>26</v>
      </c>
      <c r="AW873" t="s">
        <v>74</v>
      </c>
      <c r="AX873" t="s">
        <v>74</v>
      </c>
      <c r="AY873" t="s">
        <v>74</v>
      </c>
      <c r="AZ873" t="s">
        <v>74</v>
      </c>
      <c r="BA873" t="s">
        <v>74</v>
      </c>
      <c r="BB873">
        <v>27</v>
      </c>
      <c r="BC873">
        <v>38</v>
      </c>
      <c r="BD873" t="s">
        <v>74</v>
      </c>
      <c r="BE873" t="s">
        <v>16282</v>
      </c>
      <c r="BF873" t="str">
        <f>HYPERLINK("http://dx.doi.org/10.1016/j.gloenvcha.2014.03.009","http://dx.doi.org/10.1016/j.gloenvcha.2014.03.009")</f>
        <v>http://dx.doi.org/10.1016/j.gloenvcha.2014.03.009</v>
      </c>
      <c r="BG873" t="s">
        <v>74</v>
      </c>
      <c r="BH873" t="s">
        <v>74</v>
      </c>
      <c r="BI873">
        <v>12</v>
      </c>
      <c r="BJ873" t="s">
        <v>16283</v>
      </c>
      <c r="BK873" t="s">
        <v>1690</v>
      </c>
      <c r="BL873" t="s">
        <v>16284</v>
      </c>
      <c r="BM873" t="s">
        <v>16285</v>
      </c>
      <c r="BN873" t="s">
        <v>74</v>
      </c>
      <c r="BO873" t="s">
        <v>74</v>
      </c>
      <c r="BP873" t="s">
        <v>3371</v>
      </c>
      <c r="BQ873" t="s">
        <v>3372</v>
      </c>
      <c r="BR873" t="s">
        <v>105</v>
      </c>
      <c r="BS873" t="s">
        <v>16286</v>
      </c>
      <c r="BT873" t="str">
        <f>HYPERLINK("https%3A%2F%2Fwww.webofscience.com%2Fwos%2Fwoscc%2Ffull-record%2FWOS:000337858600004","View Full Record in Web of Science")</f>
        <v>View Full Record in Web of Science</v>
      </c>
    </row>
    <row r="874" spans="1:72" x14ac:dyDescent="0.15">
      <c r="A874" t="s">
        <v>72</v>
      </c>
      <c r="B874" t="s">
        <v>16287</v>
      </c>
      <c r="C874" t="s">
        <v>74</v>
      </c>
      <c r="D874" t="s">
        <v>74</v>
      </c>
      <c r="E874" t="s">
        <v>74</v>
      </c>
      <c r="F874" t="s">
        <v>16288</v>
      </c>
      <c r="G874" t="s">
        <v>74</v>
      </c>
      <c r="H874" t="s">
        <v>74</v>
      </c>
      <c r="I874" t="s">
        <v>16289</v>
      </c>
      <c r="J874" t="s">
        <v>4318</v>
      </c>
      <c r="K874" t="s">
        <v>74</v>
      </c>
      <c r="L874" t="s">
        <v>74</v>
      </c>
      <c r="M874" t="s">
        <v>78</v>
      </c>
      <c r="N874" t="s">
        <v>79</v>
      </c>
      <c r="O874" t="s">
        <v>74</v>
      </c>
      <c r="P874" t="s">
        <v>74</v>
      </c>
      <c r="Q874" t="s">
        <v>74</v>
      </c>
      <c r="R874" t="s">
        <v>74</v>
      </c>
      <c r="S874" t="s">
        <v>74</v>
      </c>
      <c r="T874" t="s">
        <v>16290</v>
      </c>
      <c r="U874" t="s">
        <v>16291</v>
      </c>
      <c r="V874" t="s">
        <v>16292</v>
      </c>
      <c r="W874" t="s">
        <v>16293</v>
      </c>
      <c r="X874" t="s">
        <v>16294</v>
      </c>
      <c r="Y874" t="s">
        <v>16295</v>
      </c>
      <c r="Z874" t="s">
        <v>16296</v>
      </c>
      <c r="AA874" t="s">
        <v>16297</v>
      </c>
      <c r="AB874" t="s">
        <v>16298</v>
      </c>
      <c r="AC874" t="s">
        <v>16299</v>
      </c>
      <c r="AD874" t="s">
        <v>16300</v>
      </c>
      <c r="AE874" t="s">
        <v>16301</v>
      </c>
      <c r="AF874" t="s">
        <v>74</v>
      </c>
      <c r="AG874">
        <v>66</v>
      </c>
      <c r="AH874">
        <v>23</v>
      </c>
      <c r="AI874">
        <v>29</v>
      </c>
      <c r="AJ874">
        <v>0</v>
      </c>
      <c r="AK874">
        <v>20</v>
      </c>
      <c r="AL874" t="s">
        <v>753</v>
      </c>
      <c r="AM874" t="s">
        <v>124</v>
      </c>
      <c r="AN874" t="s">
        <v>754</v>
      </c>
      <c r="AO874" t="s">
        <v>4331</v>
      </c>
      <c r="AP874" t="s">
        <v>4332</v>
      </c>
      <c r="AQ874" t="s">
        <v>74</v>
      </c>
      <c r="AR874" t="s">
        <v>4333</v>
      </c>
      <c r="AS874" t="s">
        <v>4334</v>
      </c>
      <c r="AT874" t="s">
        <v>14830</v>
      </c>
      <c r="AU874">
        <v>2014</v>
      </c>
      <c r="AV874">
        <v>25</v>
      </c>
      <c r="AW874">
        <v>4</v>
      </c>
      <c r="AX874" t="s">
        <v>74</v>
      </c>
      <c r="AY874" t="s">
        <v>74</v>
      </c>
      <c r="AZ874" t="s">
        <v>258</v>
      </c>
      <c r="BA874" t="s">
        <v>74</v>
      </c>
      <c r="BB874">
        <v>1422</v>
      </c>
      <c r="BC874">
        <v>1428</v>
      </c>
      <c r="BD874" t="s">
        <v>74</v>
      </c>
      <c r="BE874" t="s">
        <v>16302</v>
      </c>
      <c r="BF874" t="str">
        <f>HYPERLINK("http://dx.doi.org/10.1016/j.gr.2012.08.007","http://dx.doi.org/10.1016/j.gr.2012.08.007")</f>
        <v>http://dx.doi.org/10.1016/j.gr.2012.08.007</v>
      </c>
      <c r="BG874" t="s">
        <v>74</v>
      </c>
      <c r="BH874" t="s">
        <v>74</v>
      </c>
      <c r="BI874">
        <v>7</v>
      </c>
      <c r="BJ874" t="s">
        <v>685</v>
      </c>
      <c r="BK874" t="s">
        <v>102</v>
      </c>
      <c r="BL874" t="s">
        <v>686</v>
      </c>
      <c r="BM874" t="s">
        <v>14832</v>
      </c>
      <c r="BN874" t="s">
        <v>74</v>
      </c>
      <c r="BO874" t="s">
        <v>74</v>
      </c>
      <c r="BP874" t="s">
        <v>74</v>
      </c>
      <c r="BQ874" t="s">
        <v>74</v>
      </c>
      <c r="BR874" t="s">
        <v>105</v>
      </c>
      <c r="BS874" t="s">
        <v>16303</v>
      </c>
      <c r="BT874" t="str">
        <f>HYPERLINK("https%3A%2F%2Fwww.webofscience.com%2Fwos%2Fwoscc%2Ffull-record%2FWOS:000347279400010","View Full Record in Web of Science")</f>
        <v>View Full Record in Web of Science</v>
      </c>
    </row>
    <row r="875" spans="1:72" x14ac:dyDescent="0.15">
      <c r="A875" t="s">
        <v>72</v>
      </c>
      <c r="B875" t="s">
        <v>16304</v>
      </c>
      <c r="C875" t="s">
        <v>74</v>
      </c>
      <c r="D875" t="s">
        <v>74</v>
      </c>
      <c r="E875" t="s">
        <v>74</v>
      </c>
      <c r="F875" t="s">
        <v>16305</v>
      </c>
      <c r="G875" t="s">
        <v>74</v>
      </c>
      <c r="H875" t="s">
        <v>74</v>
      </c>
      <c r="I875" t="s">
        <v>16306</v>
      </c>
      <c r="J875" t="s">
        <v>939</v>
      </c>
      <c r="K875" t="s">
        <v>74</v>
      </c>
      <c r="L875" t="s">
        <v>74</v>
      </c>
      <c r="M875" t="s">
        <v>78</v>
      </c>
      <c r="N875" t="s">
        <v>79</v>
      </c>
      <c r="O875" t="s">
        <v>74</v>
      </c>
      <c r="P875" t="s">
        <v>74</v>
      </c>
      <c r="Q875" t="s">
        <v>74</v>
      </c>
      <c r="R875" t="s">
        <v>74</v>
      </c>
      <c r="S875" t="s">
        <v>74</v>
      </c>
      <c r="T875" t="s">
        <v>16307</v>
      </c>
      <c r="U875" t="s">
        <v>16308</v>
      </c>
      <c r="V875" t="s">
        <v>16309</v>
      </c>
      <c r="W875" t="s">
        <v>16310</v>
      </c>
      <c r="X875" t="s">
        <v>7576</v>
      </c>
      <c r="Y875" t="s">
        <v>16311</v>
      </c>
      <c r="Z875" t="s">
        <v>16312</v>
      </c>
      <c r="AA875" t="s">
        <v>16313</v>
      </c>
      <c r="AB875" t="s">
        <v>16314</v>
      </c>
      <c r="AC875" t="s">
        <v>16315</v>
      </c>
      <c r="AD875" t="s">
        <v>16315</v>
      </c>
      <c r="AE875" t="s">
        <v>16316</v>
      </c>
      <c r="AF875" t="s">
        <v>74</v>
      </c>
      <c r="AG875">
        <v>33</v>
      </c>
      <c r="AH875">
        <v>290</v>
      </c>
      <c r="AI875">
        <v>334</v>
      </c>
      <c r="AJ875">
        <v>6</v>
      </c>
      <c r="AK875">
        <v>184</v>
      </c>
      <c r="AL875" t="s">
        <v>952</v>
      </c>
      <c r="AM875" t="s">
        <v>953</v>
      </c>
      <c r="AN875" t="s">
        <v>954</v>
      </c>
      <c r="AO875" t="s">
        <v>955</v>
      </c>
      <c r="AP875" t="s">
        <v>956</v>
      </c>
      <c r="AQ875" t="s">
        <v>74</v>
      </c>
      <c r="AR875" t="s">
        <v>957</v>
      </c>
      <c r="AS875" t="s">
        <v>958</v>
      </c>
      <c r="AT875" t="s">
        <v>14830</v>
      </c>
      <c r="AU875">
        <v>2014</v>
      </c>
      <c r="AV875">
        <v>52</v>
      </c>
      <c r="AW875">
        <v>5</v>
      </c>
      <c r="AX875" t="s">
        <v>74</v>
      </c>
      <c r="AY875" t="s">
        <v>74</v>
      </c>
      <c r="AZ875" t="s">
        <v>74</v>
      </c>
      <c r="BA875" t="s">
        <v>74</v>
      </c>
      <c r="BB875">
        <v>2738</v>
      </c>
      <c r="BC875">
        <v>2745</v>
      </c>
      <c r="BD875" t="s">
        <v>74</v>
      </c>
      <c r="BE875" t="s">
        <v>16317</v>
      </c>
      <c r="BF875" t="str">
        <f>HYPERLINK("http://dx.doi.org/10.1109/TGRS.2013.2265295","http://dx.doi.org/10.1109/TGRS.2013.2265295")</f>
        <v>http://dx.doi.org/10.1109/TGRS.2013.2265295</v>
      </c>
      <c r="BG875" t="s">
        <v>74</v>
      </c>
      <c r="BH875" t="s">
        <v>74</v>
      </c>
      <c r="BI875">
        <v>8</v>
      </c>
      <c r="BJ875" t="s">
        <v>960</v>
      </c>
      <c r="BK875" t="s">
        <v>102</v>
      </c>
      <c r="BL875" t="s">
        <v>961</v>
      </c>
      <c r="BM875" t="s">
        <v>16318</v>
      </c>
      <c r="BN875" t="s">
        <v>74</v>
      </c>
      <c r="BO875" t="s">
        <v>74</v>
      </c>
      <c r="BP875" t="s">
        <v>3371</v>
      </c>
      <c r="BQ875" t="s">
        <v>3372</v>
      </c>
      <c r="BR875" t="s">
        <v>105</v>
      </c>
      <c r="BS875" t="s">
        <v>16319</v>
      </c>
      <c r="BT875" t="str">
        <f>HYPERLINK("https%3A%2F%2Fwww.webofscience.com%2Fwos%2Fwoscc%2Ffull-record%2FWOS:000332484700037","View Full Record in Web of Science")</f>
        <v>View Full Record in Web of Science</v>
      </c>
    </row>
    <row r="876" spans="1:72" x14ac:dyDescent="0.15">
      <c r="A876" t="s">
        <v>72</v>
      </c>
      <c r="B876" t="s">
        <v>16320</v>
      </c>
      <c r="C876" t="s">
        <v>74</v>
      </c>
      <c r="D876" t="s">
        <v>74</v>
      </c>
      <c r="E876" t="s">
        <v>74</v>
      </c>
      <c r="F876" t="s">
        <v>16321</v>
      </c>
      <c r="G876" t="s">
        <v>74</v>
      </c>
      <c r="H876" t="s">
        <v>74</v>
      </c>
      <c r="I876" t="s">
        <v>16322</v>
      </c>
      <c r="J876" t="s">
        <v>267</v>
      </c>
      <c r="K876" t="s">
        <v>74</v>
      </c>
      <c r="L876" t="s">
        <v>74</v>
      </c>
      <c r="M876" t="s">
        <v>78</v>
      </c>
      <c r="N876" t="s">
        <v>79</v>
      </c>
      <c r="O876" t="s">
        <v>74</v>
      </c>
      <c r="P876" t="s">
        <v>74</v>
      </c>
      <c r="Q876" t="s">
        <v>74</v>
      </c>
      <c r="R876" t="s">
        <v>74</v>
      </c>
      <c r="S876" t="s">
        <v>74</v>
      </c>
      <c r="T876" t="s">
        <v>16323</v>
      </c>
      <c r="U876" t="s">
        <v>16324</v>
      </c>
      <c r="V876" t="s">
        <v>16325</v>
      </c>
      <c r="W876" t="s">
        <v>16326</v>
      </c>
      <c r="X876" t="s">
        <v>16327</v>
      </c>
      <c r="Y876" t="s">
        <v>16328</v>
      </c>
      <c r="Z876" t="s">
        <v>16329</v>
      </c>
      <c r="AA876" t="s">
        <v>74</v>
      </c>
      <c r="AB876" t="s">
        <v>16330</v>
      </c>
      <c r="AC876" t="s">
        <v>16331</v>
      </c>
      <c r="AD876" t="s">
        <v>16332</v>
      </c>
      <c r="AE876" t="s">
        <v>16333</v>
      </c>
      <c r="AF876" t="s">
        <v>74</v>
      </c>
      <c r="AG876">
        <v>48</v>
      </c>
      <c r="AH876">
        <v>60</v>
      </c>
      <c r="AI876">
        <v>62</v>
      </c>
      <c r="AJ876">
        <v>1</v>
      </c>
      <c r="AK876">
        <v>17</v>
      </c>
      <c r="AL876" t="s">
        <v>280</v>
      </c>
      <c r="AM876" t="s">
        <v>281</v>
      </c>
      <c r="AN876" t="s">
        <v>282</v>
      </c>
      <c r="AO876" t="s">
        <v>283</v>
      </c>
      <c r="AP876" t="s">
        <v>284</v>
      </c>
      <c r="AQ876" t="s">
        <v>74</v>
      </c>
      <c r="AR876" t="s">
        <v>285</v>
      </c>
      <c r="AS876" t="s">
        <v>286</v>
      </c>
      <c r="AT876" t="s">
        <v>14830</v>
      </c>
      <c r="AU876">
        <v>2014</v>
      </c>
      <c r="AV876">
        <v>27</v>
      </c>
      <c r="AW876">
        <v>9</v>
      </c>
      <c r="AX876" t="s">
        <v>74</v>
      </c>
      <c r="AY876" t="s">
        <v>74</v>
      </c>
      <c r="AZ876" t="s">
        <v>74</v>
      </c>
      <c r="BA876" t="s">
        <v>74</v>
      </c>
      <c r="BB876">
        <v>3446</v>
      </c>
      <c r="BC876">
        <v>3460</v>
      </c>
      <c r="BD876" t="s">
        <v>74</v>
      </c>
      <c r="BE876" t="s">
        <v>16334</v>
      </c>
      <c r="BF876" t="str">
        <f>HYPERLINK("http://dx.doi.org/10.1175/JCLI-D-13-00550.1","http://dx.doi.org/10.1175/JCLI-D-13-00550.1")</f>
        <v>http://dx.doi.org/10.1175/JCLI-D-13-00550.1</v>
      </c>
      <c r="BG876" t="s">
        <v>74</v>
      </c>
      <c r="BH876" t="s">
        <v>74</v>
      </c>
      <c r="BI876">
        <v>15</v>
      </c>
      <c r="BJ876" t="s">
        <v>177</v>
      </c>
      <c r="BK876" t="s">
        <v>102</v>
      </c>
      <c r="BL876" t="s">
        <v>177</v>
      </c>
      <c r="BM876" t="s">
        <v>16335</v>
      </c>
      <c r="BN876" t="s">
        <v>74</v>
      </c>
      <c r="BO876" t="s">
        <v>289</v>
      </c>
      <c r="BP876" t="s">
        <v>74</v>
      </c>
      <c r="BQ876" t="s">
        <v>74</v>
      </c>
      <c r="BR876" t="s">
        <v>105</v>
      </c>
      <c r="BS876" t="s">
        <v>16336</v>
      </c>
      <c r="BT876" t="str">
        <f>HYPERLINK("https%3A%2F%2Fwww.webofscience.com%2Fwos%2Fwoscc%2Ffull-record%2FWOS:000337272700018","View Full Record in Web of Science")</f>
        <v>View Full Record in Web of Science</v>
      </c>
    </row>
    <row r="877" spans="1:72" x14ac:dyDescent="0.15">
      <c r="A877" t="s">
        <v>72</v>
      </c>
      <c r="B877" t="s">
        <v>16337</v>
      </c>
      <c r="C877" t="s">
        <v>74</v>
      </c>
      <c r="D877" t="s">
        <v>74</v>
      </c>
      <c r="E877" t="s">
        <v>74</v>
      </c>
      <c r="F877" t="s">
        <v>16338</v>
      </c>
      <c r="G877" t="s">
        <v>74</v>
      </c>
      <c r="H877" t="s">
        <v>74</v>
      </c>
      <c r="I877" t="s">
        <v>16339</v>
      </c>
      <c r="J877" t="s">
        <v>267</v>
      </c>
      <c r="K877" t="s">
        <v>74</v>
      </c>
      <c r="L877" t="s">
        <v>74</v>
      </c>
      <c r="M877" t="s">
        <v>78</v>
      </c>
      <c r="N877" t="s">
        <v>79</v>
      </c>
      <c r="O877" t="s">
        <v>74</v>
      </c>
      <c r="P877" t="s">
        <v>74</v>
      </c>
      <c r="Q877" t="s">
        <v>74</v>
      </c>
      <c r="R877" t="s">
        <v>74</v>
      </c>
      <c r="S877" t="s">
        <v>74</v>
      </c>
      <c r="T877" t="s">
        <v>16340</v>
      </c>
      <c r="U877" t="s">
        <v>16341</v>
      </c>
      <c r="V877" t="s">
        <v>16342</v>
      </c>
      <c r="W877" t="s">
        <v>16343</v>
      </c>
      <c r="X877" t="s">
        <v>16344</v>
      </c>
      <c r="Y877" t="s">
        <v>16345</v>
      </c>
      <c r="Z877" t="s">
        <v>10659</v>
      </c>
      <c r="AA877" t="s">
        <v>16346</v>
      </c>
      <c r="AB877" t="s">
        <v>16347</v>
      </c>
      <c r="AC877" t="s">
        <v>8206</v>
      </c>
      <c r="AD877" t="s">
        <v>3836</v>
      </c>
      <c r="AE877" t="s">
        <v>74</v>
      </c>
      <c r="AF877" t="s">
        <v>74</v>
      </c>
      <c r="AG877">
        <v>78</v>
      </c>
      <c r="AH877">
        <v>72</v>
      </c>
      <c r="AI877">
        <v>77</v>
      </c>
      <c r="AJ877">
        <v>2</v>
      </c>
      <c r="AK877">
        <v>54</v>
      </c>
      <c r="AL877" t="s">
        <v>280</v>
      </c>
      <c r="AM877" t="s">
        <v>281</v>
      </c>
      <c r="AN877" t="s">
        <v>282</v>
      </c>
      <c r="AO877" t="s">
        <v>283</v>
      </c>
      <c r="AP877" t="s">
        <v>284</v>
      </c>
      <c r="AQ877" t="s">
        <v>74</v>
      </c>
      <c r="AR877" t="s">
        <v>285</v>
      </c>
      <c r="AS877" t="s">
        <v>286</v>
      </c>
      <c r="AT877" t="s">
        <v>14830</v>
      </c>
      <c r="AU877">
        <v>2014</v>
      </c>
      <c r="AV877">
        <v>27</v>
      </c>
      <c r="AW877">
        <v>10</v>
      </c>
      <c r="AX877" t="s">
        <v>74</v>
      </c>
      <c r="AY877" t="s">
        <v>74</v>
      </c>
      <c r="AZ877" t="s">
        <v>74</v>
      </c>
      <c r="BA877" t="s">
        <v>74</v>
      </c>
      <c r="BB877">
        <v>3784</v>
      </c>
      <c r="BC877">
        <v>3801</v>
      </c>
      <c r="BD877" t="s">
        <v>74</v>
      </c>
      <c r="BE877" t="s">
        <v>16348</v>
      </c>
      <c r="BF877" t="str">
        <f>HYPERLINK("http://dx.doi.org/10.1175/JCLI-D-13-00301.1","http://dx.doi.org/10.1175/JCLI-D-13-00301.1")</f>
        <v>http://dx.doi.org/10.1175/JCLI-D-13-00301.1</v>
      </c>
      <c r="BG877" t="s">
        <v>74</v>
      </c>
      <c r="BH877" t="s">
        <v>74</v>
      </c>
      <c r="BI877">
        <v>18</v>
      </c>
      <c r="BJ877" t="s">
        <v>177</v>
      </c>
      <c r="BK877" t="s">
        <v>102</v>
      </c>
      <c r="BL877" t="s">
        <v>177</v>
      </c>
      <c r="BM877" t="s">
        <v>16349</v>
      </c>
      <c r="BN877" t="s">
        <v>74</v>
      </c>
      <c r="BO877" t="s">
        <v>16350</v>
      </c>
      <c r="BP877" t="s">
        <v>74</v>
      </c>
      <c r="BQ877" t="s">
        <v>74</v>
      </c>
      <c r="BR877" t="s">
        <v>105</v>
      </c>
      <c r="BS877" t="s">
        <v>16351</v>
      </c>
      <c r="BT877" t="str">
        <f>HYPERLINK("https%3A%2F%2Fwww.webofscience.com%2Fwos%2Fwoscc%2Ffull-record%2FWOS:000335541100019","View Full Record in Web of Science")</f>
        <v>View Full Record in Web of Science</v>
      </c>
    </row>
    <row r="878" spans="1:72" x14ac:dyDescent="0.15">
      <c r="A878" t="s">
        <v>72</v>
      </c>
      <c r="B878" t="s">
        <v>16352</v>
      </c>
      <c r="C878" t="s">
        <v>74</v>
      </c>
      <c r="D878" t="s">
        <v>74</v>
      </c>
      <c r="E878" t="s">
        <v>74</v>
      </c>
      <c r="F878" t="s">
        <v>16353</v>
      </c>
      <c r="G878" t="s">
        <v>74</v>
      </c>
      <c r="H878" t="s">
        <v>74</v>
      </c>
      <c r="I878" t="s">
        <v>16354</v>
      </c>
      <c r="J878" t="s">
        <v>294</v>
      </c>
      <c r="K878" t="s">
        <v>74</v>
      </c>
      <c r="L878" t="s">
        <v>74</v>
      </c>
      <c r="M878" t="s">
        <v>78</v>
      </c>
      <c r="N878" t="s">
        <v>79</v>
      </c>
      <c r="O878" t="s">
        <v>74</v>
      </c>
      <c r="P878" t="s">
        <v>74</v>
      </c>
      <c r="Q878" t="s">
        <v>74</v>
      </c>
      <c r="R878" t="s">
        <v>74</v>
      </c>
      <c r="S878" t="s">
        <v>74</v>
      </c>
      <c r="T878" t="s">
        <v>16355</v>
      </c>
      <c r="U878" t="s">
        <v>16356</v>
      </c>
      <c r="V878" t="s">
        <v>16357</v>
      </c>
      <c r="W878" t="s">
        <v>16358</v>
      </c>
      <c r="X878" t="s">
        <v>16359</v>
      </c>
      <c r="Y878" t="s">
        <v>16360</v>
      </c>
      <c r="Z878" t="s">
        <v>16361</v>
      </c>
      <c r="AA878" t="s">
        <v>16362</v>
      </c>
      <c r="AB878" t="s">
        <v>16363</v>
      </c>
      <c r="AC878" t="s">
        <v>16364</v>
      </c>
      <c r="AD878" t="s">
        <v>16365</v>
      </c>
      <c r="AE878" t="s">
        <v>16366</v>
      </c>
      <c r="AF878" t="s">
        <v>74</v>
      </c>
      <c r="AG878">
        <v>87</v>
      </c>
      <c r="AH878">
        <v>48</v>
      </c>
      <c r="AI878">
        <v>55</v>
      </c>
      <c r="AJ878">
        <v>6</v>
      </c>
      <c r="AK878">
        <v>78</v>
      </c>
      <c r="AL878" t="s">
        <v>304</v>
      </c>
      <c r="AM878" t="s">
        <v>305</v>
      </c>
      <c r="AN878" t="s">
        <v>306</v>
      </c>
      <c r="AO878" t="s">
        <v>307</v>
      </c>
      <c r="AP878" t="s">
        <v>308</v>
      </c>
      <c r="AQ878" t="s">
        <v>74</v>
      </c>
      <c r="AR878" t="s">
        <v>309</v>
      </c>
      <c r="AS878" t="s">
        <v>310</v>
      </c>
      <c r="AT878" t="s">
        <v>14830</v>
      </c>
      <c r="AU878">
        <v>2014</v>
      </c>
      <c r="AV878">
        <v>184</v>
      </c>
      <c r="AW878">
        <v>4</v>
      </c>
      <c r="AX878" t="s">
        <v>74</v>
      </c>
      <c r="AY878" t="s">
        <v>74</v>
      </c>
      <c r="AZ878" t="s">
        <v>74</v>
      </c>
      <c r="BA878" t="s">
        <v>74</v>
      </c>
      <c r="BB878">
        <v>497</v>
      </c>
      <c r="BC878">
        <v>512</v>
      </c>
      <c r="BD878" t="s">
        <v>74</v>
      </c>
      <c r="BE878" t="s">
        <v>16367</v>
      </c>
      <c r="BF878" t="str">
        <f>HYPERLINK("http://dx.doi.org/10.1007/s00360-014-0813-4","http://dx.doi.org/10.1007/s00360-014-0813-4")</f>
        <v>http://dx.doi.org/10.1007/s00360-014-0813-4</v>
      </c>
      <c r="BG878" t="s">
        <v>74</v>
      </c>
      <c r="BH878" t="s">
        <v>74</v>
      </c>
      <c r="BI878">
        <v>16</v>
      </c>
      <c r="BJ878" t="s">
        <v>312</v>
      </c>
      <c r="BK878" t="s">
        <v>102</v>
      </c>
      <c r="BL878" t="s">
        <v>312</v>
      </c>
      <c r="BM878" t="s">
        <v>15813</v>
      </c>
      <c r="BN878">
        <v>24604291</v>
      </c>
      <c r="BO878" t="s">
        <v>74</v>
      </c>
      <c r="BP878" t="s">
        <v>74</v>
      </c>
      <c r="BQ878" t="s">
        <v>74</v>
      </c>
      <c r="BR878" t="s">
        <v>105</v>
      </c>
      <c r="BS878" t="s">
        <v>16368</v>
      </c>
      <c r="BT878" t="str">
        <f>HYPERLINK("https%3A%2F%2Fwww.webofscience.com%2Fwos%2Fwoscc%2Ffull-record%2FWOS:000334498900007","View Full Record in Web of Science")</f>
        <v>View Full Record in Web of Science</v>
      </c>
    </row>
    <row r="879" spans="1:72" x14ac:dyDescent="0.15">
      <c r="A879" t="s">
        <v>72</v>
      </c>
      <c r="B879" t="s">
        <v>16369</v>
      </c>
      <c r="C879" t="s">
        <v>74</v>
      </c>
      <c r="D879" t="s">
        <v>74</v>
      </c>
      <c r="E879" t="s">
        <v>74</v>
      </c>
      <c r="F879" t="s">
        <v>16370</v>
      </c>
      <c r="G879" t="s">
        <v>74</v>
      </c>
      <c r="H879" t="s">
        <v>74</v>
      </c>
      <c r="I879" t="s">
        <v>16371</v>
      </c>
      <c r="J879" t="s">
        <v>8577</v>
      </c>
      <c r="K879" t="s">
        <v>74</v>
      </c>
      <c r="L879" t="s">
        <v>74</v>
      </c>
      <c r="M879" t="s">
        <v>78</v>
      </c>
      <c r="N879" t="s">
        <v>79</v>
      </c>
      <c r="O879" t="s">
        <v>74</v>
      </c>
      <c r="P879" t="s">
        <v>74</v>
      </c>
      <c r="Q879" t="s">
        <v>74</v>
      </c>
      <c r="R879" t="s">
        <v>74</v>
      </c>
      <c r="S879" t="s">
        <v>74</v>
      </c>
      <c r="T879" t="s">
        <v>16372</v>
      </c>
      <c r="U879" t="s">
        <v>16373</v>
      </c>
      <c r="V879" t="s">
        <v>16374</v>
      </c>
      <c r="W879" t="s">
        <v>16375</v>
      </c>
      <c r="X879" t="s">
        <v>16376</v>
      </c>
      <c r="Y879" t="s">
        <v>16377</v>
      </c>
      <c r="Z879" t="s">
        <v>16378</v>
      </c>
      <c r="AA879" t="s">
        <v>74</v>
      </c>
      <c r="AB879" t="s">
        <v>16379</v>
      </c>
      <c r="AC879" t="s">
        <v>16380</v>
      </c>
      <c r="AD879" t="s">
        <v>16381</v>
      </c>
      <c r="AE879" t="s">
        <v>16382</v>
      </c>
      <c r="AF879" t="s">
        <v>74</v>
      </c>
      <c r="AG879">
        <v>57</v>
      </c>
      <c r="AH879">
        <v>50</v>
      </c>
      <c r="AI879">
        <v>57</v>
      </c>
      <c r="AJ879">
        <v>1</v>
      </c>
      <c r="AK879">
        <v>30</v>
      </c>
      <c r="AL879" t="s">
        <v>331</v>
      </c>
      <c r="AM879" t="s">
        <v>332</v>
      </c>
      <c r="AN879" t="s">
        <v>333</v>
      </c>
      <c r="AO879" t="s">
        <v>8589</v>
      </c>
      <c r="AP879" t="s">
        <v>8590</v>
      </c>
      <c r="AQ879" t="s">
        <v>74</v>
      </c>
      <c r="AR879" t="s">
        <v>8591</v>
      </c>
      <c r="AS879" t="s">
        <v>8592</v>
      </c>
      <c r="AT879" t="s">
        <v>14830</v>
      </c>
      <c r="AU879">
        <v>2014</v>
      </c>
      <c r="AV879">
        <v>119</v>
      </c>
      <c r="AW879">
        <v>5</v>
      </c>
      <c r="AX879" t="s">
        <v>74</v>
      </c>
      <c r="AY879" t="s">
        <v>74</v>
      </c>
      <c r="AZ879" t="s">
        <v>74</v>
      </c>
      <c r="BA879" t="s">
        <v>74</v>
      </c>
      <c r="BB879">
        <v>1004</v>
      </c>
      <c r="BC879">
        <v>1025</v>
      </c>
      <c r="BD879" t="s">
        <v>74</v>
      </c>
      <c r="BE879" t="s">
        <v>16383</v>
      </c>
      <c r="BF879" t="str">
        <f>HYPERLINK("http://dx.doi.org/10.1002/2013JF003008","http://dx.doi.org/10.1002/2013JF003008")</f>
        <v>http://dx.doi.org/10.1002/2013JF003008</v>
      </c>
      <c r="BG879" t="s">
        <v>74</v>
      </c>
      <c r="BH879" t="s">
        <v>74</v>
      </c>
      <c r="BI879">
        <v>22</v>
      </c>
      <c r="BJ879" t="s">
        <v>685</v>
      </c>
      <c r="BK879" t="s">
        <v>102</v>
      </c>
      <c r="BL879" t="s">
        <v>686</v>
      </c>
      <c r="BM879" t="s">
        <v>16384</v>
      </c>
      <c r="BN879" t="s">
        <v>74</v>
      </c>
      <c r="BO879" t="s">
        <v>427</v>
      </c>
      <c r="BP879" t="s">
        <v>74</v>
      </c>
      <c r="BQ879" t="s">
        <v>74</v>
      </c>
      <c r="BR879" t="s">
        <v>105</v>
      </c>
      <c r="BS879" t="s">
        <v>16385</v>
      </c>
      <c r="BT879" t="str">
        <f>HYPERLINK("https%3A%2F%2Fwww.webofscience.com%2Fwos%2Fwoscc%2Ffull-record%2FWOS:000337620600003","View Full Record in Web of Science")</f>
        <v>View Full Record in Web of Science</v>
      </c>
    </row>
    <row r="880" spans="1:72" x14ac:dyDescent="0.15">
      <c r="A880" t="s">
        <v>72</v>
      </c>
      <c r="B880" t="s">
        <v>16386</v>
      </c>
      <c r="C880" t="s">
        <v>74</v>
      </c>
      <c r="D880" t="s">
        <v>74</v>
      </c>
      <c r="E880" t="s">
        <v>74</v>
      </c>
      <c r="F880" t="s">
        <v>16387</v>
      </c>
      <c r="G880" t="s">
        <v>74</v>
      </c>
      <c r="H880" t="s">
        <v>74</v>
      </c>
      <c r="I880" t="s">
        <v>16388</v>
      </c>
      <c r="J880" t="s">
        <v>1951</v>
      </c>
      <c r="K880" t="s">
        <v>74</v>
      </c>
      <c r="L880" t="s">
        <v>74</v>
      </c>
      <c r="M880" t="s">
        <v>78</v>
      </c>
      <c r="N880" t="s">
        <v>79</v>
      </c>
      <c r="O880" t="s">
        <v>74</v>
      </c>
      <c r="P880" t="s">
        <v>74</v>
      </c>
      <c r="Q880" t="s">
        <v>74</v>
      </c>
      <c r="R880" t="s">
        <v>74</v>
      </c>
      <c r="S880" t="s">
        <v>74</v>
      </c>
      <c r="T880" t="s">
        <v>16389</v>
      </c>
      <c r="U880" t="s">
        <v>16390</v>
      </c>
      <c r="V880" t="s">
        <v>16391</v>
      </c>
      <c r="W880" t="s">
        <v>16392</v>
      </c>
      <c r="X880" t="s">
        <v>16393</v>
      </c>
      <c r="Y880" t="s">
        <v>16394</v>
      </c>
      <c r="Z880" t="s">
        <v>16395</v>
      </c>
      <c r="AA880" t="s">
        <v>74</v>
      </c>
      <c r="AB880" t="s">
        <v>16396</v>
      </c>
      <c r="AC880" t="s">
        <v>74</v>
      </c>
      <c r="AD880" t="s">
        <v>74</v>
      </c>
      <c r="AE880" t="s">
        <v>74</v>
      </c>
      <c r="AF880" t="s">
        <v>74</v>
      </c>
      <c r="AG880">
        <v>25</v>
      </c>
      <c r="AH880">
        <v>18</v>
      </c>
      <c r="AI880">
        <v>18</v>
      </c>
      <c r="AJ880">
        <v>0</v>
      </c>
      <c r="AK880">
        <v>6</v>
      </c>
      <c r="AL880" t="s">
        <v>331</v>
      </c>
      <c r="AM880" t="s">
        <v>332</v>
      </c>
      <c r="AN880" t="s">
        <v>333</v>
      </c>
      <c r="AO880" t="s">
        <v>1963</v>
      </c>
      <c r="AP880" t="s">
        <v>1964</v>
      </c>
      <c r="AQ880" t="s">
        <v>74</v>
      </c>
      <c r="AR880" t="s">
        <v>1965</v>
      </c>
      <c r="AS880" t="s">
        <v>1966</v>
      </c>
      <c r="AT880" t="s">
        <v>14830</v>
      </c>
      <c r="AU880">
        <v>2014</v>
      </c>
      <c r="AV880">
        <v>119</v>
      </c>
      <c r="AW880">
        <v>5</v>
      </c>
      <c r="AX880" t="s">
        <v>74</v>
      </c>
      <c r="AY880" t="s">
        <v>74</v>
      </c>
      <c r="AZ880" t="s">
        <v>74</v>
      </c>
      <c r="BA880" t="s">
        <v>74</v>
      </c>
      <c r="BB880">
        <v>3041</v>
      </c>
      <c r="BC880">
        <v>3053</v>
      </c>
      <c r="BD880" t="s">
        <v>74</v>
      </c>
      <c r="BE880" t="s">
        <v>16397</v>
      </c>
      <c r="BF880" t="str">
        <f>HYPERLINK("http://dx.doi.org/10.1002/2013JC009543","http://dx.doi.org/10.1002/2013JC009543")</f>
        <v>http://dx.doi.org/10.1002/2013JC009543</v>
      </c>
      <c r="BG880" t="s">
        <v>74</v>
      </c>
      <c r="BH880" t="s">
        <v>74</v>
      </c>
      <c r="BI880">
        <v>13</v>
      </c>
      <c r="BJ880" t="s">
        <v>152</v>
      </c>
      <c r="BK880" t="s">
        <v>102</v>
      </c>
      <c r="BL880" t="s">
        <v>152</v>
      </c>
      <c r="BM880" t="s">
        <v>15106</v>
      </c>
      <c r="BN880" t="s">
        <v>74</v>
      </c>
      <c r="BO880" t="s">
        <v>179</v>
      </c>
      <c r="BP880" t="s">
        <v>74</v>
      </c>
      <c r="BQ880" t="s">
        <v>74</v>
      </c>
      <c r="BR880" t="s">
        <v>105</v>
      </c>
      <c r="BS880" t="s">
        <v>16398</v>
      </c>
      <c r="BT880" t="str">
        <f>HYPERLINK("https%3A%2F%2Fwww.webofscience.com%2Fwos%2Fwoscc%2Ffull-record%2FWOS:000337632500020","View Full Record in Web of Science")</f>
        <v>View Full Record in Web of Science</v>
      </c>
    </row>
    <row r="881" spans="1:72" x14ac:dyDescent="0.15">
      <c r="A881" t="s">
        <v>72</v>
      </c>
      <c r="B881" t="s">
        <v>16399</v>
      </c>
      <c r="C881" t="s">
        <v>74</v>
      </c>
      <c r="D881" t="s">
        <v>74</v>
      </c>
      <c r="E881" t="s">
        <v>74</v>
      </c>
      <c r="F881" t="s">
        <v>16400</v>
      </c>
      <c r="G881" t="s">
        <v>74</v>
      </c>
      <c r="H881" t="s">
        <v>74</v>
      </c>
      <c r="I881" t="s">
        <v>16401</v>
      </c>
      <c r="J881" t="s">
        <v>318</v>
      </c>
      <c r="K881" t="s">
        <v>74</v>
      </c>
      <c r="L881" t="s">
        <v>74</v>
      </c>
      <c r="M881" t="s">
        <v>78</v>
      </c>
      <c r="N881" t="s">
        <v>79</v>
      </c>
      <c r="O881" t="s">
        <v>74</v>
      </c>
      <c r="P881" t="s">
        <v>74</v>
      </c>
      <c r="Q881" t="s">
        <v>74</v>
      </c>
      <c r="R881" t="s">
        <v>74</v>
      </c>
      <c r="S881" t="s">
        <v>74</v>
      </c>
      <c r="T881" t="s">
        <v>16402</v>
      </c>
      <c r="U881" t="s">
        <v>16403</v>
      </c>
      <c r="V881" t="s">
        <v>16404</v>
      </c>
      <c r="W881" t="s">
        <v>16405</v>
      </c>
      <c r="X881" t="s">
        <v>16406</v>
      </c>
      <c r="Y881" t="s">
        <v>16407</v>
      </c>
      <c r="Z881" t="s">
        <v>16408</v>
      </c>
      <c r="AA881" t="s">
        <v>16409</v>
      </c>
      <c r="AB881" t="s">
        <v>16410</v>
      </c>
      <c r="AC881" t="s">
        <v>16411</v>
      </c>
      <c r="AD881" t="s">
        <v>16412</v>
      </c>
      <c r="AE881" t="s">
        <v>16413</v>
      </c>
      <c r="AF881" t="s">
        <v>74</v>
      </c>
      <c r="AG881">
        <v>57</v>
      </c>
      <c r="AH881">
        <v>48</v>
      </c>
      <c r="AI881">
        <v>49</v>
      </c>
      <c r="AJ881">
        <v>0</v>
      </c>
      <c r="AK881">
        <v>15</v>
      </c>
      <c r="AL881" t="s">
        <v>331</v>
      </c>
      <c r="AM881" t="s">
        <v>332</v>
      </c>
      <c r="AN881" t="s">
        <v>333</v>
      </c>
      <c r="AO881" t="s">
        <v>334</v>
      </c>
      <c r="AP881" t="s">
        <v>335</v>
      </c>
      <c r="AQ881" t="s">
        <v>74</v>
      </c>
      <c r="AR881" t="s">
        <v>336</v>
      </c>
      <c r="AS881" t="s">
        <v>337</v>
      </c>
      <c r="AT881" t="s">
        <v>14830</v>
      </c>
      <c r="AU881">
        <v>2014</v>
      </c>
      <c r="AV881">
        <v>119</v>
      </c>
      <c r="AW881">
        <v>5</v>
      </c>
      <c r="AX881" t="s">
        <v>74</v>
      </c>
      <c r="AY881" t="s">
        <v>74</v>
      </c>
      <c r="AZ881" t="s">
        <v>74</v>
      </c>
      <c r="BA881" t="s">
        <v>74</v>
      </c>
      <c r="BB881">
        <v>3490</v>
      </c>
      <c r="BC881">
        <v>3502</v>
      </c>
      <c r="BD881" t="s">
        <v>74</v>
      </c>
      <c r="BE881" t="s">
        <v>16414</v>
      </c>
      <c r="BF881" t="str">
        <f>HYPERLINK("http://dx.doi.org/10.1002/2014JA019891","http://dx.doi.org/10.1002/2014JA019891")</f>
        <v>http://dx.doi.org/10.1002/2014JA019891</v>
      </c>
      <c r="BG881" t="s">
        <v>74</v>
      </c>
      <c r="BH881" t="s">
        <v>74</v>
      </c>
      <c r="BI881">
        <v>13</v>
      </c>
      <c r="BJ881" t="s">
        <v>339</v>
      </c>
      <c r="BK881" t="s">
        <v>102</v>
      </c>
      <c r="BL881" t="s">
        <v>339</v>
      </c>
      <c r="BM881" t="s">
        <v>16415</v>
      </c>
      <c r="BN881" t="s">
        <v>74</v>
      </c>
      <c r="BO881" t="s">
        <v>467</v>
      </c>
      <c r="BP881" t="s">
        <v>74</v>
      </c>
      <c r="BQ881" t="s">
        <v>74</v>
      </c>
      <c r="BR881" t="s">
        <v>105</v>
      </c>
      <c r="BS881" t="s">
        <v>16416</v>
      </c>
      <c r="BT881" t="str">
        <f>HYPERLINK("https%3A%2F%2Fwww.webofscience.com%2Fwos%2Fwoscc%2Ffull-record%2FWOS:000337622100021","View Full Record in Web of Science")</f>
        <v>View Full Record in Web of Science</v>
      </c>
    </row>
    <row r="882" spans="1:72" x14ac:dyDescent="0.15">
      <c r="A882" t="s">
        <v>72</v>
      </c>
      <c r="B882" t="s">
        <v>16417</v>
      </c>
      <c r="C882" t="s">
        <v>74</v>
      </c>
      <c r="D882" t="s">
        <v>74</v>
      </c>
      <c r="E882" t="s">
        <v>74</v>
      </c>
      <c r="F882" t="s">
        <v>16418</v>
      </c>
      <c r="G882" t="s">
        <v>74</v>
      </c>
      <c r="H882" t="s">
        <v>74</v>
      </c>
      <c r="I882" t="s">
        <v>16419</v>
      </c>
      <c r="J882" t="s">
        <v>318</v>
      </c>
      <c r="K882" t="s">
        <v>74</v>
      </c>
      <c r="L882" t="s">
        <v>74</v>
      </c>
      <c r="M882" t="s">
        <v>78</v>
      </c>
      <c r="N882" t="s">
        <v>79</v>
      </c>
      <c r="O882" t="s">
        <v>74</v>
      </c>
      <c r="P882" t="s">
        <v>74</v>
      </c>
      <c r="Q882" t="s">
        <v>74</v>
      </c>
      <c r="R882" t="s">
        <v>74</v>
      </c>
      <c r="S882" t="s">
        <v>74</v>
      </c>
      <c r="T882" t="s">
        <v>16420</v>
      </c>
      <c r="U882" t="s">
        <v>16421</v>
      </c>
      <c r="V882" t="s">
        <v>16422</v>
      </c>
      <c r="W882" t="s">
        <v>16423</v>
      </c>
      <c r="X882" t="s">
        <v>16424</v>
      </c>
      <c r="Y882" t="s">
        <v>16425</v>
      </c>
      <c r="Z882" t="s">
        <v>16426</v>
      </c>
      <c r="AA882" t="s">
        <v>16427</v>
      </c>
      <c r="AB882" t="s">
        <v>16428</v>
      </c>
      <c r="AC882" t="s">
        <v>16429</v>
      </c>
      <c r="AD882" t="s">
        <v>16430</v>
      </c>
      <c r="AE882" t="s">
        <v>16431</v>
      </c>
      <c r="AF882" t="s">
        <v>74</v>
      </c>
      <c r="AG882">
        <v>46</v>
      </c>
      <c r="AH882">
        <v>10</v>
      </c>
      <c r="AI882">
        <v>10</v>
      </c>
      <c r="AJ882">
        <v>0</v>
      </c>
      <c r="AK882">
        <v>4</v>
      </c>
      <c r="AL882" t="s">
        <v>331</v>
      </c>
      <c r="AM882" t="s">
        <v>332</v>
      </c>
      <c r="AN882" t="s">
        <v>333</v>
      </c>
      <c r="AO882" t="s">
        <v>334</v>
      </c>
      <c r="AP882" t="s">
        <v>335</v>
      </c>
      <c r="AQ882" t="s">
        <v>74</v>
      </c>
      <c r="AR882" t="s">
        <v>336</v>
      </c>
      <c r="AS882" t="s">
        <v>337</v>
      </c>
      <c r="AT882" t="s">
        <v>14830</v>
      </c>
      <c r="AU882">
        <v>2014</v>
      </c>
      <c r="AV882">
        <v>119</v>
      </c>
      <c r="AW882">
        <v>5</v>
      </c>
      <c r="AX882" t="s">
        <v>74</v>
      </c>
      <c r="AY882" t="s">
        <v>74</v>
      </c>
      <c r="AZ882" t="s">
        <v>74</v>
      </c>
      <c r="BA882" t="s">
        <v>74</v>
      </c>
      <c r="BB882">
        <v>3961</v>
      </c>
      <c r="BC882">
        <v>3978</v>
      </c>
      <c r="BD882" t="s">
        <v>74</v>
      </c>
      <c r="BE882" t="s">
        <v>16432</v>
      </c>
      <c r="BF882" t="str">
        <f>HYPERLINK("http://dx.doi.org/10.1002/2013JA019715","http://dx.doi.org/10.1002/2013JA019715")</f>
        <v>http://dx.doi.org/10.1002/2013JA019715</v>
      </c>
      <c r="BG882" t="s">
        <v>74</v>
      </c>
      <c r="BH882" t="s">
        <v>74</v>
      </c>
      <c r="BI882">
        <v>18</v>
      </c>
      <c r="BJ882" t="s">
        <v>339</v>
      </c>
      <c r="BK882" t="s">
        <v>102</v>
      </c>
      <c r="BL882" t="s">
        <v>339</v>
      </c>
      <c r="BM882" t="s">
        <v>16415</v>
      </c>
      <c r="BN882" t="s">
        <v>74</v>
      </c>
      <c r="BO882" t="s">
        <v>467</v>
      </c>
      <c r="BP882" t="s">
        <v>74</v>
      </c>
      <c r="BQ882" t="s">
        <v>74</v>
      </c>
      <c r="BR882" t="s">
        <v>105</v>
      </c>
      <c r="BS882" t="s">
        <v>16433</v>
      </c>
      <c r="BT882" t="str">
        <f>HYPERLINK("https%3A%2F%2Fwww.webofscience.com%2Fwos%2Fwoscc%2Ffull-record%2FWOS:000337622100053","View Full Record in Web of Science")</f>
        <v>View Full Record in Web of Science</v>
      </c>
    </row>
    <row r="883" spans="1:72" x14ac:dyDescent="0.15">
      <c r="A883" t="s">
        <v>72</v>
      </c>
      <c r="B883" t="s">
        <v>16434</v>
      </c>
      <c r="C883" t="s">
        <v>74</v>
      </c>
      <c r="D883" t="s">
        <v>74</v>
      </c>
      <c r="E883" t="s">
        <v>74</v>
      </c>
      <c r="F883" t="s">
        <v>16435</v>
      </c>
      <c r="G883" t="s">
        <v>74</v>
      </c>
      <c r="H883" t="s">
        <v>74</v>
      </c>
      <c r="I883" t="s">
        <v>16436</v>
      </c>
      <c r="J883" t="s">
        <v>4414</v>
      </c>
      <c r="K883" t="s">
        <v>74</v>
      </c>
      <c r="L883" t="s">
        <v>74</v>
      </c>
      <c r="M883" t="s">
        <v>78</v>
      </c>
      <c r="N883" t="s">
        <v>79</v>
      </c>
      <c r="O883" t="s">
        <v>74</v>
      </c>
      <c r="P883" t="s">
        <v>74</v>
      </c>
      <c r="Q883" t="s">
        <v>74</v>
      </c>
      <c r="R883" t="s">
        <v>74</v>
      </c>
      <c r="S883" t="s">
        <v>74</v>
      </c>
      <c r="T883" t="s">
        <v>16437</v>
      </c>
      <c r="U883" t="s">
        <v>16438</v>
      </c>
      <c r="V883" t="s">
        <v>16439</v>
      </c>
      <c r="W883" t="s">
        <v>16440</v>
      </c>
      <c r="X883" t="s">
        <v>16441</v>
      </c>
      <c r="Y883" t="s">
        <v>16442</v>
      </c>
      <c r="Z883" t="s">
        <v>16443</v>
      </c>
      <c r="AA883" t="s">
        <v>16444</v>
      </c>
      <c r="AB883" t="s">
        <v>16445</v>
      </c>
      <c r="AC883" t="s">
        <v>16446</v>
      </c>
      <c r="AD883" t="s">
        <v>16447</v>
      </c>
      <c r="AE883" t="s">
        <v>16448</v>
      </c>
      <c r="AF883" t="s">
        <v>74</v>
      </c>
      <c r="AG883">
        <v>150</v>
      </c>
      <c r="AH883">
        <v>78</v>
      </c>
      <c r="AI883">
        <v>93</v>
      </c>
      <c r="AJ883">
        <v>0</v>
      </c>
      <c r="AK883">
        <v>86</v>
      </c>
      <c r="AL883" t="s">
        <v>753</v>
      </c>
      <c r="AM883" t="s">
        <v>124</v>
      </c>
      <c r="AN883" t="s">
        <v>754</v>
      </c>
      <c r="AO883" t="s">
        <v>4427</v>
      </c>
      <c r="AP883" t="s">
        <v>4428</v>
      </c>
      <c r="AQ883" t="s">
        <v>74</v>
      </c>
      <c r="AR883" t="s">
        <v>4429</v>
      </c>
      <c r="AS883" t="s">
        <v>4430</v>
      </c>
      <c r="AT883" t="s">
        <v>14830</v>
      </c>
      <c r="AU883">
        <v>2014</v>
      </c>
      <c r="AV883">
        <v>133</v>
      </c>
      <c r="AW883" t="s">
        <v>74</v>
      </c>
      <c r="AX883" t="s">
        <v>74</v>
      </c>
      <c r="AY883" t="s">
        <v>74</v>
      </c>
      <c r="AZ883" t="s">
        <v>258</v>
      </c>
      <c r="BA883" t="s">
        <v>74</v>
      </c>
      <c r="BB883">
        <v>117</v>
      </c>
      <c r="BC883">
        <v>130</v>
      </c>
      <c r="BD883" t="s">
        <v>74</v>
      </c>
      <c r="BE883" t="s">
        <v>16449</v>
      </c>
      <c r="BF883" t="str">
        <f>HYPERLINK("http://dx.doi.org/10.1016/j.jmarsys.2013.11.001","http://dx.doi.org/10.1016/j.jmarsys.2013.11.001")</f>
        <v>http://dx.doi.org/10.1016/j.jmarsys.2013.11.001</v>
      </c>
      <c r="BG883" t="s">
        <v>74</v>
      </c>
      <c r="BH883" t="s">
        <v>74</v>
      </c>
      <c r="BI883">
        <v>14</v>
      </c>
      <c r="BJ883" t="s">
        <v>4432</v>
      </c>
      <c r="BK883" t="s">
        <v>102</v>
      </c>
      <c r="BL883" t="s">
        <v>4433</v>
      </c>
      <c r="BM883" t="s">
        <v>16450</v>
      </c>
      <c r="BN883" t="s">
        <v>74</v>
      </c>
      <c r="BO883" t="s">
        <v>74</v>
      </c>
      <c r="BP883" t="s">
        <v>74</v>
      </c>
      <c r="BQ883" t="s">
        <v>74</v>
      </c>
      <c r="BR883" t="s">
        <v>105</v>
      </c>
      <c r="BS883" t="s">
        <v>16451</v>
      </c>
      <c r="BT883" t="str">
        <f>HYPERLINK("https%3A%2F%2Fwww.webofscience.com%2Fwos%2Fwoscc%2Ffull-record%2FWOS:000335428300011","View Full Record in Web of Science")</f>
        <v>View Full Record in Web of Science</v>
      </c>
    </row>
    <row r="884" spans="1:72" x14ac:dyDescent="0.15">
      <c r="A884" t="s">
        <v>72</v>
      </c>
      <c r="B884" t="s">
        <v>16452</v>
      </c>
      <c r="C884" t="s">
        <v>74</v>
      </c>
      <c r="D884" t="s">
        <v>74</v>
      </c>
      <c r="E884" t="s">
        <v>74</v>
      </c>
      <c r="F884" t="s">
        <v>16453</v>
      </c>
      <c r="G884" t="s">
        <v>74</v>
      </c>
      <c r="H884" t="s">
        <v>74</v>
      </c>
      <c r="I884" t="s">
        <v>16454</v>
      </c>
      <c r="J884" t="s">
        <v>432</v>
      </c>
      <c r="K884" t="s">
        <v>74</v>
      </c>
      <c r="L884" t="s">
        <v>74</v>
      </c>
      <c r="M884" t="s">
        <v>78</v>
      </c>
      <c r="N884" t="s">
        <v>79</v>
      </c>
      <c r="O884" t="s">
        <v>74</v>
      </c>
      <c r="P884" t="s">
        <v>74</v>
      </c>
      <c r="Q884" t="s">
        <v>74</v>
      </c>
      <c r="R884" t="s">
        <v>74</v>
      </c>
      <c r="S884" t="s">
        <v>74</v>
      </c>
      <c r="T884" t="s">
        <v>16455</v>
      </c>
      <c r="U884" t="s">
        <v>16456</v>
      </c>
      <c r="V884" t="s">
        <v>16457</v>
      </c>
      <c r="W884" t="s">
        <v>16458</v>
      </c>
      <c r="X884" t="s">
        <v>16459</v>
      </c>
      <c r="Y884" t="s">
        <v>16460</v>
      </c>
      <c r="Z884" t="s">
        <v>16461</v>
      </c>
      <c r="AA884" t="s">
        <v>16462</v>
      </c>
      <c r="AB884" t="s">
        <v>16463</v>
      </c>
      <c r="AC884" t="s">
        <v>16464</v>
      </c>
      <c r="AD884" t="s">
        <v>16465</v>
      </c>
      <c r="AE884" t="s">
        <v>16466</v>
      </c>
      <c r="AF884" t="s">
        <v>74</v>
      </c>
      <c r="AG884">
        <v>43</v>
      </c>
      <c r="AH884">
        <v>63</v>
      </c>
      <c r="AI884">
        <v>70</v>
      </c>
      <c r="AJ884">
        <v>1</v>
      </c>
      <c r="AK884">
        <v>21</v>
      </c>
      <c r="AL884" t="s">
        <v>280</v>
      </c>
      <c r="AM884" t="s">
        <v>281</v>
      </c>
      <c r="AN884" t="s">
        <v>282</v>
      </c>
      <c r="AO884" t="s">
        <v>444</v>
      </c>
      <c r="AP884" t="s">
        <v>445</v>
      </c>
      <c r="AQ884" t="s">
        <v>74</v>
      </c>
      <c r="AR884" t="s">
        <v>446</v>
      </c>
      <c r="AS884" t="s">
        <v>447</v>
      </c>
      <c r="AT884" t="s">
        <v>14830</v>
      </c>
      <c r="AU884">
        <v>2014</v>
      </c>
      <c r="AV884">
        <v>44</v>
      </c>
      <c r="AW884">
        <v>5</v>
      </c>
      <c r="AX884" t="s">
        <v>74</v>
      </c>
      <c r="AY884" t="s">
        <v>74</v>
      </c>
      <c r="AZ884" t="s">
        <v>74</v>
      </c>
      <c r="BA884" t="s">
        <v>74</v>
      </c>
      <c r="BB884">
        <v>1466</v>
      </c>
      <c r="BC884">
        <v>1492</v>
      </c>
      <c r="BD884" t="s">
        <v>74</v>
      </c>
      <c r="BE884" t="s">
        <v>16467</v>
      </c>
      <c r="BF884" t="str">
        <f>HYPERLINK("http://dx.doi.org/10.1175/JPO-D-12-0154.1","http://dx.doi.org/10.1175/JPO-D-12-0154.1")</f>
        <v>http://dx.doi.org/10.1175/JPO-D-12-0154.1</v>
      </c>
      <c r="BG884" t="s">
        <v>74</v>
      </c>
      <c r="BH884" t="s">
        <v>74</v>
      </c>
      <c r="BI884">
        <v>27</v>
      </c>
      <c r="BJ884" t="s">
        <v>152</v>
      </c>
      <c r="BK884" t="s">
        <v>102</v>
      </c>
      <c r="BL884" t="s">
        <v>152</v>
      </c>
      <c r="BM884" t="s">
        <v>15885</v>
      </c>
      <c r="BN884" t="s">
        <v>74</v>
      </c>
      <c r="BO884" t="s">
        <v>16468</v>
      </c>
      <c r="BP884" t="s">
        <v>74</v>
      </c>
      <c r="BQ884" t="s">
        <v>74</v>
      </c>
      <c r="BR884" t="s">
        <v>105</v>
      </c>
      <c r="BS884" t="s">
        <v>16469</v>
      </c>
      <c r="BT884" t="str">
        <f>HYPERLINK("https%3A%2F%2Fwww.webofscience.com%2Fwos%2Fwoscc%2Ffull-record%2FWOS:000334815500012","View Full Record in Web of Science")</f>
        <v>View Full Record in Web of Science</v>
      </c>
    </row>
    <row r="885" spans="1:72" x14ac:dyDescent="0.15">
      <c r="A885" t="s">
        <v>72</v>
      </c>
      <c r="B885" t="s">
        <v>16470</v>
      </c>
      <c r="C885" t="s">
        <v>74</v>
      </c>
      <c r="D885" t="s">
        <v>74</v>
      </c>
      <c r="E885" t="s">
        <v>74</v>
      </c>
      <c r="F885" t="s">
        <v>16471</v>
      </c>
      <c r="G885" t="s">
        <v>74</v>
      </c>
      <c r="H885" t="s">
        <v>74</v>
      </c>
      <c r="I885" t="s">
        <v>16472</v>
      </c>
      <c r="J885" t="s">
        <v>10470</v>
      </c>
      <c r="K885" t="s">
        <v>74</v>
      </c>
      <c r="L885" t="s">
        <v>74</v>
      </c>
      <c r="M885" t="s">
        <v>78</v>
      </c>
      <c r="N885" t="s">
        <v>79</v>
      </c>
      <c r="O885" t="s">
        <v>74</v>
      </c>
      <c r="P885" t="s">
        <v>74</v>
      </c>
      <c r="Q885" t="s">
        <v>74</v>
      </c>
      <c r="R885" t="s">
        <v>74</v>
      </c>
      <c r="S885" t="s">
        <v>74</v>
      </c>
      <c r="T885" t="s">
        <v>16473</v>
      </c>
      <c r="U885" t="s">
        <v>16474</v>
      </c>
      <c r="V885" t="s">
        <v>16475</v>
      </c>
      <c r="W885" t="s">
        <v>16476</v>
      </c>
      <c r="X885" t="s">
        <v>16477</v>
      </c>
      <c r="Y885" t="s">
        <v>16478</v>
      </c>
      <c r="Z885" t="s">
        <v>16479</v>
      </c>
      <c r="AA885" t="s">
        <v>16480</v>
      </c>
      <c r="AB885" t="s">
        <v>16481</v>
      </c>
      <c r="AC885" t="s">
        <v>3855</v>
      </c>
      <c r="AD885" t="s">
        <v>1068</v>
      </c>
      <c r="AE885" t="s">
        <v>16482</v>
      </c>
      <c r="AF885" t="s">
        <v>74</v>
      </c>
      <c r="AG885">
        <v>37</v>
      </c>
      <c r="AH885">
        <v>14</v>
      </c>
      <c r="AI885">
        <v>14</v>
      </c>
      <c r="AJ885">
        <v>2</v>
      </c>
      <c r="AK885">
        <v>25</v>
      </c>
      <c r="AL885" t="s">
        <v>250</v>
      </c>
      <c r="AM885" t="s">
        <v>251</v>
      </c>
      <c r="AN885" t="s">
        <v>252</v>
      </c>
      <c r="AO885" t="s">
        <v>10483</v>
      </c>
      <c r="AP885" t="s">
        <v>10484</v>
      </c>
      <c r="AQ885" t="s">
        <v>74</v>
      </c>
      <c r="AR885" t="s">
        <v>10485</v>
      </c>
      <c r="AS885" t="s">
        <v>10486</v>
      </c>
      <c r="AT885" t="s">
        <v>14830</v>
      </c>
      <c r="AU885">
        <v>2014</v>
      </c>
      <c r="AV885">
        <v>138</v>
      </c>
      <c r="AW885" t="s">
        <v>74</v>
      </c>
      <c r="AX885" t="s">
        <v>74</v>
      </c>
      <c r="AY885" t="s">
        <v>74</v>
      </c>
      <c r="AZ885" t="s">
        <v>74</v>
      </c>
      <c r="BA885" t="s">
        <v>74</v>
      </c>
      <c r="BB885">
        <v>70</v>
      </c>
      <c r="BC885">
        <v>81</v>
      </c>
      <c r="BD885" t="s">
        <v>74</v>
      </c>
      <c r="BE885" t="s">
        <v>16483</v>
      </c>
      <c r="BF885" t="str">
        <f>HYPERLINK("http://dx.doi.org/10.1016/j.jqsrt.2014.01.026","http://dx.doi.org/10.1016/j.jqsrt.2014.01.026")</f>
        <v>http://dx.doi.org/10.1016/j.jqsrt.2014.01.026</v>
      </c>
      <c r="BG885" t="s">
        <v>74</v>
      </c>
      <c r="BH885" t="s">
        <v>74</v>
      </c>
      <c r="BI885">
        <v>12</v>
      </c>
      <c r="BJ885" t="s">
        <v>10488</v>
      </c>
      <c r="BK885" t="s">
        <v>102</v>
      </c>
      <c r="BL885" t="s">
        <v>10488</v>
      </c>
      <c r="BM885" t="s">
        <v>16484</v>
      </c>
      <c r="BN885" t="s">
        <v>74</v>
      </c>
      <c r="BO885" t="s">
        <v>4028</v>
      </c>
      <c r="BP885" t="s">
        <v>74</v>
      </c>
      <c r="BQ885" t="s">
        <v>74</v>
      </c>
      <c r="BR885" t="s">
        <v>105</v>
      </c>
      <c r="BS885" t="s">
        <v>16485</v>
      </c>
      <c r="BT885" t="str">
        <f>HYPERLINK("https%3A%2F%2Fwww.webofscience.com%2Fwos%2Fwoscc%2Ffull-record%2FWOS:000334081300006","View Full Record in Web of Science")</f>
        <v>View Full Record in Web of Science</v>
      </c>
    </row>
    <row r="886" spans="1:72" x14ac:dyDescent="0.15">
      <c r="A886" t="s">
        <v>72</v>
      </c>
      <c r="B886" t="s">
        <v>16486</v>
      </c>
      <c r="C886" t="s">
        <v>74</v>
      </c>
      <c r="D886" t="s">
        <v>74</v>
      </c>
      <c r="E886" t="s">
        <v>74</v>
      </c>
      <c r="F886" t="s">
        <v>16487</v>
      </c>
      <c r="G886" t="s">
        <v>74</v>
      </c>
      <c r="H886" t="s">
        <v>74</v>
      </c>
      <c r="I886" t="s">
        <v>16488</v>
      </c>
      <c r="J886" t="s">
        <v>8667</v>
      </c>
      <c r="K886" t="s">
        <v>74</v>
      </c>
      <c r="L886" t="s">
        <v>74</v>
      </c>
      <c r="M886" t="s">
        <v>78</v>
      </c>
      <c r="N886" t="s">
        <v>79</v>
      </c>
      <c r="O886" t="s">
        <v>74</v>
      </c>
      <c r="P886" t="s">
        <v>74</v>
      </c>
      <c r="Q886" t="s">
        <v>74</v>
      </c>
      <c r="R886" t="s">
        <v>74</v>
      </c>
      <c r="S886" t="s">
        <v>74</v>
      </c>
      <c r="T886" t="s">
        <v>16489</v>
      </c>
      <c r="U886" t="s">
        <v>16490</v>
      </c>
      <c r="V886" t="s">
        <v>16491</v>
      </c>
      <c r="W886" t="s">
        <v>16492</v>
      </c>
      <c r="X886" t="s">
        <v>16493</v>
      </c>
      <c r="Y886" t="s">
        <v>16494</v>
      </c>
      <c r="Z886" t="s">
        <v>16495</v>
      </c>
      <c r="AA886" t="s">
        <v>16496</v>
      </c>
      <c r="AB886" t="s">
        <v>16497</v>
      </c>
      <c r="AC886" t="s">
        <v>16498</v>
      </c>
      <c r="AD886" t="s">
        <v>16499</v>
      </c>
      <c r="AE886" t="s">
        <v>16500</v>
      </c>
      <c r="AF886" t="s">
        <v>74</v>
      </c>
      <c r="AG886">
        <v>68</v>
      </c>
      <c r="AH886">
        <v>13</v>
      </c>
      <c r="AI886">
        <v>16</v>
      </c>
      <c r="AJ886">
        <v>1</v>
      </c>
      <c r="AK886">
        <v>26</v>
      </c>
      <c r="AL886" t="s">
        <v>171</v>
      </c>
      <c r="AM886" t="s">
        <v>93</v>
      </c>
      <c r="AN886" t="s">
        <v>94</v>
      </c>
      <c r="AO886" t="s">
        <v>8670</v>
      </c>
      <c r="AP886" t="s">
        <v>8671</v>
      </c>
      <c r="AQ886" t="s">
        <v>74</v>
      </c>
      <c r="AR886" t="s">
        <v>8672</v>
      </c>
      <c r="AS886" t="s">
        <v>8673</v>
      </c>
      <c r="AT886" t="s">
        <v>14830</v>
      </c>
      <c r="AU886">
        <v>2014</v>
      </c>
      <c r="AV886">
        <v>29</v>
      </c>
      <c r="AW886">
        <v>4</v>
      </c>
      <c r="AX886" t="s">
        <v>74</v>
      </c>
      <c r="AY886" t="s">
        <v>74</v>
      </c>
      <c r="AZ886" t="s">
        <v>74</v>
      </c>
      <c r="BA886" t="s">
        <v>74</v>
      </c>
      <c r="BB886">
        <v>393</v>
      </c>
      <c r="BC886">
        <v>400</v>
      </c>
      <c r="BD886" t="s">
        <v>74</v>
      </c>
      <c r="BE886" t="s">
        <v>16501</v>
      </c>
      <c r="BF886" t="str">
        <f>HYPERLINK("http://dx.doi.org/10.1002/jqs.2711","http://dx.doi.org/10.1002/jqs.2711")</f>
        <v>http://dx.doi.org/10.1002/jqs.2711</v>
      </c>
      <c r="BG886" t="s">
        <v>74</v>
      </c>
      <c r="BH886" t="s">
        <v>74</v>
      </c>
      <c r="BI886">
        <v>8</v>
      </c>
      <c r="BJ886" t="s">
        <v>1427</v>
      </c>
      <c r="BK886" t="s">
        <v>102</v>
      </c>
      <c r="BL886" t="s">
        <v>1428</v>
      </c>
      <c r="BM886" t="s">
        <v>16502</v>
      </c>
      <c r="BN886" t="s">
        <v>74</v>
      </c>
      <c r="BO886" t="s">
        <v>16503</v>
      </c>
      <c r="BP886" t="s">
        <v>74</v>
      </c>
      <c r="BQ886" t="s">
        <v>74</v>
      </c>
      <c r="BR886" t="s">
        <v>105</v>
      </c>
      <c r="BS886" t="s">
        <v>16504</v>
      </c>
      <c r="BT886" t="str">
        <f>HYPERLINK("https%3A%2F%2Fwww.webofscience.com%2Fwos%2Fwoscc%2Ffull-record%2FWOS:000335961100009","View Full Record in Web of Science")</f>
        <v>View Full Record in Web of Science</v>
      </c>
    </row>
    <row r="887" spans="1:72" x14ac:dyDescent="0.15">
      <c r="A887" t="s">
        <v>72</v>
      </c>
      <c r="B887" t="s">
        <v>16505</v>
      </c>
      <c r="C887" t="s">
        <v>74</v>
      </c>
      <c r="D887" t="s">
        <v>74</v>
      </c>
      <c r="E887" t="s">
        <v>74</v>
      </c>
      <c r="F887" t="s">
        <v>16506</v>
      </c>
      <c r="G887" t="s">
        <v>74</v>
      </c>
      <c r="H887" t="s">
        <v>74</v>
      </c>
      <c r="I887" t="s">
        <v>16507</v>
      </c>
      <c r="J887" t="s">
        <v>8851</v>
      </c>
      <c r="K887" t="s">
        <v>74</v>
      </c>
      <c r="L887" t="s">
        <v>74</v>
      </c>
      <c r="M887" t="s">
        <v>78</v>
      </c>
      <c r="N887" t="s">
        <v>79</v>
      </c>
      <c r="O887" t="s">
        <v>74</v>
      </c>
      <c r="P887" t="s">
        <v>74</v>
      </c>
      <c r="Q887" t="s">
        <v>74</v>
      </c>
      <c r="R887" t="s">
        <v>74</v>
      </c>
      <c r="S887" t="s">
        <v>74</v>
      </c>
      <c r="T887" t="s">
        <v>74</v>
      </c>
      <c r="U887" t="s">
        <v>16508</v>
      </c>
      <c r="V887" t="s">
        <v>16509</v>
      </c>
      <c r="W887" t="s">
        <v>16510</v>
      </c>
      <c r="X887" t="s">
        <v>1022</v>
      </c>
      <c r="Y887" t="s">
        <v>16511</v>
      </c>
      <c r="Z887" t="s">
        <v>8380</v>
      </c>
      <c r="AA887" t="s">
        <v>74</v>
      </c>
      <c r="AB887" t="s">
        <v>16512</v>
      </c>
      <c r="AC887" t="s">
        <v>10237</v>
      </c>
      <c r="AD887" t="s">
        <v>678</v>
      </c>
      <c r="AE887" t="s">
        <v>74</v>
      </c>
      <c r="AF887" t="s">
        <v>74</v>
      </c>
      <c r="AG887">
        <v>70</v>
      </c>
      <c r="AH887">
        <v>25</v>
      </c>
      <c r="AI887">
        <v>30</v>
      </c>
      <c r="AJ887">
        <v>0</v>
      </c>
      <c r="AK887">
        <v>29</v>
      </c>
      <c r="AL887" t="s">
        <v>92</v>
      </c>
      <c r="AM887" t="s">
        <v>93</v>
      </c>
      <c r="AN887" t="s">
        <v>94</v>
      </c>
      <c r="AO887" t="s">
        <v>8863</v>
      </c>
      <c r="AP887" t="s">
        <v>8864</v>
      </c>
      <c r="AQ887" t="s">
        <v>74</v>
      </c>
      <c r="AR887" t="s">
        <v>8865</v>
      </c>
      <c r="AS887" t="s">
        <v>8866</v>
      </c>
      <c r="AT887" t="s">
        <v>14830</v>
      </c>
      <c r="AU887">
        <v>2014</v>
      </c>
      <c r="AV887">
        <v>59</v>
      </c>
      <c r="AW887">
        <v>3</v>
      </c>
      <c r="AX887" t="s">
        <v>74</v>
      </c>
      <c r="AY887" t="s">
        <v>74</v>
      </c>
      <c r="AZ887" t="s">
        <v>74</v>
      </c>
      <c r="BA887" t="s">
        <v>74</v>
      </c>
      <c r="BB887">
        <v>872</v>
      </c>
      <c r="BC887">
        <v>886</v>
      </c>
      <c r="BD887" t="s">
        <v>74</v>
      </c>
      <c r="BE887" t="s">
        <v>16513</v>
      </c>
      <c r="BF887" t="str">
        <f>HYPERLINK("http://dx.doi.org/10.4319/lo.2014.59.3.0872","http://dx.doi.org/10.4319/lo.2014.59.3.0872")</f>
        <v>http://dx.doi.org/10.4319/lo.2014.59.3.0872</v>
      </c>
      <c r="BG887" t="s">
        <v>74</v>
      </c>
      <c r="BH887" t="s">
        <v>74</v>
      </c>
      <c r="BI887">
        <v>15</v>
      </c>
      <c r="BJ887" t="s">
        <v>8868</v>
      </c>
      <c r="BK887" t="s">
        <v>102</v>
      </c>
      <c r="BL887" t="s">
        <v>2511</v>
      </c>
      <c r="BM887" t="s">
        <v>14848</v>
      </c>
      <c r="BN887" t="s">
        <v>74</v>
      </c>
      <c r="BO887" t="s">
        <v>341</v>
      </c>
      <c r="BP887" t="s">
        <v>74</v>
      </c>
      <c r="BQ887" t="s">
        <v>74</v>
      </c>
      <c r="BR887" t="s">
        <v>105</v>
      </c>
      <c r="BS887" t="s">
        <v>16514</v>
      </c>
      <c r="BT887" t="str">
        <f>HYPERLINK("https%3A%2F%2Fwww.webofscience.com%2Fwos%2Fwoscc%2Ffull-record%2FWOS:000339904300019","View Full Record in Web of Science")</f>
        <v>View Full Record in Web of Science</v>
      </c>
    </row>
    <row r="888" spans="1:72" x14ac:dyDescent="0.15">
      <c r="A888" t="s">
        <v>72</v>
      </c>
      <c r="B888" t="s">
        <v>16515</v>
      </c>
      <c r="C888" t="s">
        <v>74</v>
      </c>
      <c r="D888" t="s">
        <v>74</v>
      </c>
      <c r="E888" t="s">
        <v>74</v>
      </c>
      <c r="F888" t="s">
        <v>16516</v>
      </c>
      <c r="G888" t="s">
        <v>74</v>
      </c>
      <c r="H888" t="s">
        <v>74</v>
      </c>
      <c r="I888" t="s">
        <v>16517</v>
      </c>
      <c r="J888" t="s">
        <v>2586</v>
      </c>
      <c r="K888" t="s">
        <v>74</v>
      </c>
      <c r="L888" t="s">
        <v>74</v>
      </c>
      <c r="M888" t="s">
        <v>78</v>
      </c>
      <c r="N888" t="s">
        <v>79</v>
      </c>
      <c r="O888" t="s">
        <v>74</v>
      </c>
      <c r="P888" t="s">
        <v>74</v>
      </c>
      <c r="Q888" t="s">
        <v>74</v>
      </c>
      <c r="R888" t="s">
        <v>74</v>
      </c>
      <c r="S888" t="s">
        <v>74</v>
      </c>
      <c r="T888" t="s">
        <v>16518</v>
      </c>
      <c r="U888" t="s">
        <v>16519</v>
      </c>
      <c r="V888" t="s">
        <v>16520</v>
      </c>
      <c r="W888" t="s">
        <v>16521</v>
      </c>
      <c r="X888" t="s">
        <v>16522</v>
      </c>
      <c r="Y888" t="s">
        <v>16523</v>
      </c>
      <c r="Z888" t="s">
        <v>16524</v>
      </c>
      <c r="AA888" t="s">
        <v>16525</v>
      </c>
      <c r="AB888" t="s">
        <v>16526</v>
      </c>
      <c r="AC888" t="s">
        <v>16527</v>
      </c>
      <c r="AD888" t="s">
        <v>16528</v>
      </c>
      <c r="AE888" t="s">
        <v>16529</v>
      </c>
      <c r="AF888" t="s">
        <v>74</v>
      </c>
      <c r="AG888">
        <v>70</v>
      </c>
      <c r="AH888">
        <v>56</v>
      </c>
      <c r="AI888">
        <v>60</v>
      </c>
      <c r="AJ888">
        <v>1</v>
      </c>
      <c r="AK888">
        <v>20</v>
      </c>
      <c r="AL888" t="s">
        <v>753</v>
      </c>
      <c r="AM888" t="s">
        <v>124</v>
      </c>
      <c r="AN888" t="s">
        <v>754</v>
      </c>
      <c r="AO888" t="s">
        <v>2599</v>
      </c>
      <c r="AP888" t="s">
        <v>2600</v>
      </c>
      <c r="AQ888" t="s">
        <v>74</v>
      </c>
      <c r="AR888" t="s">
        <v>2601</v>
      </c>
      <c r="AS888" t="s">
        <v>2602</v>
      </c>
      <c r="AT888" t="s">
        <v>14830</v>
      </c>
      <c r="AU888">
        <v>2014</v>
      </c>
      <c r="AV888">
        <v>109</v>
      </c>
      <c r="AW888" t="s">
        <v>74</v>
      </c>
      <c r="AX888" t="s">
        <v>74</v>
      </c>
      <c r="AY888" t="s">
        <v>74</v>
      </c>
      <c r="AZ888" t="s">
        <v>74</v>
      </c>
      <c r="BA888" t="s">
        <v>74</v>
      </c>
      <c r="BB888">
        <v>1</v>
      </c>
      <c r="BC888">
        <v>20</v>
      </c>
      <c r="BD888" t="s">
        <v>74</v>
      </c>
      <c r="BE888" t="s">
        <v>16530</v>
      </c>
      <c r="BF888" t="str">
        <f>HYPERLINK("http://dx.doi.org/10.1016/j.marmicro.2014.03.003","http://dx.doi.org/10.1016/j.marmicro.2014.03.003")</f>
        <v>http://dx.doi.org/10.1016/j.marmicro.2014.03.003</v>
      </c>
      <c r="BG888" t="s">
        <v>74</v>
      </c>
      <c r="BH888" t="s">
        <v>74</v>
      </c>
      <c r="BI888">
        <v>20</v>
      </c>
      <c r="BJ888" t="s">
        <v>2604</v>
      </c>
      <c r="BK888" t="s">
        <v>102</v>
      </c>
      <c r="BL888" t="s">
        <v>2604</v>
      </c>
      <c r="BM888" t="s">
        <v>16531</v>
      </c>
      <c r="BN888" t="s">
        <v>74</v>
      </c>
      <c r="BO888" t="s">
        <v>74</v>
      </c>
      <c r="BP888" t="s">
        <v>74</v>
      </c>
      <c r="BQ888" t="s">
        <v>74</v>
      </c>
      <c r="BR888" t="s">
        <v>105</v>
      </c>
      <c r="BS888" t="s">
        <v>16532</v>
      </c>
      <c r="BT888" t="str">
        <f>HYPERLINK("https%3A%2F%2Fwww.webofscience.com%2Fwos%2Fwoscc%2Ffull-record%2FWOS:000337871700001","View Full Record in Web of Science")</f>
        <v>View Full Record in Web of Science</v>
      </c>
    </row>
    <row r="889" spans="1:72" x14ac:dyDescent="0.15">
      <c r="A889" t="s">
        <v>72</v>
      </c>
      <c r="B889" t="s">
        <v>16533</v>
      </c>
      <c r="C889" t="s">
        <v>74</v>
      </c>
      <c r="D889" t="s">
        <v>74</v>
      </c>
      <c r="E889" t="s">
        <v>74</v>
      </c>
      <c r="F889" t="s">
        <v>16534</v>
      </c>
      <c r="G889" t="s">
        <v>74</v>
      </c>
      <c r="H889" t="s">
        <v>74</v>
      </c>
      <c r="I889" t="s">
        <v>16535</v>
      </c>
      <c r="J889" t="s">
        <v>7165</v>
      </c>
      <c r="K889" t="s">
        <v>74</v>
      </c>
      <c r="L889" t="s">
        <v>74</v>
      </c>
      <c r="M889" t="s">
        <v>78</v>
      </c>
      <c r="N889" t="s">
        <v>79</v>
      </c>
      <c r="O889" t="s">
        <v>74</v>
      </c>
      <c r="P889" t="s">
        <v>74</v>
      </c>
      <c r="Q889" t="s">
        <v>74</v>
      </c>
      <c r="R889" t="s">
        <v>74</v>
      </c>
      <c r="S889" t="s">
        <v>74</v>
      </c>
      <c r="T889" t="s">
        <v>74</v>
      </c>
      <c r="U889" t="s">
        <v>16536</v>
      </c>
      <c r="V889" t="s">
        <v>16537</v>
      </c>
      <c r="W889" t="s">
        <v>16538</v>
      </c>
      <c r="X889" t="s">
        <v>16539</v>
      </c>
      <c r="Y889" t="s">
        <v>16540</v>
      </c>
      <c r="Z889" t="s">
        <v>16541</v>
      </c>
      <c r="AA889" t="s">
        <v>16542</v>
      </c>
      <c r="AB889" t="s">
        <v>16543</v>
      </c>
      <c r="AC889" t="s">
        <v>16544</v>
      </c>
      <c r="AD889" t="s">
        <v>16545</v>
      </c>
      <c r="AE889" t="s">
        <v>16546</v>
      </c>
      <c r="AF889" t="s">
        <v>74</v>
      </c>
      <c r="AG889">
        <v>55</v>
      </c>
      <c r="AH889">
        <v>8</v>
      </c>
      <c r="AI889">
        <v>13</v>
      </c>
      <c r="AJ889">
        <v>3</v>
      </c>
      <c r="AK889">
        <v>58</v>
      </c>
      <c r="AL889" t="s">
        <v>224</v>
      </c>
      <c r="AM889" t="s">
        <v>576</v>
      </c>
      <c r="AN889" t="s">
        <v>577</v>
      </c>
      <c r="AO889" t="s">
        <v>7177</v>
      </c>
      <c r="AP889" t="s">
        <v>7178</v>
      </c>
      <c r="AQ889" t="s">
        <v>74</v>
      </c>
      <c r="AR889" t="s">
        <v>7179</v>
      </c>
      <c r="AS889" t="s">
        <v>7180</v>
      </c>
      <c r="AT889" t="s">
        <v>14830</v>
      </c>
      <c r="AU889">
        <v>2014</v>
      </c>
      <c r="AV889">
        <v>67</v>
      </c>
      <c r="AW889">
        <v>4</v>
      </c>
      <c r="AX889" t="s">
        <v>74</v>
      </c>
      <c r="AY889" t="s">
        <v>74</v>
      </c>
      <c r="AZ889" t="s">
        <v>74</v>
      </c>
      <c r="BA889" t="s">
        <v>74</v>
      </c>
      <c r="BB889">
        <v>758</v>
      </c>
      <c r="BC889">
        <v>768</v>
      </c>
      <c r="BD889" t="s">
        <v>74</v>
      </c>
      <c r="BE889" t="s">
        <v>16547</v>
      </c>
      <c r="BF889" t="str">
        <f>HYPERLINK("http://dx.doi.org/10.1007/s00248-014-0376-7","http://dx.doi.org/10.1007/s00248-014-0376-7")</f>
        <v>http://dx.doi.org/10.1007/s00248-014-0376-7</v>
      </c>
      <c r="BG889" t="s">
        <v>74</v>
      </c>
      <c r="BH889" t="s">
        <v>74</v>
      </c>
      <c r="BI889">
        <v>11</v>
      </c>
      <c r="BJ889" t="s">
        <v>7182</v>
      </c>
      <c r="BK889" t="s">
        <v>102</v>
      </c>
      <c r="BL889" t="s">
        <v>7183</v>
      </c>
      <c r="BM889" t="s">
        <v>15830</v>
      </c>
      <c r="BN889">
        <v>24563191</v>
      </c>
      <c r="BO889" t="s">
        <v>262</v>
      </c>
      <c r="BP889" t="s">
        <v>74</v>
      </c>
      <c r="BQ889" t="s">
        <v>74</v>
      </c>
      <c r="BR889" t="s">
        <v>105</v>
      </c>
      <c r="BS889" t="s">
        <v>16548</v>
      </c>
      <c r="BT889" t="str">
        <f>HYPERLINK("https%3A%2F%2Fwww.webofscience.com%2Fwos%2Fwoscc%2Ffull-record%2FWOS:000334495000003","View Full Record in Web of Science")</f>
        <v>View Full Record in Web of Science</v>
      </c>
    </row>
    <row r="890" spans="1:72" x14ac:dyDescent="0.15">
      <c r="A890" t="s">
        <v>72</v>
      </c>
      <c r="B890" t="s">
        <v>16549</v>
      </c>
      <c r="C890" t="s">
        <v>74</v>
      </c>
      <c r="D890" t="s">
        <v>74</v>
      </c>
      <c r="E890" t="s">
        <v>74</v>
      </c>
      <c r="F890" t="s">
        <v>16550</v>
      </c>
      <c r="G890" t="s">
        <v>74</v>
      </c>
      <c r="H890" t="s">
        <v>74</v>
      </c>
      <c r="I890" t="s">
        <v>16551</v>
      </c>
      <c r="J890" t="s">
        <v>7189</v>
      </c>
      <c r="K890" t="s">
        <v>74</v>
      </c>
      <c r="L890" t="s">
        <v>74</v>
      </c>
      <c r="M890" t="s">
        <v>78</v>
      </c>
      <c r="N890" t="s">
        <v>79</v>
      </c>
      <c r="O890" t="s">
        <v>74</v>
      </c>
      <c r="P890" t="s">
        <v>74</v>
      </c>
      <c r="Q890" t="s">
        <v>74</v>
      </c>
      <c r="R890" t="s">
        <v>74</v>
      </c>
      <c r="S890" t="s">
        <v>74</v>
      </c>
      <c r="T890" t="s">
        <v>74</v>
      </c>
      <c r="U890" t="s">
        <v>16552</v>
      </c>
      <c r="V890" t="s">
        <v>16553</v>
      </c>
      <c r="W890" t="s">
        <v>16554</v>
      </c>
      <c r="X890" t="s">
        <v>16555</v>
      </c>
      <c r="Y890" t="s">
        <v>16556</v>
      </c>
      <c r="Z890" t="s">
        <v>16557</v>
      </c>
      <c r="AA890" t="s">
        <v>16558</v>
      </c>
      <c r="AB890" t="s">
        <v>16559</v>
      </c>
      <c r="AC890" t="s">
        <v>16560</v>
      </c>
      <c r="AD890" t="s">
        <v>16561</v>
      </c>
      <c r="AE890" t="s">
        <v>16562</v>
      </c>
      <c r="AF890" t="s">
        <v>74</v>
      </c>
      <c r="AG890">
        <v>30</v>
      </c>
      <c r="AH890">
        <v>202</v>
      </c>
      <c r="AI890">
        <v>215</v>
      </c>
      <c r="AJ890">
        <v>3</v>
      </c>
      <c r="AK890">
        <v>108</v>
      </c>
      <c r="AL890" t="s">
        <v>979</v>
      </c>
      <c r="AM890" t="s">
        <v>980</v>
      </c>
      <c r="AN890" t="s">
        <v>981</v>
      </c>
      <c r="AO890" t="s">
        <v>7201</v>
      </c>
      <c r="AP890" t="s">
        <v>7202</v>
      </c>
      <c r="AQ890" t="s">
        <v>74</v>
      </c>
      <c r="AR890" t="s">
        <v>7203</v>
      </c>
      <c r="AS890" t="s">
        <v>7204</v>
      </c>
      <c r="AT890" t="s">
        <v>14830</v>
      </c>
      <c r="AU890">
        <v>2014</v>
      </c>
      <c r="AV890">
        <v>4</v>
      </c>
      <c r="AW890">
        <v>5</v>
      </c>
      <c r="AX890" t="s">
        <v>74</v>
      </c>
      <c r="AY890" t="s">
        <v>74</v>
      </c>
      <c r="AZ890" t="s">
        <v>74</v>
      </c>
      <c r="BA890" t="s">
        <v>74</v>
      </c>
      <c r="BB890">
        <v>362</v>
      </c>
      <c r="BC890">
        <v>367</v>
      </c>
      <c r="BD890" t="s">
        <v>74</v>
      </c>
      <c r="BE890" t="s">
        <v>16563</v>
      </c>
      <c r="BF890" t="str">
        <f>HYPERLINK("http://dx.doi.org/10.1038/NCLIMATE2174","http://dx.doi.org/10.1038/NCLIMATE2174")</f>
        <v>http://dx.doi.org/10.1038/NCLIMATE2174</v>
      </c>
      <c r="BG890" t="s">
        <v>74</v>
      </c>
      <c r="BH890" t="s">
        <v>74</v>
      </c>
      <c r="BI890">
        <v>6</v>
      </c>
      <c r="BJ890" t="s">
        <v>7206</v>
      </c>
      <c r="BK890" t="s">
        <v>1690</v>
      </c>
      <c r="BL890" t="s">
        <v>7207</v>
      </c>
      <c r="BM890" t="s">
        <v>16564</v>
      </c>
      <c r="BN890" t="s">
        <v>74</v>
      </c>
      <c r="BO890" t="s">
        <v>3557</v>
      </c>
      <c r="BP890" t="s">
        <v>74</v>
      </c>
      <c r="BQ890" t="s">
        <v>74</v>
      </c>
      <c r="BR890" t="s">
        <v>105</v>
      </c>
      <c r="BS890" t="s">
        <v>16565</v>
      </c>
      <c r="BT890" t="str">
        <f>HYPERLINK("https%3A%2F%2Fwww.webofscience.com%2Fwos%2Fwoscc%2Ffull-record%2FWOS:000335403500024","View Full Record in Web of Science")</f>
        <v>View Full Record in Web of Science</v>
      </c>
    </row>
    <row r="891" spans="1:72" x14ac:dyDescent="0.15">
      <c r="A891" t="s">
        <v>72</v>
      </c>
      <c r="B891" t="s">
        <v>16566</v>
      </c>
      <c r="C891" t="s">
        <v>74</v>
      </c>
      <c r="D891" t="s">
        <v>74</v>
      </c>
      <c r="E891" t="s">
        <v>74</v>
      </c>
      <c r="F891" t="s">
        <v>16567</v>
      </c>
      <c r="G891" t="s">
        <v>74</v>
      </c>
      <c r="H891" t="s">
        <v>74</v>
      </c>
      <c r="I891" t="s">
        <v>16568</v>
      </c>
      <c r="J891" t="s">
        <v>641</v>
      </c>
      <c r="K891" t="s">
        <v>74</v>
      </c>
      <c r="L891" t="s">
        <v>74</v>
      </c>
      <c r="M891" t="s">
        <v>78</v>
      </c>
      <c r="N891" t="s">
        <v>79</v>
      </c>
      <c r="O891" t="s">
        <v>74</v>
      </c>
      <c r="P891" t="s">
        <v>74</v>
      </c>
      <c r="Q891" t="s">
        <v>74</v>
      </c>
      <c r="R891" t="s">
        <v>74</v>
      </c>
      <c r="S891" t="s">
        <v>74</v>
      </c>
      <c r="T891" t="s">
        <v>74</v>
      </c>
      <c r="U891" t="s">
        <v>16569</v>
      </c>
      <c r="V891" t="s">
        <v>16570</v>
      </c>
      <c r="W891" t="s">
        <v>16571</v>
      </c>
      <c r="X891" t="s">
        <v>16572</v>
      </c>
      <c r="Y891" t="s">
        <v>16573</v>
      </c>
      <c r="Z891" t="s">
        <v>16574</v>
      </c>
      <c r="AA891" t="s">
        <v>16575</v>
      </c>
      <c r="AB891" t="s">
        <v>16576</v>
      </c>
      <c r="AC891" t="s">
        <v>16577</v>
      </c>
      <c r="AD891" t="s">
        <v>16578</v>
      </c>
      <c r="AE891" t="s">
        <v>16579</v>
      </c>
      <c r="AF891" t="s">
        <v>74</v>
      </c>
      <c r="AG891">
        <v>58</v>
      </c>
      <c r="AH891">
        <v>200</v>
      </c>
      <c r="AI891">
        <v>218</v>
      </c>
      <c r="AJ891">
        <v>5</v>
      </c>
      <c r="AK891">
        <v>118</v>
      </c>
      <c r="AL891" t="s">
        <v>653</v>
      </c>
      <c r="AM891" t="s">
        <v>654</v>
      </c>
      <c r="AN891" t="s">
        <v>655</v>
      </c>
      <c r="AO891" t="s">
        <v>656</v>
      </c>
      <c r="AP891" t="s">
        <v>74</v>
      </c>
      <c r="AQ891" t="s">
        <v>74</v>
      </c>
      <c r="AR891" t="s">
        <v>657</v>
      </c>
      <c r="AS891" t="s">
        <v>658</v>
      </c>
      <c r="AT891" t="s">
        <v>14830</v>
      </c>
      <c r="AU891">
        <v>2014</v>
      </c>
      <c r="AV891">
        <v>5</v>
      </c>
      <c r="AW891" t="s">
        <v>74</v>
      </c>
      <c r="AX891" t="s">
        <v>74</v>
      </c>
      <c r="AY891" t="s">
        <v>74</v>
      </c>
      <c r="AZ891" t="s">
        <v>74</v>
      </c>
      <c r="BA891" t="s">
        <v>74</v>
      </c>
      <c r="BB891" t="s">
        <v>74</v>
      </c>
      <c r="BC891" t="s">
        <v>74</v>
      </c>
      <c r="BD891">
        <v>3923</v>
      </c>
      <c r="BE891" t="s">
        <v>16580</v>
      </c>
      <c r="BF891" t="str">
        <f>HYPERLINK("http://dx.doi.org/10.1038/ncomms4929","http://dx.doi.org/10.1038/ncomms4929")</f>
        <v>http://dx.doi.org/10.1038/ncomms4929</v>
      </c>
      <c r="BG891" t="s">
        <v>74</v>
      </c>
      <c r="BH891" t="s">
        <v>74</v>
      </c>
      <c r="BI891">
        <v>8</v>
      </c>
      <c r="BJ891" t="s">
        <v>660</v>
      </c>
      <c r="BK891" t="s">
        <v>102</v>
      </c>
      <c r="BL891" t="s">
        <v>661</v>
      </c>
      <c r="BM891" t="s">
        <v>16581</v>
      </c>
      <c r="BN891">
        <v>24845560</v>
      </c>
      <c r="BO891" t="s">
        <v>16582</v>
      </c>
      <c r="BP891" t="s">
        <v>74</v>
      </c>
      <c r="BQ891" t="s">
        <v>74</v>
      </c>
      <c r="BR891" t="s">
        <v>105</v>
      </c>
      <c r="BS891" t="s">
        <v>16583</v>
      </c>
      <c r="BT891" t="str">
        <f>HYPERLINK("https%3A%2F%2Fwww.webofscience.com%2Fwos%2Fwoscc%2Ffull-record%2FWOS:000337505100001","View Full Record in Web of Science")</f>
        <v>View Full Record in Web of Science</v>
      </c>
    </row>
    <row r="892" spans="1:72" x14ac:dyDescent="0.15">
      <c r="A892" t="s">
        <v>72</v>
      </c>
      <c r="B892" t="s">
        <v>16584</v>
      </c>
      <c r="C892" t="s">
        <v>74</v>
      </c>
      <c r="D892" t="s">
        <v>74</v>
      </c>
      <c r="E892" t="s">
        <v>74</v>
      </c>
      <c r="F892" t="s">
        <v>16585</v>
      </c>
      <c r="G892" t="s">
        <v>74</v>
      </c>
      <c r="H892" t="s">
        <v>74</v>
      </c>
      <c r="I892" t="s">
        <v>16586</v>
      </c>
      <c r="J892" t="s">
        <v>641</v>
      </c>
      <c r="K892" t="s">
        <v>74</v>
      </c>
      <c r="L892" t="s">
        <v>74</v>
      </c>
      <c r="M892" t="s">
        <v>78</v>
      </c>
      <c r="N892" t="s">
        <v>79</v>
      </c>
      <c r="O892" t="s">
        <v>74</v>
      </c>
      <c r="P892" t="s">
        <v>74</v>
      </c>
      <c r="Q892" t="s">
        <v>74</v>
      </c>
      <c r="R892" t="s">
        <v>74</v>
      </c>
      <c r="S892" t="s">
        <v>74</v>
      </c>
      <c r="T892" t="s">
        <v>74</v>
      </c>
      <c r="U892" t="s">
        <v>16587</v>
      </c>
      <c r="V892" t="s">
        <v>16588</v>
      </c>
      <c r="W892" t="s">
        <v>16589</v>
      </c>
      <c r="X892" t="s">
        <v>16590</v>
      </c>
      <c r="Y892" t="s">
        <v>16591</v>
      </c>
      <c r="Z892" t="s">
        <v>6842</v>
      </c>
      <c r="AA892" t="s">
        <v>16592</v>
      </c>
      <c r="AB892" t="s">
        <v>16593</v>
      </c>
      <c r="AC892" t="s">
        <v>16594</v>
      </c>
      <c r="AD892" t="s">
        <v>16595</v>
      </c>
      <c r="AE892" t="s">
        <v>16596</v>
      </c>
      <c r="AF892" t="s">
        <v>74</v>
      </c>
      <c r="AG892">
        <v>70</v>
      </c>
      <c r="AH892">
        <v>56</v>
      </c>
      <c r="AI892">
        <v>63</v>
      </c>
      <c r="AJ892">
        <v>1</v>
      </c>
      <c r="AK892">
        <v>39</v>
      </c>
      <c r="AL892" t="s">
        <v>979</v>
      </c>
      <c r="AM892" t="s">
        <v>980</v>
      </c>
      <c r="AN892" t="s">
        <v>981</v>
      </c>
      <c r="AO892" t="s">
        <v>74</v>
      </c>
      <c r="AP892" t="s">
        <v>656</v>
      </c>
      <c r="AQ892" t="s">
        <v>74</v>
      </c>
      <c r="AR892" t="s">
        <v>657</v>
      </c>
      <c r="AS892" t="s">
        <v>658</v>
      </c>
      <c r="AT892" t="s">
        <v>14830</v>
      </c>
      <c r="AU892">
        <v>2014</v>
      </c>
      <c r="AV892">
        <v>5</v>
      </c>
      <c r="AW892" t="s">
        <v>74</v>
      </c>
      <c r="AX892" t="s">
        <v>74</v>
      </c>
      <c r="AY892" t="s">
        <v>74</v>
      </c>
      <c r="AZ892" t="s">
        <v>74</v>
      </c>
      <c r="BA892" t="s">
        <v>74</v>
      </c>
      <c r="BB892" t="s">
        <v>74</v>
      </c>
      <c r="BC892" t="s">
        <v>74</v>
      </c>
      <c r="BD892">
        <v>3875</v>
      </c>
      <c r="BE892" t="s">
        <v>16597</v>
      </c>
      <c r="BF892" t="str">
        <f>HYPERLINK("http://dx.doi.org/10.1038/ncomms4875","http://dx.doi.org/10.1038/ncomms4875")</f>
        <v>http://dx.doi.org/10.1038/ncomms4875</v>
      </c>
      <c r="BG892" t="s">
        <v>74</v>
      </c>
      <c r="BH892" t="s">
        <v>74</v>
      </c>
      <c r="BI892">
        <v>10</v>
      </c>
      <c r="BJ892" t="s">
        <v>660</v>
      </c>
      <c r="BK892" t="s">
        <v>102</v>
      </c>
      <c r="BL892" t="s">
        <v>661</v>
      </c>
      <c r="BM892" t="s">
        <v>16598</v>
      </c>
      <c r="BN892">
        <v>24846491</v>
      </c>
      <c r="BO892" t="s">
        <v>341</v>
      </c>
      <c r="BP892" t="s">
        <v>74</v>
      </c>
      <c r="BQ892" t="s">
        <v>74</v>
      </c>
      <c r="BR892" t="s">
        <v>105</v>
      </c>
      <c r="BS892" t="s">
        <v>16599</v>
      </c>
      <c r="BT892" t="str">
        <f>HYPERLINK("https%3A%2F%2Fwww.webofscience.com%2Fwos%2Fwoscc%2Ffull-record%2FWOS:000337503800019","View Full Record in Web of Science")</f>
        <v>View Full Record in Web of Science</v>
      </c>
    </row>
    <row r="893" spans="1:72" x14ac:dyDescent="0.15">
      <c r="A893" t="s">
        <v>72</v>
      </c>
      <c r="B893" t="s">
        <v>16600</v>
      </c>
      <c r="C893" t="s">
        <v>74</v>
      </c>
      <c r="D893" t="s">
        <v>74</v>
      </c>
      <c r="E893" t="s">
        <v>74</v>
      </c>
      <c r="F893" t="s">
        <v>16601</v>
      </c>
      <c r="G893" t="s">
        <v>74</v>
      </c>
      <c r="H893" t="s">
        <v>74</v>
      </c>
      <c r="I893" t="s">
        <v>16602</v>
      </c>
      <c r="J893" t="s">
        <v>4008</v>
      </c>
      <c r="K893" t="s">
        <v>74</v>
      </c>
      <c r="L893" t="s">
        <v>74</v>
      </c>
      <c r="M893" t="s">
        <v>78</v>
      </c>
      <c r="N893" t="s">
        <v>79</v>
      </c>
      <c r="O893" t="s">
        <v>74</v>
      </c>
      <c r="P893" t="s">
        <v>74</v>
      </c>
      <c r="Q893" t="s">
        <v>74</v>
      </c>
      <c r="R893" t="s">
        <v>74</v>
      </c>
      <c r="S893" t="s">
        <v>74</v>
      </c>
      <c r="T893" t="s">
        <v>74</v>
      </c>
      <c r="U893" t="s">
        <v>16603</v>
      </c>
      <c r="V893" t="s">
        <v>16604</v>
      </c>
      <c r="W893" t="s">
        <v>16605</v>
      </c>
      <c r="X893" t="s">
        <v>16606</v>
      </c>
      <c r="Y893" t="s">
        <v>16607</v>
      </c>
      <c r="Z893" t="s">
        <v>16608</v>
      </c>
      <c r="AA893" t="s">
        <v>16609</v>
      </c>
      <c r="AB893" t="s">
        <v>16610</v>
      </c>
      <c r="AC893" t="s">
        <v>16611</v>
      </c>
      <c r="AD893" t="s">
        <v>16612</v>
      </c>
      <c r="AE893" t="s">
        <v>16613</v>
      </c>
      <c r="AF893" t="s">
        <v>74</v>
      </c>
      <c r="AG893">
        <v>98</v>
      </c>
      <c r="AH893">
        <v>48</v>
      </c>
      <c r="AI893">
        <v>50</v>
      </c>
      <c r="AJ893">
        <v>0</v>
      </c>
      <c r="AK893">
        <v>31</v>
      </c>
      <c r="AL893" t="s">
        <v>331</v>
      </c>
      <c r="AM893" t="s">
        <v>332</v>
      </c>
      <c r="AN893" t="s">
        <v>333</v>
      </c>
      <c r="AO893" t="s">
        <v>4021</v>
      </c>
      <c r="AP893" t="s">
        <v>4022</v>
      </c>
      <c r="AQ893" t="s">
        <v>74</v>
      </c>
      <c r="AR893" t="s">
        <v>4008</v>
      </c>
      <c r="AS893" t="s">
        <v>4023</v>
      </c>
      <c r="AT893" t="s">
        <v>14830</v>
      </c>
      <c r="AU893">
        <v>2014</v>
      </c>
      <c r="AV893">
        <v>29</v>
      </c>
      <c r="AW893">
        <v>5</v>
      </c>
      <c r="AX893" t="s">
        <v>74</v>
      </c>
      <c r="AY893" t="s">
        <v>74</v>
      </c>
      <c r="AZ893" t="s">
        <v>74</v>
      </c>
      <c r="BA893" t="s">
        <v>74</v>
      </c>
      <c r="BB893">
        <v>454</v>
      </c>
      <c r="BC893">
        <v>469</v>
      </c>
      <c r="BD893" t="s">
        <v>74</v>
      </c>
      <c r="BE893" t="s">
        <v>16614</v>
      </c>
      <c r="BF893" t="str">
        <f>HYPERLINK("http://dx.doi.org/10.1002/2013PA002535","http://dx.doi.org/10.1002/2013PA002535")</f>
        <v>http://dx.doi.org/10.1002/2013PA002535</v>
      </c>
      <c r="BG893" t="s">
        <v>74</v>
      </c>
      <c r="BH893" t="s">
        <v>74</v>
      </c>
      <c r="BI893">
        <v>16</v>
      </c>
      <c r="BJ893" t="s">
        <v>4025</v>
      </c>
      <c r="BK893" t="s">
        <v>102</v>
      </c>
      <c r="BL893" t="s">
        <v>4026</v>
      </c>
      <c r="BM893" t="s">
        <v>16615</v>
      </c>
      <c r="BN893" t="s">
        <v>74</v>
      </c>
      <c r="BO893" t="s">
        <v>74</v>
      </c>
      <c r="BP893" t="s">
        <v>74</v>
      </c>
      <c r="BQ893" t="s">
        <v>74</v>
      </c>
      <c r="BR893" t="s">
        <v>105</v>
      </c>
      <c r="BS893" t="s">
        <v>16616</v>
      </c>
      <c r="BT893" t="str">
        <f>HYPERLINK("https%3A%2F%2Fwww.webofscience.com%2Fwos%2Fwoscc%2Ffull-record%2FWOS:000337559000008","View Full Record in Web of Science")</f>
        <v>View Full Record in Web of Science</v>
      </c>
    </row>
    <row r="894" spans="1:72" x14ac:dyDescent="0.15">
      <c r="A894" t="s">
        <v>72</v>
      </c>
      <c r="B894" t="s">
        <v>16617</v>
      </c>
      <c r="C894" t="s">
        <v>74</v>
      </c>
      <c r="D894" t="s">
        <v>74</v>
      </c>
      <c r="E894" t="s">
        <v>74</v>
      </c>
      <c r="F894" t="s">
        <v>16618</v>
      </c>
      <c r="G894" t="s">
        <v>74</v>
      </c>
      <c r="H894" t="s">
        <v>74</v>
      </c>
      <c r="I894" t="s">
        <v>16619</v>
      </c>
      <c r="J894" t="s">
        <v>765</v>
      </c>
      <c r="K894" t="s">
        <v>74</v>
      </c>
      <c r="L894" t="s">
        <v>74</v>
      </c>
      <c r="M894" t="s">
        <v>78</v>
      </c>
      <c r="N894" t="s">
        <v>79</v>
      </c>
      <c r="O894" t="s">
        <v>74</v>
      </c>
      <c r="P894" t="s">
        <v>74</v>
      </c>
      <c r="Q894" t="s">
        <v>74</v>
      </c>
      <c r="R894" t="s">
        <v>74</v>
      </c>
      <c r="S894" t="s">
        <v>74</v>
      </c>
      <c r="T894" t="s">
        <v>16620</v>
      </c>
      <c r="U894" t="s">
        <v>16621</v>
      </c>
      <c r="V894" t="s">
        <v>16622</v>
      </c>
      <c r="W894" t="s">
        <v>16623</v>
      </c>
      <c r="X894" t="s">
        <v>16624</v>
      </c>
      <c r="Y894" t="s">
        <v>16625</v>
      </c>
      <c r="Z894" t="s">
        <v>16626</v>
      </c>
      <c r="AA894" t="s">
        <v>16627</v>
      </c>
      <c r="AB894" t="s">
        <v>16628</v>
      </c>
      <c r="AC894" t="s">
        <v>16629</v>
      </c>
      <c r="AD894" t="s">
        <v>16630</v>
      </c>
      <c r="AE894" t="s">
        <v>16631</v>
      </c>
      <c r="AF894" t="s">
        <v>74</v>
      </c>
      <c r="AG894">
        <v>61</v>
      </c>
      <c r="AH894">
        <v>5</v>
      </c>
      <c r="AI894">
        <v>8</v>
      </c>
      <c r="AJ894">
        <v>0</v>
      </c>
      <c r="AK894">
        <v>27</v>
      </c>
      <c r="AL894" t="s">
        <v>224</v>
      </c>
      <c r="AM894" t="s">
        <v>576</v>
      </c>
      <c r="AN894" t="s">
        <v>577</v>
      </c>
      <c r="AO894" t="s">
        <v>779</v>
      </c>
      <c r="AP894" t="s">
        <v>780</v>
      </c>
      <c r="AQ894" t="s">
        <v>74</v>
      </c>
      <c r="AR894" t="s">
        <v>781</v>
      </c>
      <c r="AS894" t="s">
        <v>782</v>
      </c>
      <c r="AT894" t="s">
        <v>14830</v>
      </c>
      <c r="AU894">
        <v>2014</v>
      </c>
      <c r="AV894">
        <v>37</v>
      </c>
      <c r="AW894">
        <v>5</v>
      </c>
      <c r="AX894" t="s">
        <v>74</v>
      </c>
      <c r="AY894" t="s">
        <v>74</v>
      </c>
      <c r="AZ894" t="s">
        <v>74</v>
      </c>
      <c r="BA894" t="s">
        <v>74</v>
      </c>
      <c r="BB894">
        <v>631</v>
      </c>
      <c r="BC894">
        <v>640</v>
      </c>
      <c r="BD894" t="s">
        <v>74</v>
      </c>
      <c r="BE894" t="s">
        <v>16632</v>
      </c>
      <c r="BF894" t="str">
        <f>HYPERLINK("http://dx.doi.org/10.1007/s00300-014-1463-4","http://dx.doi.org/10.1007/s00300-014-1463-4")</f>
        <v>http://dx.doi.org/10.1007/s00300-014-1463-4</v>
      </c>
      <c r="BG894" t="s">
        <v>74</v>
      </c>
      <c r="BH894" t="s">
        <v>74</v>
      </c>
      <c r="BI894">
        <v>10</v>
      </c>
      <c r="BJ894" t="s">
        <v>784</v>
      </c>
      <c r="BK894" t="s">
        <v>102</v>
      </c>
      <c r="BL894" t="s">
        <v>785</v>
      </c>
      <c r="BM894" t="s">
        <v>15903</v>
      </c>
      <c r="BN894" t="s">
        <v>74</v>
      </c>
      <c r="BO894" t="s">
        <v>74</v>
      </c>
      <c r="BP894" t="s">
        <v>74</v>
      </c>
      <c r="BQ894" t="s">
        <v>74</v>
      </c>
      <c r="BR894" t="s">
        <v>105</v>
      </c>
      <c r="BS894" t="s">
        <v>16633</v>
      </c>
      <c r="BT894" t="str">
        <f>HYPERLINK("https%3A%2F%2Fwww.webofscience.com%2Fwos%2Fwoscc%2Ffull-record%2FWOS:000334172600004","View Full Record in Web of Science")</f>
        <v>View Full Record in Web of Science</v>
      </c>
    </row>
    <row r="895" spans="1:72" x14ac:dyDescent="0.15">
      <c r="A895" t="s">
        <v>72</v>
      </c>
      <c r="B895" t="s">
        <v>16634</v>
      </c>
      <c r="C895" t="s">
        <v>74</v>
      </c>
      <c r="D895" t="s">
        <v>74</v>
      </c>
      <c r="E895" t="s">
        <v>74</v>
      </c>
      <c r="F895" t="s">
        <v>16635</v>
      </c>
      <c r="G895" t="s">
        <v>74</v>
      </c>
      <c r="H895" t="s">
        <v>74</v>
      </c>
      <c r="I895" t="s">
        <v>16636</v>
      </c>
      <c r="J895" t="s">
        <v>765</v>
      </c>
      <c r="K895" t="s">
        <v>74</v>
      </c>
      <c r="L895" t="s">
        <v>74</v>
      </c>
      <c r="M895" t="s">
        <v>78</v>
      </c>
      <c r="N895" t="s">
        <v>79</v>
      </c>
      <c r="O895" t="s">
        <v>74</v>
      </c>
      <c r="P895" t="s">
        <v>74</v>
      </c>
      <c r="Q895" t="s">
        <v>74</v>
      </c>
      <c r="R895" t="s">
        <v>74</v>
      </c>
      <c r="S895" t="s">
        <v>74</v>
      </c>
      <c r="T895" t="s">
        <v>16637</v>
      </c>
      <c r="U895" t="s">
        <v>16638</v>
      </c>
      <c r="V895" t="s">
        <v>16639</v>
      </c>
      <c r="W895" t="s">
        <v>16640</v>
      </c>
      <c r="X895" t="s">
        <v>16641</v>
      </c>
      <c r="Y895" t="s">
        <v>16642</v>
      </c>
      <c r="Z895" t="s">
        <v>16643</v>
      </c>
      <c r="AA895" t="s">
        <v>16644</v>
      </c>
      <c r="AB895" t="s">
        <v>16645</v>
      </c>
      <c r="AC895" t="s">
        <v>16646</v>
      </c>
      <c r="AD895" t="s">
        <v>16647</v>
      </c>
      <c r="AE895" t="s">
        <v>16648</v>
      </c>
      <c r="AF895" t="s">
        <v>74</v>
      </c>
      <c r="AG895">
        <v>69</v>
      </c>
      <c r="AH895">
        <v>13</v>
      </c>
      <c r="AI895">
        <v>14</v>
      </c>
      <c r="AJ895">
        <v>1</v>
      </c>
      <c r="AK895">
        <v>19</v>
      </c>
      <c r="AL895" t="s">
        <v>224</v>
      </c>
      <c r="AM895" t="s">
        <v>576</v>
      </c>
      <c r="AN895" t="s">
        <v>778</v>
      </c>
      <c r="AO895" t="s">
        <v>779</v>
      </c>
      <c r="AP895" t="s">
        <v>780</v>
      </c>
      <c r="AQ895" t="s">
        <v>74</v>
      </c>
      <c r="AR895" t="s">
        <v>781</v>
      </c>
      <c r="AS895" t="s">
        <v>782</v>
      </c>
      <c r="AT895" t="s">
        <v>14830</v>
      </c>
      <c r="AU895">
        <v>2014</v>
      </c>
      <c r="AV895">
        <v>37</v>
      </c>
      <c r="AW895">
        <v>5</v>
      </c>
      <c r="AX895" t="s">
        <v>74</v>
      </c>
      <c r="AY895" t="s">
        <v>74</v>
      </c>
      <c r="AZ895" t="s">
        <v>74</v>
      </c>
      <c r="BA895" t="s">
        <v>74</v>
      </c>
      <c r="BB895">
        <v>737</v>
      </c>
      <c r="BC895">
        <v>751</v>
      </c>
      <c r="BD895" t="s">
        <v>74</v>
      </c>
      <c r="BE895" t="s">
        <v>16649</v>
      </c>
      <c r="BF895" t="str">
        <f>HYPERLINK("http://dx.doi.org/10.1007/s00300-014-1474-1","http://dx.doi.org/10.1007/s00300-014-1474-1")</f>
        <v>http://dx.doi.org/10.1007/s00300-014-1474-1</v>
      </c>
      <c r="BG895" t="s">
        <v>74</v>
      </c>
      <c r="BH895" t="s">
        <v>74</v>
      </c>
      <c r="BI895">
        <v>15</v>
      </c>
      <c r="BJ895" t="s">
        <v>784</v>
      </c>
      <c r="BK895" t="s">
        <v>102</v>
      </c>
      <c r="BL895" t="s">
        <v>785</v>
      </c>
      <c r="BM895" t="s">
        <v>15903</v>
      </c>
      <c r="BN895" t="s">
        <v>74</v>
      </c>
      <c r="BO895" t="s">
        <v>16650</v>
      </c>
      <c r="BP895" t="s">
        <v>74</v>
      </c>
      <c r="BQ895" t="s">
        <v>74</v>
      </c>
      <c r="BR895" t="s">
        <v>105</v>
      </c>
      <c r="BS895" t="s">
        <v>16651</v>
      </c>
      <c r="BT895" t="str">
        <f>HYPERLINK("https%3A%2F%2Fwww.webofscience.com%2Fwos%2Fwoscc%2Ffull-record%2FWOS:000334172600014","View Full Record in Web of Science")</f>
        <v>View Full Record in Web of Science</v>
      </c>
    </row>
    <row r="896" spans="1:72" x14ac:dyDescent="0.15">
      <c r="A896" t="s">
        <v>72</v>
      </c>
      <c r="B896" t="s">
        <v>16652</v>
      </c>
      <c r="C896" t="s">
        <v>74</v>
      </c>
      <c r="D896" t="s">
        <v>74</v>
      </c>
      <c r="E896" t="s">
        <v>74</v>
      </c>
      <c r="F896" t="s">
        <v>16653</v>
      </c>
      <c r="G896" t="s">
        <v>74</v>
      </c>
      <c r="H896" t="s">
        <v>74</v>
      </c>
      <c r="I896" t="s">
        <v>16654</v>
      </c>
      <c r="J896" t="s">
        <v>1458</v>
      </c>
      <c r="K896" t="s">
        <v>74</v>
      </c>
      <c r="L896" t="s">
        <v>74</v>
      </c>
      <c r="M896" t="s">
        <v>78</v>
      </c>
      <c r="N896" t="s">
        <v>79</v>
      </c>
      <c r="O896" t="s">
        <v>74</v>
      </c>
      <c r="P896" t="s">
        <v>74</v>
      </c>
      <c r="Q896" t="s">
        <v>74</v>
      </c>
      <c r="R896" t="s">
        <v>74</v>
      </c>
      <c r="S896" t="s">
        <v>74</v>
      </c>
      <c r="T896" t="s">
        <v>16655</v>
      </c>
      <c r="U896" t="s">
        <v>16656</v>
      </c>
      <c r="V896" t="s">
        <v>16657</v>
      </c>
      <c r="W896" t="s">
        <v>16658</v>
      </c>
      <c r="X896" t="s">
        <v>16659</v>
      </c>
      <c r="Y896" t="s">
        <v>16660</v>
      </c>
      <c r="Z896" t="s">
        <v>16661</v>
      </c>
      <c r="AA896" t="s">
        <v>13093</v>
      </c>
      <c r="AB896" t="s">
        <v>16662</v>
      </c>
      <c r="AC896" t="s">
        <v>16663</v>
      </c>
      <c r="AD896" t="s">
        <v>16664</v>
      </c>
      <c r="AE896" t="s">
        <v>16665</v>
      </c>
      <c r="AF896" t="s">
        <v>74</v>
      </c>
      <c r="AG896">
        <v>73</v>
      </c>
      <c r="AH896">
        <v>21</v>
      </c>
      <c r="AI896">
        <v>27</v>
      </c>
      <c r="AJ896">
        <v>0</v>
      </c>
      <c r="AK896">
        <v>30</v>
      </c>
      <c r="AL896" t="s">
        <v>250</v>
      </c>
      <c r="AM896" t="s">
        <v>251</v>
      </c>
      <c r="AN896" t="s">
        <v>252</v>
      </c>
      <c r="AO896" t="s">
        <v>1471</v>
      </c>
      <c r="AP896" t="s">
        <v>1493</v>
      </c>
      <c r="AQ896" t="s">
        <v>74</v>
      </c>
      <c r="AR896" t="s">
        <v>1472</v>
      </c>
      <c r="AS896" t="s">
        <v>1473</v>
      </c>
      <c r="AT896" t="s">
        <v>15223</v>
      </c>
      <c r="AU896">
        <v>2014</v>
      </c>
      <c r="AV896">
        <v>91</v>
      </c>
      <c r="AW896" t="s">
        <v>74</v>
      </c>
      <c r="AX896" t="s">
        <v>74</v>
      </c>
      <c r="AY896" t="s">
        <v>74</v>
      </c>
      <c r="AZ896" t="s">
        <v>74</v>
      </c>
      <c r="BA896" t="s">
        <v>74</v>
      </c>
      <c r="BB896">
        <v>1</v>
      </c>
      <c r="BC896">
        <v>15</v>
      </c>
      <c r="BD896" t="s">
        <v>74</v>
      </c>
      <c r="BE896" t="s">
        <v>16666</v>
      </c>
      <c r="BF896" t="str">
        <f>HYPERLINK("http://dx.doi.org/10.1016/j.quascirev.2014.02.017","http://dx.doi.org/10.1016/j.quascirev.2014.02.017")</f>
        <v>http://dx.doi.org/10.1016/j.quascirev.2014.02.017</v>
      </c>
      <c r="BG896" t="s">
        <v>74</v>
      </c>
      <c r="BH896" t="s">
        <v>74</v>
      </c>
      <c r="BI896">
        <v>15</v>
      </c>
      <c r="BJ896" t="s">
        <v>1427</v>
      </c>
      <c r="BK896" t="s">
        <v>102</v>
      </c>
      <c r="BL896" t="s">
        <v>1428</v>
      </c>
      <c r="BM896" t="s">
        <v>15225</v>
      </c>
      <c r="BN896" t="s">
        <v>74</v>
      </c>
      <c r="BO896" t="s">
        <v>262</v>
      </c>
      <c r="BP896" t="s">
        <v>74</v>
      </c>
      <c r="BQ896" t="s">
        <v>74</v>
      </c>
      <c r="BR896" t="s">
        <v>105</v>
      </c>
      <c r="BS896" t="s">
        <v>16667</v>
      </c>
      <c r="BT896" t="str">
        <f>HYPERLINK("https%3A%2F%2Fwww.webofscience.com%2Fwos%2Fwoscc%2Ffull-record%2FWOS:000336819800001","View Full Record in Web of Science")</f>
        <v>View Full Record in Web of Science</v>
      </c>
    </row>
    <row r="897" spans="1:72" x14ac:dyDescent="0.15">
      <c r="A897" t="s">
        <v>72</v>
      </c>
      <c r="B897" t="s">
        <v>16668</v>
      </c>
      <c r="C897" t="s">
        <v>74</v>
      </c>
      <c r="D897" t="s">
        <v>74</v>
      </c>
      <c r="E897" t="s">
        <v>74</v>
      </c>
      <c r="F897" t="s">
        <v>16669</v>
      </c>
      <c r="G897" t="s">
        <v>74</v>
      </c>
      <c r="H897" t="s">
        <v>74</v>
      </c>
      <c r="I897" t="s">
        <v>16670</v>
      </c>
      <c r="J897" t="s">
        <v>16671</v>
      </c>
      <c r="K897" t="s">
        <v>74</v>
      </c>
      <c r="L897" t="s">
        <v>74</v>
      </c>
      <c r="M897" t="s">
        <v>78</v>
      </c>
      <c r="N897" t="s">
        <v>79</v>
      </c>
      <c r="O897" t="s">
        <v>74</v>
      </c>
      <c r="P897" t="s">
        <v>74</v>
      </c>
      <c r="Q897" t="s">
        <v>74</v>
      </c>
      <c r="R897" t="s">
        <v>74</v>
      </c>
      <c r="S897" t="s">
        <v>74</v>
      </c>
      <c r="T897" t="s">
        <v>16672</v>
      </c>
      <c r="U897" t="s">
        <v>74</v>
      </c>
      <c r="V897" t="s">
        <v>16673</v>
      </c>
      <c r="W897" t="s">
        <v>16674</v>
      </c>
      <c r="X897" t="s">
        <v>7080</v>
      </c>
      <c r="Y897" t="s">
        <v>16675</v>
      </c>
      <c r="Z897" t="s">
        <v>16676</v>
      </c>
      <c r="AA897" t="s">
        <v>16677</v>
      </c>
      <c r="AB897" t="s">
        <v>74</v>
      </c>
      <c r="AC897" t="s">
        <v>74</v>
      </c>
      <c r="AD897" t="s">
        <v>74</v>
      </c>
      <c r="AE897" t="s">
        <v>74</v>
      </c>
      <c r="AF897" t="s">
        <v>74</v>
      </c>
      <c r="AG897">
        <v>22</v>
      </c>
      <c r="AH897">
        <v>3</v>
      </c>
      <c r="AI897">
        <v>3</v>
      </c>
      <c r="AJ897">
        <v>0</v>
      </c>
      <c r="AK897">
        <v>0</v>
      </c>
      <c r="AL897" t="s">
        <v>2306</v>
      </c>
      <c r="AM897" t="s">
        <v>576</v>
      </c>
      <c r="AN897" t="s">
        <v>2307</v>
      </c>
      <c r="AO897" t="s">
        <v>16678</v>
      </c>
      <c r="AP897" t="s">
        <v>16679</v>
      </c>
      <c r="AQ897" t="s">
        <v>74</v>
      </c>
      <c r="AR897" t="s">
        <v>16680</v>
      </c>
      <c r="AS897" t="s">
        <v>16681</v>
      </c>
      <c r="AT897" t="s">
        <v>14830</v>
      </c>
      <c r="AU897">
        <v>2014</v>
      </c>
      <c r="AV897">
        <v>56</v>
      </c>
      <c r="AW897">
        <v>3</v>
      </c>
      <c r="AX897" t="s">
        <v>74</v>
      </c>
      <c r="AY897" t="s">
        <v>74</v>
      </c>
      <c r="AZ897" t="s">
        <v>74</v>
      </c>
      <c r="BA897" t="s">
        <v>74</v>
      </c>
      <c r="BB897">
        <v>319</v>
      </c>
      <c r="BC897">
        <v>324</v>
      </c>
      <c r="BD897" t="s">
        <v>74</v>
      </c>
      <c r="BE897" t="s">
        <v>16682</v>
      </c>
      <c r="BF897" t="str">
        <f>HYPERLINK("http://dx.doi.org/10.1134/S1066362214030163","http://dx.doi.org/10.1134/S1066362214030163")</f>
        <v>http://dx.doi.org/10.1134/S1066362214030163</v>
      </c>
      <c r="BG897" t="s">
        <v>74</v>
      </c>
      <c r="BH897" t="s">
        <v>74</v>
      </c>
      <c r="BI897">
        <v>6</v>
      </c>
      <c r="BJ897" t="s">
        <v>16683</v>
      </c>
      <c r="BK897" t="s">
        <v>488</v>
      </c>
      <c r="BL897" t="s">
        <v>14413</v>
      </c>
      <c r="BM897" t="s">
        <v>16684</v>
      </c>
      <c r="BN897" t="s">
        <v>74</v>
      </c>
      <c r="BO897" t="s">
        <v>74</v>
      </c>
      <c r="BP897" t="s">
        <v>74</v>
      </c>
      <c r="BQ897" t="s">
        <v>74</v>
      </c>
      <c r="BR897" t="s">
        <v>105</v>
      </c>
      <c r="BS897" t="s">
        <v>16685</v>
      </c>
      <c r="BT897" t="str">
        <f>HYPERLINK("https%3A%2F%2Fwww.webofscience.com%2Fwos%2Fwoscc%2Ffull-record%2FWOS:000415595300016","View Full Record in Web of Science")</f>
        <v>View Full Record in Web of Science</v>
      </c>
    </row>
    <row r="898" spans="1:72" x14ac:dyDescent="0.15">
      <c r="A898" t="s">
        <v>72</v>
      </c>
      <c r="B898" t="s">
        <v>16686</v>
      </c>
      <c r="C898" t="s">
        <v>74</v>
      </c>
      <c r="D898" t="s">
        <v>74</v>
      </c>
      <c r="E898" t="s">
        <v>74</v>
      </c>
      <c r="F898" t="s">
        <v>16687</v>
      </c>
      <c r="G898" t="s">
        <v>74</v>
      </c>
      <c r="H898" t="s">
        <v>74</v>
      </c>
      <c r="I898" t="s">
        <v>16688</v>
      </c>
      <c r="J898" t="s">
        <v>5511</v>
      </c>
      <c r="K898" t="s">
        <v>74</v>
      </c>
      <c r="L898" t="s">
        <v>74</v>
      </c>
      <c r="M898" t="s">
        <v>78</v>
      </c>
      <c r="N898" t="s">
        <v>79</v>
      </c>
      <c r="O898" t="s">
        <v>74</v>
      </c>
      <c r="P898" t="s">
        <v>74</v>
      </c>
      <c r="Q898" t="s">
        <v>74</v>
      </c>
      <c r="R898" t="s">
        <v>74</v>
      </c>
      <c r="S898" t="s">
        <v>74</v>
      </c>
      <c r="T898" t="s">
        <v>16689</v>
      </c>
      <c r="U898" t="s">
        <v>16690</v>
      </c>
      <c r="V898" t="s">
        <v>16691</v>
      </c>
      <c r="W898" t="s">
        <v>16692</v>
      </c>
      <c r="X898" t="s">
        <v>16693</v>
      </c>
      <c r="Y898" t="s">
        <v>16694</v>
      </c>
      <c r="Z898" t="s">
        <v>16695</v>
      </c>
      <c r="AA898" t="s">
        <v>16696</v>
      </c>
      <c r="AB898" t="s">
        <v>16697</v>
      </c>
      <c r="AC898" t="s">
        <v>16698</v>
      </c>
      <c r="AD898" t="s">
        <v>16699</v>
      </c>
      <c r="AE898" t="s">
        <v>16700</v>
      </c>
      <c r="AF898" t="s">
        <v>74</v>
      </c>
      <c r="AG898">
        <v>39</v>
      </c>
      <c r="AH898">
        <v>151</v>
      </c>
      <c r="AI898">
        <v>165</v>
      </c>
      <c r="AJ898">
        <v>2</v>
      </c>
      <c r="AK898">
        <v>136</v>
      </c>
      <c r="AL898" t="s">
        <v>196</v>
      </c>
      <c r="AM898" t="s">
        <v>197</v>
      </c>
      <c r="AN898" t="s">
        <v>198</v>
      </c>
      <c r="AO898" t="s">
        <v>74</v>
      </c>
      <c r="AP898" t="s">
        <v>5526</v>
      </c>
      <c r="AQ898" t="s">
        <v>74</v>
      </c>
      <c r="AR898" t="s">
        <v>5527</v>
      </c>
      <c r="AS898" t="s">
        <v>5528</v>
      </c>
      <c r="AT898" t="s">
        <v>14830</v>
      </c>
      <c r="AU898">
        <v>2014</v>
      </c>
      <c r="AV898">
        <v>6</v>
      </c>
      <c r="AW898">
        <v>5</v>
      </c>
      <c r="AX898" t="s">
        <v>74</v>
      </c>
      <c r="AY898" t="s">
        <v>74</v>
      </c>
      <c r="AZ898" t="s">
        <v>74</v>
      </c>
      <c r="BA898" t="s">
        <v>74</v>
      </c>
      <c r="BB898">
        <v>4003</v>
      </c>
      <c r="BC898">
        <v>4024</v>
      </c>
      <c r="BD898" t="s">
        <v>74</v>
      </c>
      <c r="BE898" t="s">
        <v>16701</v>
      </c>
      <c r="BF898" t="str">
        <f>HYPERLINK("http://dx.doi.org/10.3390/rs6054003","http://dx.doi.org/10.3390/rs6054003")</f>
        <v>http://dx.doi.org/10.3390/rs6054003</v>
      </c>
      <c r="BG898" t="s">
        <v>74</v>
      </c>
      <c r="BH898" t="s">
        <v>74</v>
      </c>
      <c r="BI898">
        <v>22</v>
      </c>
      <c r="BJ898" t="s">
        <v>5530</v>
      </c>
      <c r="BK898" t="s">
        <v>102</v>
      </c>
      <c r="BL898" t="s">
        <v>5531</v>
      </c>
      <c r="BM898" t="s">
        <v>16702</v>
      </c>
      <c r="BN898" t="s">
        <v>74</v>
      </c>
      <c r="BO898" t="s">
        <v>16703</v>
      </c>
      <c r="BP898" t="s">
        <v>74</v>
      </c>
      <c r="BQ898" t="s">
        <v>74</v>
      </c>
      <c r="BR898" t="s">
        <v>105</v>
      </c>
      <c r="BS898" t="s">
        <v>16704</v>
      </c>
      <c r="BT898" t="str">
        <f>HYPERLINK("https%3A%2F%2Fwww.webofscience.com%2Fwos%2Fwoscc%2Ffull-record%2FWOS:000337160700023","View Full Record in Web of Science")</f>
        <v>View Full Record in Web of Science</v>
      </c>
    </row>
    <row r="899" spans="1:72" x14ac:dyDescent="0.15">
      <c r="A899" t="s">
        <v>72</v>
      </c>
      <c r="B899" t="s">
        <v>16705</v>
      </c>
      <c r="C899" t="s">
        <v>74</v>
      </c>
      <c r="D899" t="s">
        <v>74</v>
      </c>
      <c r="E899" t="s">
        <v>74</v>
      </c>
      <c r="F899" t="s">
        <v>16706</v>
      </c>
      <c r="G899" t="s">
        <v>74</v>
      </c>
      <c r="H899" t="s">
        <v>74</v>
      </c>
      <c r="I899" t="s">
        <v>16707</v>
      </c>
      <c r="J899" t="s">
        <v>5511</v>
      </c>
      <c r="K899" t="s">
        <v>74</v>
      </c>
      <c r="L899" t="s">
        <v>74</v>
      </c>
      <c r="M899" t="s">
        <v>78</v>
      </c>
      <c r="N899" t="s">
        <v>79</v>
      </c>
      <c r="O899" t="s">
        <v>74</v>
      </c>
      <c r="P899" t="s">
        <v>74</v>
      </c>
      <c r="Q899" t="s">
        <v>74</v>
      </c>
      <c r="R899" t="s">
        <v>74</v>
      </c>
      <c r="S899" t="s">
        <v>74</v>
      </c>
      <c r="T899" t="s">
        <v>16708</v>
      </c>
      <c r="U899" t="s">
        <v>16709</v>
      </c>
      <c r="V899" t="s">
        <v>16710</v>
      </c>
      <c r="W899" t="s">
        <v>16711</v>
      </c>
      <c r="X899" t="s">
        <v>16712</v>
      </c>
      <c r="Y899" t="s">
        <v>16713</v>
      </c>
      <c r="Z899" t="s">
        <v>16714</v>
      </c>
      <c r="AA899" t="s">
        <v>74</v>
      </c>
      <c r="AB899" t="s">
        <v>16715</v>
      </c>
      <c r="AC899" t="s">
        <v>16716</v>
      </c>
      <c r="AD899" t="s">
        <v>16717</v>
      </c>
      <c r="AE899" t="s">
        <v>16718</v>
      </c>
      <c r="AF899" t="s">
        <v>74</v>
      </c>
      <c r="AG899">
        <v>27</v>
      </c>
      <c r="AH899">
        <v>13</v>
      </c>
      <c r="AI899">
        <v>13</v>
      </c>
      <c r="AJ899">
        <v>0</v>
      </c>
      <c r="AK899">
        <v>20</v>
      </c>
      <c r="AL899" t="s">
        <v>196</v>
      </c>
      <c r="AM899" t="s">
        <v>197</v>
      </c>
      <c r="AN899" t="s">
        <v>198</v>
      </c>
      <c r="AO899" t="s">
        <v>74</v>
      </c>
      <c r="AP899" t="s">
        <v>5526</v>
      </c>
      <c r="AQ899" t="s">
        <v>74</v>
      </c>
      <c r="AR899" t="s">
        <v>5527</v>
      </c>
      <c r="AS899" t="s">
        <v>5528</v>
      </c>
      <c r="AT899" t="s">
        <v>14830</v>
      </c>
      <c r="AU899">
        <v>2014</v>
      </c>
      <c r="AV899">
        <v>6</v>
      </c>
      <c r="AW899">
        <v>5</v>
      </c>
      <c r="AX899" t="s">
        <v>74</v>
      </c>
      <c r="AY899" t="s">
        <v>74</v>
      </c>
      <c r="AZ899" t="s">
        <v>74</v>
      </c>
      <c r="BA899" t="s">
        <v>74</v>
      </c>
      <c r="BB899">
        <v>4498</v>
      </c>
      <c r="BC899">
        <v>4514</v>
      </c>
      <c r="BD899" t="s">
        <v>74</v>
      </c>
      <c r="BE899" t="s">
        <v>16719</v>
      </c>
      <c r="BF899" t="str">
        <f>HYPERLINK("http://dx.doi.org/10.3390/rs6054498","http://dx.doi.org/10.3390/rs6054498")</f>
        <v>http://dx.doi.org/10.3390/rs6054498</v>
      </c>
      <c r="BG899" t="s">
        <v>74</v>
      </c>
      <c r="BH899" t="s">
        <v>74</v>
      </c>
      <c r="BI899">
        <v>17</v>
      </c>
      <c r="BJ899" t="s">
        <v>5530</v>
      </c>
      <c r="BK899" t="s">
        <v>102</v>
      </c>
      <c r="BL899" t="s">
        <v>5531</v>
      </c>
      <c r="BM899" t="s">
        <v>16702</v>
      </c>
      <c r="BN899" t="s">
        <v>74</v>
      </c>
      <c r="BO899" t="s">
        <v>10367</v>
      </c>
      <c r="BP899" t="s">
        <v>74</v>
      </c>
      <c r="BQ899" t="s">
        <v>74</v>
      </c>
      <c r="BR899" t="s">
        <v>105</v>
      </c>
      <c r="BS899" t="s">
        <v>16720</v>
      </c>
      <c r="BT899" t="str">
        <f>HYPERLINK("https%3A%2F%2Fwww.webofscience.com%2Fwos%2Fwoscc%2Ffull-record%2FWOS:000337160700046","View Full Record in Web of Science")</f>
        <v>View Full Record in Web of Science</v>
      </c>
    </row>
    <row r="900" spans="1:72" x14ac:dyDescent="0.15">
      <c r="A900" t="s">
        <v>72</v>
      </c>
      <c r="B900" t="s">
        <v>16721</v>
      </c>
      <c r="C900" t="s">
        <v>74</v>
      </c>
      <c r="D900" t="s">
        <v>74</v>
      </c>
      <c r="E900" t="s">
        <v>74</v>
      </c>
      <c r="F900" t="s">
        <v>16722</v>
      </c>
      <c r="G900" t="s">
        <v>74</v>
      </c>
      <c r="H900" t="s">
        <v>74</v>
      </c>
      <c r="I900" t="s">
        <v>16723</v>
      </c>
      <c r="J900" t="s">
        <v>15688</v>
      </c>
      <c r="K900" t="s">
        <v>74</v>
      </c>
      <c r="L900" t="s">
        <v>74</v>
      </c>
      <c r="M900" t="s">
        <v>78</v>
      </c>
      <c r="N900" t="s">
        <v>79</v>
      </c>
      <c r="O900" t="s">
        <v>74</v>
      </c>
      <c r="P900" t="s">
        <v>74</v>
      </c>
      <c r="Q900" t="s">
        <v>74</v>
      </c>
      <c r="R900" t="s">
        <v>74</v>
      </c>
      <c r="S900" t="s">
        <v>74</v>
      </c>
      <c r="T900" t="s">
        <v>74</v>
      </c>
      <c r="U900" t="s">
        <v>16724</v>
      </c>
      <c r="V900" t="s">
        <v>16725</v>
      </c>
      <c r="W900" t="s">
        <v>16726</v>
      </c>
      <c r="X900" t="s">
        <v>16727</v>
      </c>
      <c r="Y900" t="s">
        <v>16728</v>
      </c>
      <c r="Z900" t="s">
        <v>16729</v>
      </c>
      <c r="AA900" t="s">
        <v>16730</v>
      </c>
      <c r="AB900" t="s">
        <v>16731</v>
      </c>
      <c r="AC900" t="s">
        <v>16732</v>
      </c>
      <c r="AD900" t="s">
        <v>14994</v>
      </c>
      <c r="AE900" t="s">
        <v>16733</v>
      </c>
      <c r="AF900" t="s">
        <v>74</v>
      </c>
      <c r="AG900">
        <v>38</v>
      </c>
      <c r="AH900">
        <v>5</v>
      </c>
      <c r="AI900">
        <v>6</v>
      </c>
      <c r="AJ900">
        <v>0</v>
      </c>
      <c r="AK900">
        <v>18</v>
      </c>
      <c r="AL900" t="s">
        <v>15695</v>
      </c>
      <c r="AM900" t="s">
        <v>15696</v>
      </c>
      <c r="AN900" t="s">
        <v>15697</v>
      </c>
      <c r="AO900" t="s">
        <v>15698</v>
      </c>
      <c r="AP900" t="s">
        <v>15699</v>
      </c>
      <c r="AQ900" t="s">
        <v>74</v>
      </c>
      <c r="AR900" t="s">
        <v>15700</v>
      </c>
      <c r="AS900" t="s">
        <v>15701</v>
      </c>
      <c r="AT900" t="s">
        <v>14830</v>
      </c>
      <c r="AU900">
        <v>2014</v>
      </c>
      <c r="AV900">
        <v>116</v>
      </c>
      <c r="AW900" t="s">
        <v>15702</v>
      </c>
      <c r="AX900" t="s">
        <v>74</v>
      </c>
      <c r="AY900" t="s">
        <v>74</v>
      </c>
      <c r="AZ900" t="s">
        <v>74</v>
      </c>
      <c r="BA900" t="s">
        <v>74</v>
      </c>
      <c r="BB900">
        <v>501</v>
      </c>
      <c r="BC900">
        <v>514</v>
      </c>
      <c r="BD900" t="s">
        <v>74</v>
      </c>
      <c r="BE900" t="s">
        <v>16734</v>
      </c>
      <c r="BF900" t="str">
        <f>HYPERLINK("http://dx.doi.org/10.1007/s00704-013-0954-5","http://dx.doi.org/10.1007/s00704-013-0954-5")</f>
        <v>http://dx.doi.org/10.1007/s00704-013-0954-5</v>
      </c>
      <c r="BG900" t="s">
        <v>74</v>
      </c>
      <c r="BH900" t="s">
        <v>74</v>
      </c>
      <c r="BI900">
        <v>14</v>
      </c>
      <c r="BJ900" t="s">
        <v>177</v>
      </c>
      <c r="BK900" t="s">
        <v>102</v>
      </c>
      <c r="BL900" t="s">
        <v>177</v>
      </c>
      <c r="BM900" t="s">
        <v>15704</v>
      </c>
      <c r="BN900" t="s">
        <v>74</v>
      </c>
      <c r="BO900" t="s">
        <v>74</v>
      </c>
      <c r="BP900" t="s">
        <v>74</v>
      </c>
      <c r="BQ900" t="s">
        <v>74</v>
      </c>
      <c r="BR900" t="s">
        <v>105</v>
      </c>
      <c r="BS900" t="s">
        <v>16735</v>
      </c>
      <c r="BT900" t="str">
        <f>HYPERLINK("https%3A%2F%2Fwww.webofscience.com%2Fwos%2Fwoscc%2Ffull-record%2FWOS:000335152500010","View Full Record in Web of Science")</f>
        <v>View Full Record in Web of Science</v>
      </c>
    </row>
    <row r="901" spans="1:72" x14ac:dyDescent="0.15">
      <c r="A901" t="s">
        <v>72</v>
      </c>
      <c r="B901" t="s">
        <v>16736</v>
      </c>
      <c r="C901" t="s">
        <v>74</v>
      </c>
      <c r="D901" t="s">
        <v>74</v>
      </c>
      <c r="E901" t="s">
        <v>74</v>
      </c>
      <c r="F901" t="s">
        <v>16737</v>
      </c>
      <c r="G901" t="s">
        <v>74</v>
      </c>
      <c r="H901" t="s">
        <v>74</v>
      </c>
      <c r="I901" t="s">
        <v>16738</v>
      </c>
      <c r="J901" t="s">
        <v>16739</v>
      </c>
      <c r="K901" t="s">
        <v>74</v>
      </c>
      <c r="L901" t="s">
        <v>74</v>
      </c>
      <c r="M901" t="s">
        <v>78</v>
      </c>
      <c r="N901" t="s">
        <v>185</v>
      </c>
      <c r="O901" t="s">
        <v>74</v>
      </c>
      <c r="P901" t="s">
        <v>74</v>
      </c>
      <c r="Q901" t="s">
        <v>74</v>
      </c>
      <c r="R901" t="s">
        <v>74</v>
      </c>
      <c r="S901" t="s">
        <v>74</v>
      </c>
      <c r="T901" t="s">
        <v>16740</v>
      </c>
      <c r="U901" t="s">
        <v>16741</v>
      </c>
      <c r="V901" t="s">
        <v>16742</v>
      </c>
      <c r="W901" t="s">
        <v>16743</v>
      </c>
      <c r="X901" t="s">
        <v>84</v>
      </c>
      <c r="Y901" t="s">
        <v>5870</v>
      </c>
      <c r="Z901" t="s">
        <v>5871</v>
      </c>
      <c r="AA901" t="s">
        <v>16744</v>
      </c>
      <c r="AB901" t="s">
        <v>16745</v>
      </c>
      <c r="AC901" t="s">
        <v>16746</v>
      </c>
      <c r="AD901" t="s">
        <v>16747</v>
      </c>
      <c r="AE901" t="s">
        <v>16748</v>
      </c>
      <c r="AF901" t="s">
        <v>74</v>
      </c>
      <c r="AG901">
        <v>70</v>
      </c>
      <c r="AH901">
        <v>32</v>
      </c>
      <c r="AI901">
        <v>34</v>
      </c>
      <c r="AJ901">
        <v>4</v>
      </c>
      <c r="AK901">
        <v>130</v>
      </c>
      <c r="AL901" t="s">
        <v>601</v>
      </c>
      <c r="AM901" t="s">
        <v>251</v>
      </c>
      <c r="AN901" t="s">
        <v>602</v>
      </c>
      <c r="AO901" t="s">
        <v>16749</v>
      </c>
      <c r="AP901" t="s">
        <v>16750</v>
      </c>
      <c r="AQ901" t="s">
        <v>74</v>
      </c>
      <c r="AR901" t="s">
        <v>16751</v>
      </c>
      <c r="AS901" t="s">
        <v>16752</v>
      </c>
      <c r="AT901" t="s">
        <v>14830</v>
      </c>
      <c r="AU901">
        <v>2014</v>
      </c>
      <c r="AV901">
        <v>22</v>
      </c>
      <c r="AW901">
        <v>5</v>
      </c>
      <c r="AX901" t="s">
        <v>74</v>
      </c>
      <c r="AY901" t="s">
        <v>74</v>
      </c>
      <c r="AZ901" t="s">
        <v>74</v>
      </c>
      <c r="BA901" t="s">
        <v>74</v>
      </c>
      <c r="BB901">
        <v>248</v>
      </c>
      <c r="BC901">
        <v>260</v>
      </c>
      <c r="BD901" t="s">
        <v>74</v>
      </c>
      <c r="BE901" t="s">
        <v>16753</v>
      </c>
      <c r="BF901" t="str">
        <f>HYPERLINK("http://dx.doi.org/10.1016/j.tim.2014.03.004","http://dx.doi.org/10.1016/j.tim.2014.03.004")</f>
        <v>http://dx.doi.org/10.1016/j.tim.2014.03.004</v>
      </c>
      <c r="BG901" t="s">
        <v>74</v>
      </c>
      <c r="BH901" t="s">
        <v>74</v>
      </c>
      <c r="BI901">
        <v>13</v>
      </c>
      <c r="BJ901" t="s">
        <v>3437</v>
      </c>
      <c r="BK901" t="s">
        <v>102</v>
      </c>
      <c r="BL901" t="s">
        <v>3437</v>
      </c>
      <c r="BM901" t="s">
        <v>16754</v>
      </c>
      <c r="BN901">
        <v>24731505</v>
      </c>
      <c r="BO901" t="s">
        <v>74</v>
      </c>
      <c r="BP901" t="s">
        <v>74</v>
      </c>
      <c r="BQ901" t="s">
        <v>74</v>
      </c>
      <c r="BR901" t="s">
        <v>105</v>
      </c>
      <c r="BS901" t="s">
        <v>16755</v>
      </c>
      <c r="BT901" t="str">
        <f>HYPERLINK("https%3A%2F%2Fwww.webofscience.com%2Fwos%2Fwoscc%2Ffull-record%2FWOS:000336477800006","View Full Record in Web of Science")</f>
        <v>View Full Record in Web of Science</v>
      </c>
    </row>
    <row r="902" spans="1:72" x14ac:dyDescent="0.15">
      <c r="A902" t="s">
        <v>72</v>
      </c>
      <c r="B902" t="s">
        <v>16756</v>
      </c>
      <c r="C902" t="s">
        <v>74</v>
      </c>
      <c r="D902" t="s">
        <v>74</v>
      </c>
      <c r="E902" t="s">
        <v>74</v>
      </c>
      <c r="F902" t="s">
        <v>16757</v>
      </c>
      <c r="G902" t="s">
        <v>74</v>
      </c>
      <c r="H902" t="s">
        <v>74</v>
      </c>
      <c r="I902" t="s">
        <v>16758</v>
      </c>
      <c r="J902" t="s">
        <v>16759</v>
      </c>
      <c r="K902" t="s">
        <v>74</v>
      </c>
      <c r="L902" t="s">
        <v>74</v>
      </c>
      <c r="M902" t="s">
        <v>78</v>
      </c>
      <c r="N902" t="s">
        <v>79</v>
      </c>
      <c r="O902" t="s">
        <v>74</v>
      </c>
      <c r="P902" t="s">
        <v>74</v>
      </c>
      <c r="Q902" t="s">
        <v>74</v>
      </c>
      <c r="R902" t="s">
        <v>74</v>
      </c>
      <c r="S902" t="s">
        <v>74</v>
      </c>
      <c r="T902" t="s">
        <v>16760</v>
      </c>
      <c r="U902" t="s">
        <v>16761</v>
      </c>
      <c r="V902" t="s">
        <v>16762</v>
      </c>
      <c r="W902" t="s">
        <v>16763</v>
      </c>
      <c r="X902" t="s">
        <v>16764</v>
      </c>
      <c r="Y902" t="s">
        <v>16765</v>
      </c>
      <c r="Z902" t="s">
        <v>16766</v>
      </c>
      <c r="AA902" t="s">
        <v>16767</v>
      </c>
      <c r="AB902" t="s">
        <v>74</v>
      </c>
      <c r="AC902" t="s">
        <v>16768</v>
      </c>
      <c r="AD902" t="s">
        <v>16769</v>
      </c>
      <c r="AE902" t="s">
        <v>16770</v>
      </c>
      <c r="AF902" t="s">
        <v>74</v>
      </c>
      <c r="AG902">
        <v>38</v>
      </c>
      <c r="AH902">
        <v>24</v>
      </c>
      <c r="AI902">
        <v>24</v>
      </c>
      <c r="AJ902">
        <v>1</v>
      </c>
      <c r="AK902">
        <v>20</v>
      </c>
      <c r="AL902" t="s">
        <v>196</v>
      </c>
      <c r="AM902" t="s">
        <v>197</v>
      </c>
      <c r="AN902" t="s">
        <v>198</v>
      </c>
      <c r="AO902" t="s">
        <v>74</v>
      </c>
      <c r="AP902" t="s">
        <v>16771</v>
      </c>
      <c r="AQ902" t="s">
        <v>74</v>
      </c>
      <c r="AR902" t="s">
        <v>16759</v>
      </c>
      <c r="AS902" t="s">
        <v>16772</v>
      </c>
      <c r="AT902" t="s">
        <v>14830</v>
      </c>
      <c r="AU902">
        <v>2014</v>
      </c>
      <c r="AV902">
        <v>6</v>
      </c>
      <c r="AW902">
        <v>5</v>
      </c>
      <c r="AX902" t="s">
        <v>74</v>
      </c>
      <c r="AY902" t="s">
        <v>74</v>
      </c>
      <c r="AZ902" t="s">
        <v>74</v>
      </c>
      <c r="BA902" t="s">
        <v>74</v>
      </c>
      <c r="BB902">
        <v>2052</v>
      </c>
      <c r="BC902">
        <v>2061</v>
      </c>
      <c r="BD902" t="s">
        <v>74</v>
      </c>
      <c r="BE902" t="s">
        <v>16773</v>
      </c>
      <c r="BF902" t="str">
        <f>HYPERLINK("http://dx.doi.org/10.3390/v6052052","http://dx.doi.org/10.3390/v6052052")</f>
        <v>http://dx.doi.org/10.3390/v6052052</v>
      </c>
      <c r="BG902" t="s">
        <v>74</v>
      </c>
      <c r="BH902" t="s">
        <v>74</v>
      </c>
      <c r="BI902">
        <v>10</v>
      </c>
      <c r="BJ902" t="s">
        <v>16774</v>
      </c>
      <c r="BK902" t="s">
        <v>102</v>
      </c>
      <c r="BL902" t="s">
        <v>16774</v>
      </c>
      <c r="BM902" t="s">
        <v>16775</v>
      </c>
      <c r="BN902">
        <v>24811321</v>
      </c>
      <c r="BO902" t="s">
        <v>1381</v>
      </c>
      <c r="BP902" t="s">
        <v>74</v>
      </c>
      <c r="BQ902" t="s">
        <v>74</v>
      </c>
      <c r="BR902" t="s">
        <v>105</v>
      </c>
      <c r="BS902" t="s">
        <v>16776</v>
      </c>
      <c r="BT902" t="str">
        <f>HYPERLINK("https%3A%2F%2Fwww.webofscience.com%2Fwos%2Fwoscc%2Ffull-record%2FWOS:000337160900010","View Full Record in Web of Science")</f>
        <v>View Full Record in Web of Science</v>
      </c>
    </row>
    <row r="903" spans="1:72" x14ac:dyDescent="0.15">
      <c r="A903" t="s">
        <v>72</v>
      </c>
      <c r="B903" t="s">
        <v>16777</v>
      </c>
      <c r="C903" t="s">
        <v>74</v>
      </c>
      <c r="D903" t="s">
        <v>74</v>
      </c>
      <c r="E903" t="s">
        <v>74</v>
      </c>
      <c r="F903" t="s">
        <v>16778</v>
      </c>
      <c r="G903" t="s">
        <v>74</v>
      </c>
      <c r="H903" t="s">
        <v>74</v>
      </c>
      <c r="I903" t="s">
        <v>16779</v>
      </c>
      <c r="J903" t="s">
        <v>12212</v>
      </c>
      <c r="K903" t="s">
        <v>74</v>
      </c>
      <c r="L903" t="s">
        <v>74</v>
      </c>
      <c r="M903" t="s">
        <v>78</v>
      </c>
      <c r="N903" t="s">
        <v>79</v>
      </c>
      <c r="O903" t="s">
        <v>74</v>
      </c>
      <c r="P903" t="s">
        <v>74</v>
      </c>
      <c r="Q903" t="s">
        <v>74</v>
      </c>
      <c r="R903" t="s">
        <v>74</v>
      </c>
      <c r="S903" t="s">
        <v>74</v>
      </c>
      <c r="T903" t="s">
        <v>16780</v>
      </c>
      <c r="U903" t="s">
        <v>16781</v>
      </c>
      <c r="V903" t="s">
        <v>16782</v>
      </c>
      <c r="W903" t="s">
        <v>16783</v>
      </c>
      <c r="X903" t="s">
        <v>16784</v>
      </c>
      <c r="Y903" t="s">
        <v>16785</v>
      </c>
      <c r="Z903" t="s">
        <v>16786</v>
      </c>
      <c r="AA903" t="s">
        <v>16787</v>
      </c>
      <c r="AB903" t="s">
        <v>74</v>
      </c>
      <c r="AC903" t="s">
        <v>74</v>
      </c>
      <c r="AD903" t="s">
        <v>74</v>
      </c>
      <c r="AE903" t="s">
        <v>74</v>
      </c>
      <c r="AF903" t="s">
        <v>74</v>
      </c>
      <c r="AG903">
        <v>87</v>
      </c>
      <c r="AH903">
        <v>13</v>
      </c>
      <c r="AI903">
        <v>14</v>
      </c>
      <c r="AJ903">
        <v>0</v>
      </c>
      <c r="AK903">
        <v>35</v>
      </c>
      <c r="AL903" t="s">
        <v>418</v>
      </c>
      <c r="AM903" t="s">
        <v>251</v>
      </c>
      <c r="AN903" t="s">
        <v>419</v>
      </c>
      <c r="AO903" t="s">
        <v>12224</v>
      </c>
      <c r="AP903" t="s">
        <v>12225</v>
      </c>
      <c r="AQ903" t="s">
        <v>74</v>
      </c>
      <c r="AR903" t="s">
        <v>12226</v>
      </c>
      <c r="AS903" t="s">
        <v>12227</v>
      </c>
      <c r="AT903" t="s">
        <v>14830</v>
      </c>
      <c r="AU903">
        <v>2014</v>
      </c>
      <c r="AV903">
        <v>171</v>
      </c>
      <c r="AW903">
        <v>1</v>
      </c>
      <c r="AX903" t="s">
        <v>74</v>
      </c>
      <c r="AY903" t="s">
        <v>74</v>
      </c>
      <c r="AZ903" t="s">
        <v>74</v>
      </c>
      <c r="BA903" t="s">
        <v>74</v>
      </c>
      <c r="BB903">
        <v>133</v>
      </c>
      <c r="BC903">
        <v>150</v>
      </c>
      <c r="BD903" t="s">
        <v>74</v>
      </c>
      <c r="BE903" t="s">
        <v>16788</v>
      </c>
      <c r="BF903" t="str">
        <f>HYPERLINK("http://dx.doi.org/10.1111/zoj12121","http://dx.doi.org/10.1111/zoj12121")</f>
        <v>http://dx.doi.org/10.1111/zoj12121</v>
      </c>
      <c r="BG903" t="s">
        <v>74</v>
      </c>
      <c r="BH903" t="s">
        <v>74</v>
      </c>
      <c r="BI903">
        <v>18</v>
      </c>
      <c r="BJ903" t="s">
        <v>1254</v>
      </c>
      <c r="BK903" t="s">
        <v>102</v>
      </c>
      <c r="BL903" t="s">
        <v>1254</v>
      </c>
      <c r="BM903" t="s">
        <v>16789</v>
      </c>
      <c r="BN903" t="s">
        <v>74</v>
      </c>
      <c r="BO903" t="s">
        <v>179</v>
      </c>
      <c r="BP903" t="s">
        <v>74</v>
      </c>
      <c r="BQ903" t="s">
        <v>74</v>
      </c>
      <c r="BR903" t="s">
        <v>105</v>
      </c>
      <c r="BS903" t="s">
        <v>16790</v>
      </c>
      <c r="BT903" t="str">
        <f>HYPERLINK("https%3A%2F%2Fwww.webofscience.com%2Fwos%2Fwoscc%2Ffull-record%2FWOS:000335010400007","View Full Record in Web of Science")</f>
        <v>View Full Record in Web of Science</v>
      </c>
    </row>
    <row r="904" spans="1:72" x14ac:dyDescent="0.15">
      <c r="A904" t="s">
        <v>72</v>
      </c>
      <c r="B904" t="s">
        <v>16791</v>
      </c>
      <c r="C904" t="s">
        <v>74</v>
      </c>
      <c r="D904" t="s">
        <v>74</v>
      </c>
      <c r="E904" t="s">
        <v>74</v>
      </c>
      <c r="F904" t="s">
        <v>16792</v>
      </c>
      <c r="G904" t="s">
        <v>74</v>
      </c>
      <c r="H904" t="s">
        <v>74</v>
      </c>
      <c r="I904" t="s">
        <v>16793</v>
      </c>
      <c r="J904" t="s">
        <v>16794</v>
      </c>
      <c r="K904" t="s">
        <v>74</v>
      </c>
      <c r="L904" t="s">
        <v>74</v>
      </c>
      <c r="M904" t="s">
        <v>78</v>
      </c>
      <c r="N904" t="s">
        <v>79</v>
      </c>
      <c r="O904" t="s">
        <v>74</v>
      </c>
      <c r="P904" t="s">
        <v>74</v>
      </c>
      <c r="Q904" t="s">
        <v>74</v>
      </c>
      <c r="R904" t="s">
        <v>74</v>
      </c>
      <c r="S904" t="s">
        <v>74</v>
      </c>
      <c r="T904" t="s">
        <v>74</v>
      </c>
      <c r="U904" t="s">
        <v>16795</v>
      </c>
      <c r="V904" t="s">
        <v>16796</v>
      </c>
      <c r="W904" t="s">
        <v>16797</v>
      </c>
      <c r="X904" t="s">
        <v>16798</v>
      </c>
      <c r="Y904" t="s">
        <v>16799</v>
      </c>
      <c r="Z904" t="s">
        <v>16800</v>
      </c>
      <c r="AA904" t="s">
        <v>16801</v>
      </c>
      <c r="AB904" t="s">
        <v>16802</v>
      </c>
      <c r="AC904" t="s">
        <v>16803</v>
      </c>
      <c r="AD904" t="s">
        <v>16804</v>
      </c>
      <c r="AE904" t="s">
        <v>16805</v>
      </c>
      <c r="AF904" t="s">
        <v>74</v>
      </c>
      <c r="AG904">
        <v>32</v>
      </c>
      <c r="AH904">
        <v>14</v>
      </c>
      <c r="AI904">
        <v>14</v>
      </c>
      <c r="AJ904">
        <v>1</v>
      </c>
      <c r="AK904">
        <v>30</v>
      </c>
      <c r="AL904" t="s">
        <v>224</v>
      </c>
      <c r="AM904" t="s">
        <v>576</v>
      </c>
      <c r="AN904" t="s">
        <v>577</v>
      </c>
      <c r="AO904" t="s">
        <v>16806</v>
      </c>
      <c r="AP904" t="s">
        <v>16807</v>
      </c>
      <c r="AQ904" t="s">
        <v>74</v>
      </c>
      <c r="AR904" t="s">
        <v>16808</v>
      </c>
      <c r="AS904" t="s">
        <v>16809</v>
      </c>
      <c r="AT904" t="s">
        <v>14830</v>
      </c>
      <c r="AU904">
        <v>2014</v>
      </c>
      <c r="AV904">
        <v>49</v>
      </c>
      <c r="AW904">
        <v>9</v>
      </c>
      <c r="AX904" t="s">
        <v>74</v>
      </c>
      <c r="AY904" t="s">
        <v>74</v>
      </c>
      <c r="AZ904" t="s">
        <v>74</v>
      </c>
      <c r="BA904" t="s">
        <v>74</v>
      </c>
      <c r="BB904">
        <v>3550</v>
      </c>
      <c r="BC904">
        <v>3559</v>
      </c>
      <c r="BD904" t="s">
        <v>74</v>
      </c>
      <c r="BE904" t="s">
        <v>16810</v>
      </c>
      <c r="BF904" t="str">
        <f>HYPERLINK("http://dx.doi.org/10.1007/s10853-014-8077-7","http://dx.doi.org/10.1007/s10853-014-8077-7")</f>
        <v>http://dx.doi.org/10.1007/s10853-014-8077-7</v>
      </c>
      <c r="BG904" t="s">
        <v>74</v>
      </c>
      <c r="BH904" t="s">
        <v>74</v>
      </c>
      <c r="BI904">
        <v>10</v>
      </c>
      <c r="BJ904" t="s">
        <v>16811</v>
      </c>
      <c r="BK904" t="s">
        <v>102</v>
      </c>
      <c r="BL904" t="s">
        <v>16812</v>
      </c>
      <c r="BM904" t="s">
        <v>16813</v>
      </c>
      <c r="BN904" t="s">
        <v>74</v>
      </c>
      <c r="BO904" t="s">
        <v>74</v>
      </c>
      <c r="BP904" t="s">
        <v>74</v>
      </c>
      <c r="BQ904" t="s">
        <v>74</v>
      </c>
      <c r="BR904" t="s">
        <v>105</v>
      </c>
      <c r="BS904" t="s">
        <v>16814</v>
      </c>
      <c r="BT904" t="str">
        <f>HYPERLINK("https%3A%2F%2Fwww.webofscience.com%2Fwos%2Fwoscc%2Ffull-record%2FWOS:000331388000029","View Full Record in Web of Science")</f>
        <v>View Full Record in Web of Science</v>
      </c>
    </row>
    <row r="905" spans="1:72" x14ac:dyDescent="0.15">
      <c r="A905" t="s">
        <v>72</v>
      </c>
      <c r="B905" t="s">
        <v>16815</v>
      </c>
      <c r="C905" t="s">
        <v>74</v>
      </c>
      <c r="D905" t="s">
        <v>74</v>
      </c>
      <c r="E905" t="s">
        <v>74</v>
      </c>
      <c r="F905" t="s">
        <v>16816</v>
      </c>
      <c r="G905" t="s">
        <v>74</v>
      </c>
      <c r="H905" t="s">
        <v>74</v>
      </c>
      <c r="I905" t="s">
        <v>16817</v>
      </c>
      <c r="J905" t="s">
        <v>1194</v>
      </c>
      <c r="K905" t="s">
        <v>74</v>
      </c>
      <c r="L905" t="s">
        <v>74</v>
      </c>
      <c r="M905" t="s">
        <v>78</v>
      </c>
      <c r="N905" t="s">
        <v>79</v>
      </c>
      <c r="O905" t="s">
        <v>74</v>
      </c>
      <c r="P905" t="s">
        <v>74</v>
      </c>
      <c r="Q905" t="s">
        <v>74</v>
      </c>
      <c r="R905" t="s">
        <v>74</v>
      </c>
      <c r="S905" t="s">
        <v>74</v>
      </c>
      <c r="T905" t="s">
        <v>16818</v>
      </c>
      <c r="U905" t="s">
        <v>16819</v>
      </c>
      <c r="V905" t="s">
        <v>16820</v>
      </c>
      <c r="W905" t="s">
        <v>16821</v>
      </c>
      <c r="X905" t="s">
        <v>13327</v>
      </c>
      <c r="Y905" t="s">
        <v>16822</v>
      </c>
      <c r="Z905" t="s">
        <v>16823</v>
      </c>
      <c r="AA905" t="s">
        <v>74</v>
      </c>
      <c r="AB905" t="s">
        <v>16824</v>
      </c>
      <c r="AC905" t="s">
        <v>74</v>
      </c>
      <c r="AD905" t="s">
        <v>74</v>
      </c>
      <c r="AE905" t="s">
        <v>74</v>
      </c>
      <c r="AF905" t="s">
        <v>74</v>
      </c>
      <c r="AG905">
        <v>26</v>
      </c>
      <c r="AH905">
        <v>60</v>
      </c>
      <c r="AI905">
        <v>71</v>
      </c>
      <c r="AJ905">
        <v>2</v>
      </c>
      <c r="AK905">
        <v>73</v>
      </c>
      <c r="AL905" t="s">
        <v>1207</v>
      </c>
      <c r="AM905" t="s">
        <v>332</v>
      </c>
      <c r="AN905" t="s">
        <v>1208</v>
      </c>
      <c r="AO905" t="s">
        <v>1209</v>
      </c>
      <c r="AP905" t="s">
        <v>16825</v>
      </c>
      <c r="AQ905" t="s">
        <v>74</v>
      </c>
      <c r="AR905" t="s">
        <v>1210</v>
      </c>
      <c r="AS905" t="s">
        <v>1211</v>
      </c>
      <c r="AT905" t="s">
        <v>16826</v>
      </c>
      <c r="AU905">
        <v>2014</v>
      </c>
      <c r="AV905">
        <v>111</v>
      </c>
      <c r="AW905">
        <v>17</v>
      </c>
      <c r="AX905" t="s">
        <v>74</v>
      </c>
      <c r="AY905" t="s">
        <v>74</v>
      </c>
      <c r="AZ905" t="s">
        <v>74</v>
      </c>
      <c r="BA905" t="s">
        <v>74</v>
      </c>
      <c r="BB905">
        <v>6220</v>
      </c>
      <c r="BC905">
        <v>6225</v>
      </c>
      <c r="BD905" t="s">
        <v>74</v>
      </c>
      <c r="BE905" t="s">
        <v>16827</v>
      </c>
      <c r="BF905" t="str">
        <f>HYPERLINK("http://dx.doi.org/10.1073/pnas.1319307111","http://dx.doi.org/10.1073/pnas.1319307111")</f>
        <v>http://dx.doi.org/10.1073/pnas.1319307111</v>
      </c>
      <c r="BG905" t="s">
        <v>74</v>
      </c>
      <c r="BH905" t="s">
        <v>74</v>
      </c>
      <c r="BI905">
        <v>6</v>
      </c>
      <c r="BJ905" t="s">
        <v>660</v>
      </c>
      <c r="BK905" t="s">
        <v>102</v>
      </c>
      <c r="BL905" t="s">
        <v>661</v>
      </c>
      <c r="BM905" t="s">
        <v>16828</v>
      </c>
      <c r="BN905">
        <v>24733920</v>
      </c>
      <c r="BO905" t="s">
        <v>1053</v>
      </c>
      <c r="BP905" t="s">
        <v>74</v>
      </c>
      <c r="BQ905" t="s">
        <v>74</v>
      </c>
      <c r="BR905" t="s">
        <v>105</v>
      </c>
      <c r="BS905" t="s">
        <v>16829</v>
      </c>
      <c r="BT905" t="str">
        <f>HYPERLINK("https%3A%2F%2Fwww.webofscience.com%2Fwos%2Fwoscc%2Ffull-record%2FWOS:000335199000039","View Full Record in Web of Science")</f>
        <v>View Full Record in Web of Science</v>
      </c>
    </row>
    <row r="906" spans="1:72" x14ac:dyDescent="0.15">
      <c r="A906" t="s">
        <v>72</v>
      </c>
      <c r="B906" t="s">
        <v>16830</v>
      </c>
      <c r="C906" t="s">
        <v>74</v>
      </c>
      <c r="D906" t="s">
        <v>74</v>
      </c>
      <c r="E906" t="s">
        <v>74</v>
      </c>
      <c r="F906" t="s">
        <v>16831</v>
      </c>
      <c r="G906" t="s">
        <v>74</v>
      </c>
      <c r="H906" t="s">
        <v>74</v>
      </c>
      <c r="I906" t="s">
        <v>16832</v>
      </c>
      <c r="J906" t="s">
        <v>1083</v>
      </c>
      <c r="K906" t="s">
        <v>74</v>
      </c>
      <c r="L906" t="s">
        <v>74</v>
      </c>
      <c r="M906" t="s">
        <v>78</v>
      </c>
      <c r="N906" t="s">
        <v>79</v>
      </c>
      <c r="O906" t="s">
        <v>74</v>
      </c>
      <c r="P906" t="s">
        <v>74</v>
      </c>
      <c r="Q906" t="s">
        <v>74</v>
      </c>
      <c r="R906" t="s">
        <v>74</v>
      </c>
      <c r="S906" t="s">
        <v>74</v>
      </c>
      <c r="T906" t="s">
        <v>74</v>
      </c>
      <c r="U906" t="s">
        <v>16833</v>
      </c>
      <c r="V906" t="s">
        <v>16834</v>
      </c>
      <c r="W906" t="s">
        <v>16835</v>
      </c>
      <c r="X906" t="s">
        <v>620</v>
      </c>
      <c r="Y906" t="s">
        <v>16836</v>
      </c>
      <c r="Z906" t="s">
        <v>16837</v>
      </c>
      <c r="AA906" t="s">
        <v>16838</v>
      </c>
      <c r="AB906" t="s">
        <v>15809</v>
      </c>
      <c r="AC906" t="s">
        <v>16839</v>
      </c>
      <c r="AD906" t="s">
        <v>16839</v>
      </c>
      <c r="AE906" t="s">
        <v>16840</v>
      </c>
      <c r="AF906" t="s">
        <v>74</v>
      </c>
      <c r="AG906">
        <v>41</v>
      </c>
      <c r="AH906">
        <v>11</v>
      </c>
      <c r="AI906">
        <v>13</v>
      </c>
      <c r="AJ906">
        <v>1</v>
      </c>
      <c r="AK906">
        <v>16</v>
      </c>
      <c r="AL906" t="s">
        <v>1090</v>
      </c>
      <c r="AM906" t="s">
        <v>1091</v>
      </c>
      <c r="AN906" t="s">
        <v>1092</v>
      </c>
      <c r="AO906" t="s">
        <v>1093</v>
      </c>
      <c r="AP906" t="s">
        <v>74</v>
      </c>
      <c r="AQ906" t="s">
        <v>74</v>
      </c>
      <c r="AR906" t="s">
        <v>1083</v>
      </c>
      <c r="AS906" t="s">
        <v>1094</v>
      </c>
      <c r="AT906" t="s">
        <v>16841</v>
      </c>
      <c r="AU906">
        <v>2014</v>
      </c>
      <c r="AV906">
        <v>9</v>
      </c>
      <c r="AW906">
        <v>4</v>
      </c>
      <c r="AX906" t="s">
        <v>74</v>
      </c>
      <c r="AY906" t="s">
        <v>74</v>
      </c>
      <c r="AZ906" t="s">
        <v>74</v>
      </c>
      <c r="BA906" t="s">
        <v>74</v>
      </c>
      <c r="BB906" t="s">
        <v>74</v>
      </c>
      <c r="BC906" t="s">
        <v>74</v>
      </c>
      <c r="BD906" t="s">
        <v>16842</v>
      </c>
      <c r="BE906" t="s">
        <v>16843</v>
      </c>
      <c r="BF906" t="str">
        <f>HYPERLINK("http://dx.doi.org/10.1371/journal.pone.0094179","http://dx.doi.org/10.1371/journal.pone.0094179")</f>
        <v>http://dx.doi.org/10.1371/journal.pone.0094179</v>
      </c>
      <c r="BG906" t="s">
        <v>74</v>
      </c>
      <c r="BH906" t="s">
        <v>74</v>
      </c>
      <c r="BI906">
        <v>8</v>
      </c>
      <c r="BJ906" t="s">
        <v>660</v>
      </c>
      <c r="BK906" t="s">
        <v>102</v>
      </c>
      <c r="BL906" t="s">
        <v>661</v>
      </c>
      <c r="BM906" t="s">
        <v>16844</v>
      </c>
      <c r="BN906">
        <v>24769523</v>
      </c>
      <c r="BO906" t="s">
        <v>8437</v>
      </c>
      <c r="BP906" t="s">
        <v>74</v>
      </c>
      <c r="BQ906" t="s">
        <v>74</v>
      </c>
      <c r="BR906" t="s">
        <v>105</v>
      </c>
      <c r="BS906" t="s">
        <v>16845</v>
      </c>
      <c r="BT906" t="str">
        <f>HYPERLINK("https%3A%2F%2Fwww.webofscience.com%2Fwos%2Fwoscc%2Ffull-record%2FWOS:000336736600004","View Full Record in Web of Science")</f>
        <v>View Full Record in Web of Science</v>
      </c>
    </row>
    <row r="907" spans="1:72" x14ac:dyDescent="0.15">
      <c r="A907" t="s">
        <v>72</v>
      </c>
      <c r="B907" t="s">
        <v>16846</v>
      </c>
      <c r="C907" t="s">
        <v>74</v>
      </c>
      <c r="D907" t="s">
        <v>74</v>
      </c>
      <c r="E907" t="s">
        <v>74</v>
      </c>
      <c r="F907" t="s">
        <v>16847</v>
      </c>
      <c r="G907" t="s">
        <v>74</v>
      </c>
      <c r="H907" t="s">
        <v>74</v>
      </c>
      <c r="I907" t="s">
        <v>16848</v>
      </c>
      <c r="J907" t="s">
        <v>1104</v>
      </c>
      <c r="K907" t="s">
        <v>74</v>
      </c>
      <c r="L907" t="s">
        <v>74</v>
      </c>
      <c r="M907" t="s">
        <v>78</v>
      </c>
      <c r="N907" t="s">
        <v>79</v>
      </c>
      <c r="O907" t="s">
        <v>74</v>
      </c>
      <c r="P907" t="s">
        <v>74</v>
      </c>
      <c r="Q907" t="s">
        <v>74</v>
      </c>
      <c r="R907" t="s">
        <v>74</v>
      </c>
      <c r="S907" t="s">
        <v>74</v>
      </c>
      <c r="T907" t="s">
        <v>16849</v>
      </c>
      <c r="U907" t="s">
        <v>16850</v>
      </c>
      <c r="V907" t="s">
        <v>16851</v>
      </c>
      <c r="W907" t="s">
        <v>16852</v>
      </c>
      <c r="X907" t="s">
        <v>16853</v>
      </c>
      <c r="Y907" t="s">
        <v>16854</v>
      </c>
      <c r="Z907" t="s">
        <v>16855</v>
      </c>
      <c r="AA907" t="s">
        <v>16856</v>
      </c>
      <c r="AB907" t="s">
        <v>16857</v>
      </c>
      <c r="AC907" t="s">
        <v>74</v>
      </c>
      <c r="AD907" t="s">
        <v>74</v>
      </c>
      <c r="AE907" t="s">
        <v>74</v>
      </c>
      <c r="AF907" t="s">
        <v>74</v>
      </c>
      <c r="AG907">
        <v>36</v>
      </c>
      <c r="AH907">
        <v>4</v>
      </c>
      <c r="AI907">
        <v>4</v>
      </c>
      <c r="AJ907">
        <v>0</v>
      </c>
      <c r="AK907">
        <v>8</v>
      </c>
      <c r="AL907" t="s">
        <v>1117</v>
      </c>
      <c r="AM907" t="s">
        <v>1118</v>
      </c>
      <c r="AN907" t="s">
        <v>1119</v>
      </c>
      <c r="AO907" t="s">
        <v>1120</v>
      </c>
      <c r="AP907" t="s">
        <v>74</v>
      </c>
      <c r="AQ907" t="s">
        <v>74</v>
      </c>
      <c r="AR907" t="s">
        <v>1121</v>
      </c>
      <c r="AS907" t="s">
        <v>1122</v>
      </c>
      <c r="AT907" t="s">
        <v>16841</v>
      </c>
      <c r="AU907">
        <v>2014</v>
      </c>
      <c r="AV907">
        <v>106</v>
      </c>
      <c r="AW907">
        <v>8</v>
      </c>
      <c r="AX907" t="s">
        <v>74</v>
      </c>
      <c r="AY907" t="s">
        <v>74</v>
      </c>
      <c r="AZ907" t="s">
        <v>74</v>
      </c>
      <c r="BA907" t="s">
        <v>74</v>
      </c>
      <c r="BB907">
        <v>1133</v>
      </c>
      <c r="BC907">
        <v>1140</v>
      </c>
      <c r="BD907" t="s">
        <v>74</v>
      </c>
      <c r="BE907" t="s">
        <v>74</v>
      </c>
      <c r="BF907" t="s">
        <v>74</v>
      </c>
      <c r="BG907" t="s">
        <v>74</v>
      </c>
      <c r="BH907" t="s">
        <v>74</v>
      </c>
      <c r="BI907">
        <v>8</v>
      </c>
      <c r="BJ907" t="s">
        <v>660</v>
      </c>
      <c r="BK907" t="s">
        <v>102</v>
      </c>
      <c r="BL907" t="s">
        <v>661</v>
      </c>
      <c r="BM907" t="s">
        <v>16858</v>
      </c>
      <c r="BN907" t="s">
        <v>74</v>
      </c>
      <c r="BO907" t="s">
        <v>74</v>
      </c>
      <c r="BP907" t="s">
        <v>74</v>
      </c>
      <c r="BQ907" t="s">
        <v>74</v>
      </c>
      <c r="BR907" t="s">
        <v>105</v>
      </c>
      <c r="BS907" t="s">
        <v>16859</v>
      </c>
      <c r="BT907" t="str">
        <f>HYPERLINK("https%3A%2F%2Fwww.webofscience.com%2Fwos%2Fwoscc%2Ffull-record%2FWOS:000335631700021","View Full Record in Web of Science")</f>
        <v>View Full Record in Web of Science</v>
      </c>
    </row>
    <row r="908" spans="1:72" x14ac:dyDescent="0.15">
      <c r="A908" t="s">
        <v>72</v>
      </c>
      <c r="B908" t="s">
        <v>16860</v>
      </c>
      <c r="C908" t="s">
        <v>74</v>
      </c>
      <c r="D908" t="s">
        <v>74</v>
      </c>
      <c r="E908" t="s">
        <v>74</v>
      </c>
      <c r="F908" t="s">
        <v>16861</v>
      </c>
      <c r="G908" t="s">
        <v>74</v>
      </c>
      <c r="H908" t="s">
        <v>74</v>
      </c>
      <c r="I908" t="s">
        <v>16862</v>
      </c>
      <c r="J908" t="s">
        <v>16863</v>
      </c>
      <c r="K908" t="s">
        <v>74</v>
      </c>
      <c r="L908" t="s">
        <v>74</v>
      </c>
      <c r="M908" t="s">
        <v>78</v>
      </c>
      <c r="N908" t="s">
        <v>79</v>
      </c>
      <c r="O908" t="s">
        <v>74</v>
      </c>
      <c r="P908" t="s">
        <v>74</v>
      </c>
      <c r="Q908" t="s">
        <v>74</v>
      </c>
      <c r="R908" t="s">
        <v>74</v>
      </c>
      <c r="S908" t="s">
        <v>74</v>
      </c>
      <c r="T908" t="s">
        <v>74</v>
      </c>
      <c r="U908" t="s">
        <v>16864</v>
      </c>
      <c r="V908" t="s">
        <v>16865</v>
      </c>
      <c r="W908" t="s">
        <v>16866</v>
      </c>
      <c r="X908" t="s">
        <v>16867</v>
      </c>
      <c r="Y908" t="s">
        <v>16868</v>
      </c>
      <c r="Z908" t="s">
        <v>16869</v>
      </c>
      <c r="AA908" t="s">
        <v>74</v>
      </c>
      <c r="AB908" t="s">
        <v>74</v>
      </c>
      <c r="AC908" t="s">
        <v>16870</v>
      </c>
      <c r="AD908" t="s">
        <v>16871</v>
      </c>
      <c r="AE908" t="s">
        <v>16872</v>
      </c>
      <c r="AF908" t="s">
        <v>74</v>
      </c>
      <c r="AG908">
        <v>92</v>
      </c>
      <c r="AH908">
        <v>38</v>
      </c>
      <c r="AI908">
        <v>42</v>
      </c>
      <c r="AJ908">
        <v>3</v>
      </c>
      <c r="AK908">
        <v>127</v>
      </c>
      <c r="AL908" t="s">
        <v>7999</v>
      </c>
      <c r="AM908" t="s">
        <v>332</v>
      </c>
      <c r="AN908" t="s">
        <v>8000</v>
      </c>
      <c r="AO908" t="s">
        <v>16873</v>
      </c>
      <c r="AP908" t="s">
        <v>16874</v>
      </c>
      <c r="AQ908" t="s">
        <v>74</v>
      </c>
      <c r="AR908" t="s">
        <v>16875</v>
      </c>
      <c r="AS908" t="s">
        <v>16876</v>
      </c>
      <c r="AT908" t="s">
        <v>16877</v>
      </c>
      <c r="AU908">
        <v>2014</v>
      </c>
      <c r="AV908">
        <v>118</v>
      </c>
      <c r="AW908">
        <v>16</v>
      </c>
      <c r="AX908" t="s">
        <v>74</v>
      </c>
      <c r="AY908" t="s">
        <v>74</v>
      </c>
      <c r="AZ908" t="s">
        <v>74</v>
      </c>
      <c r="BA908" t="s">
        <v>74</v>
      </c>
      <c r="BB908">
        <v>2959</v>
      </c>
      <c r="BC908">
        <v>2975</v>
      </c>
      <c r="BD908" t="s">
        <v>74</v>
      </c>
      <c r="BE908" t="s">
        <v>16878</v>
      </c>
      <c r="BF908" t="str">
        <f>HYPERLINK("http://dx.doi.org/10.1021/jp412654s","http://dx.doi.org/10.1021/jp412654s")</f>
        <v>http://dx.doi.org/10.1021/jp412654s</v>
      </c>
      <c r="BG908" t="s">
        <v>74</v>
      </c>
      <c r="BH908" t="s">
        <v>74</v>
      </c>
      <c r="BI908">
        <v>17</v>
      </c>
      <c r="BJ908" t="s">
        <v>10614</v>
      </c>
      <c r="BK908" t="s">
        <v>102</v>
      </c>
      <c r="BL908" t="s">
        <v>10615</v>
      </c>
      <c r="BM908" t="s">
        <v>16879</v>
      </c>
      <c r="BN908">
        <v>24661061</v>
      </c>
      <c r="BO908" t="s">
        <v>74</v>
      </c>
      <c r="BP908" t="s">
        <v>74</v>
      </c>
      <c r="BQ908" t="s">
        <v>74</v>
      </c>
      <c r="BR908" t="s">
        <v>105</v>
      </c>
      <c r="BS908" t="s">
        <v>16880</v>
      </c>
      <c r="BT908" t="str">
        <f>HYPERLINK("https%3A%2F%2Fwww.webofscience.com%2Fwos%2Fwoscc%2Ffull-record%2FWOS:000335114000011","View Full Record in Web of Science")</f>
        <v>View Full Record in Web of Science</v>
      </c>
    </row>
    <row r="909" spans="1:72" x14ac:dyDescent="0.15">
      <c r="A909" t="s">
        <v>72</v>
      </c>
      <c r="B909" t="s">
        <v>16881</v>
      </c>
      <c r="C909" t="s">
        <v>74</v>
      </c>
      <c r="D909" t="s">
        <v>74</v>
      </c>
      <c r="E909" t="s">
        <v>74</v>
      </c>
      <c r="F909" t="s">
        <v>16882</v>
      </c>
      <c r="G909" t="s">
        <v>74</v>
      </c>
      <c r="H909" t="s">
        <v>74</v>
      </c>
      <c r="I909" t="s">
        <v>16883</v>
      </c>
      <c r="J909" t="s">
        <v>1083</v>
      </c>
      <c r="K909" t="s">
        <v>74</v>
      </c>
      <c r="L909" t="s">
        <v>74</v>
      </c>
      <c r="M909" t="s">
        <v>78</v>
      </c>
      <c r="N909" t="s">
        <v>79</v>
      </c>
      <c r="O909" t="s">
        <v>74</v>
      </c>
      <c r="P909" t="s">
        <v>74</v>
      </c>
      <c r="Q909" t="s">
        <v>74</v>
      </c>
      <c r="R909" t="s">
        <v>74</v>
      </c>
      <c r="S909" t="s">
        <v>74</v>
      </c>
      <c r="T909" t="s">
        <v>74</v>
      </c>
      <c r="U909" t="s">
        <v>16884</v>
      </c>
      <c r="V909" t="s">
        <v>16885</v>
      </c>
      <c r="W909" t="s">
        <v>16886</v>
      </c>
      <c r="X909" t="s">
        <v>16887</v>
      </c>
      <c r="Y909" t="s">
        <v>16888</v>
      </c>
      <c r="Z909" t="s">
        <v>16889</v>
      </c>
      <c r="AA909" t="s">
        <v>16890</v>
      </c>
      <c r="AB909" t="s">
        <v>16891</v>
      </c>
      <c r="AC909" t="s">
        <v>16892</v>
      </c>
      <c r="AD909" t="s">
        <v>16893</v>
      </c>
      <c r="AE909" t="s">
        <v>16894</v>
      </c>
      <c r="AF909" t="s">
        <v>74</v>
      </c>
      <c r="AG909">
        <v>74</v>
      </c>
      <c r="AH909">
        <v>14</v>
      </c>
      <c r="AI909">
        <v>15</v>
      </c>
      <c r="AJ909">
        <v>1</v>
      </c>
      <c r="AK909">
        <v>128</v>
      </c>
      <c r="AL909" t="s">
        <v>1090</v>
      </c>
      <c r="AM909" t="s">
        <v>1091</v>
      </c>
      <c r="AN909" t="s">
        <v>1092</v>
      </c>
      <c r="AO909" t="s">
        <v>1093</v>
      </c>
      <c r="AP909" t="s">
        <v>74</v>
      </c>
      <c r="AQ909" t="s">
        <v>74</v>
      </c>
      <c r="AR909" t="s">
        <v>1083</v>
      </c>
      <c r="AS909" t="s">
        <v>1094</v>
      </c>
      <c r="AT909" t="s">
        <v>16895</v>
      </c>
      <c r="AU909">
        <v>2014</v>
      </c>
      <c r="AV909">
        <v>9</v>
      </c>
      <c r="AW909">
        <v>4</v>
      </c>
      <c r="AX909" t="s">
        <v>74</v>
      </c>
      <c r="AY909" t="s">
        <v>74</v>
      </c>
      <c r="AZ909" t="s">
        <v>74</v>
      </c>
      <c r="BA909" t="s">
        <v>74</v>
      </c>
      <c r="BB909" t="s">
        <v>74</v>
      </c>
      <c r="BC909" t="s">
        <v>74</v>
      </c>
      <c r="BD909" t="s">
        <v>16896</v>
      </c>
      <c r="BE909" t="s">
        <v>16897</v>
      </c>
      <c r="BF909" t="str">
        <f>HYPERLINK("http://dx.doi.org/10.1371/journal.pone.0095375","http://dx.doi.org/10.1371/journal.pone.0095375")</f>
        <v>http://dx.doi.org/10.1371/journal.pone.0095375</v>
      </c>
      <c r="BG909" t="s">
        <v>74</v>
      </c>
      <c r="BH909" t="s">
        <v>74</v>
      </c>
      <c r="BI909">
        <v>8</v>
      </c>
      <c r="BJ909" t="s">
        <v>660</v>
      </c>
      <c r="BK909" t="s">
        <v>102</v>
      </c>
      <c r="BL909" t="s">
        <v>661</v>
      </c>
      <c r="BM909" t="s">
        <v>16898</v>
      </c>
      <c r="BN909" t="s">
        <v>74</v>
      </c>
      <c r="BO909" t="s">
        <v>206</v>
      </c>
      <c r="BP909" t="s">
        <v>74</v>
      </c>
      <c r="BQ909" t="s">
        <v>74</v>
      </c>
      <c r="BR909" t="s">
        <v>105</v>
      </c>
      <c r="BS909" t="s">
        <v>16899</v>
      </c>
      <c r="BT909" t="str">
        <f>HYPERLINK("https%3A%2F%2Fwww.webofscience.com%2Fwos%2Fwoscc%2Ffull-record%2FWOS:000335298200052","View Full Record in Web of Science")</f>
        <v>View Full Record in Web of Science</v>
      </c>
    </row>
    <row r="910" spans="1:72" x14ac:dyDescent="0.15">
      <c r="A910" t="s">
        <v>72</v>
      </c>
      <c r="B910" t="s">
        <v>16900</v>
      </c>
      <c r="C910" t="s">
        <v>74</v>
      </c>
      <c r="D910" t="s">
        <v>74</v>
      </c>
      <c r="E910" t="s">
        <v>74</v>
      </c>
      <c r="F910" t="s">
        <v>16901</v>
      </c>
      <c r="G910" t="s">
        <v>74</v>
      </c>
      <c r="H910" t="s">
        <v>74</v>
      </c>
      <c r="I910" t="s">
        <v>16902</v>
      </c>
      <c r="J910" t="s">
        <v>16903</v>
      </c>
      <c r="K910" t="s">
        <v>74</v>
      </c>
      <c r="L910" t="s">
        <v>74</v>
      </c>
      <c r="M910" t="s">
        <v>78</v>
      </c>
      <c r="N910" t="s">
        <v>79</v>
      </c>
      <c r="O910" t="s">
        <v>74</v>
      </c>
      <c r="P910" t="s">
        <v>74</v>
      </c>
      <c r="Q910" t="s">
        <v>74</v>
      </c>
      <c r="R910" t="s">
        <v>74</v>
      </c>
      <c r="S910" t="s">
        <v>74</v>
      </c>
      <c r="T910" t="s">
        <v>16904</v>
      </c>
      <c r="U910" t="s">
        <v>16905</v>
      </c>
      <c r="V910" t="s">
        <v>16906</v>
      </c>
      <c r="W910" t="s">
        <v>16907</v>
      </c>
      <c r="X910" t="s">
        <v>3211</v>
      </c>
      <c r="Y910" t="s">
        <v>16908</v>
      </c>
      <c r="Z910" t="s">
        <v>16909</v>
      </c>
      <c r="AA910" t="s">
        <v>16910</v>
      </c>
      <c r="AB910" t="s">
        <v>16911</v>
      </c>
      <c r="AC910" t="s">
        <v>16912</v>
      </c>
      <c r="AD910" t="s">
        <v>16913</v>
      </c>
      <c r="AE910" t="s">
        <v>16914</v>
      </c>
      <c r="AF910" t="s">
        <v>74</v>
      </c>
      <c r="AG910">
        <v>76</v>
      </c>
      <c r="AH910">
        <v>40</v>
      </c>
      <c r="AI910">
        <v>46</v>
      </c>
      <c r="AJ910">
        <v>0</v>
      </c>
      <c r="AK910">
        <v>52</v>
      </c>
      <c r="AL910" t="s">
        <v>753</v>
      </c>
      <c r="AM910" t="s">
        <v>124</v>
      </c>
      <c r="AN910" t="s">
        <v>754</v>
      </c>
      <c r="AO910" t="s">
        <v>16915</v>
      </c>
      <c r="AP910" t="s">
        <v>16916</v>
      </c>
      <c r="AQ910" t="s">
        <v>74</v>
      </c>
      <c r="AR910" t="s">
        <v>16917</v>
      </c>
      <c r="AS910" t="s">
        <v>16918</v>
      </c>
      <c r="AT910" t="s">
        <v>16919</v>
      </c>
      <c r="AU910">
        <v>2014</v>
      </c>
      <c r="AV910">
        <v>161</v>
      </c>
      <c r="AW910" t="s">
        <v>74</v>
      </c>
      <c r="AX910" t="s">
        <v>74</v>
      </c>
      <c r="AY910" t="s">
        <v>74</v>
      </c>
      <c r="AZ910" t="s">
        <v>74</v>
      </c>
      <c r="BA910" t="s">
        <v>74</v>
      </c>
      <c r="BB910">
        <v>47</v>
      </c>
      <c r="BC910">
        <v>56</v>
      </c>
      <c r="BD910" t="s">
        <v>74</v>
      </c>
      <c r="BE910" t="s">
        <v>16920</v>
      </c>
      <c r="BF910" t="str">
        <f>HYPERLINK("http://dx.doi.org/10.1016/j.marchem.2014.02.006","http://dx.doi.org/10.1016/j.marchem.2014.02.006")</f>
        <v>http://dx.doi.org/10.1016/j.marchem.2014.02.006</v>
      </c>
      <c r="BG910" t="s">
        <v>74</v>
      </c>
      <c r="BH910" t="s">
        <v>74</v>
      </c>
      <c r="BI910">
        <v>10</v>
      </c>
      <c r="BJ910" t="s">
        <v>16921</v>
      </c>
      <c r="BK910" t="s">
        <v>102</v>
      </c>
      <c r="BL910" t="s">
        <v>16922</v>
      </c>
      <c r="BM910" t="s">
        <v>16923</v>
      </c>
      <c r="BN910" t="s">
        <v>74</v>
      </c>
      <c r="BO910" t="s">
        <v>74</v>
      </c>
      <c r="BP910" t="s">
        <v>74</v>
      </c>
      <c r="BQ910" t="s">
        <v>74</v>
      </c>
      <c r="BR910" t="s">
        <v>105</v>
      </c>
      <c r="BS910" t="s">
        <v>16924</v>
      </c>
      <c r="BT910" t="str">
        <f>HYPERLINK("https%3A%2F%2Fwww.webofscience.com%2Fwos%2Fwoscc%2Ffull-record%2FWOS:000334988900006","View Full Record in Web of Science")</f>
        <v>View Full Record in Web of Science</v>
      </c>
    </row>
    <row r="911" spans="1:72" x14ac:dyDescent="0.15">
      <c r="A911" t="s">
        <v>72</v>
      </c>
      <c r="B911" t="s">
        <v>16925</v>
      </c>
      <c r="C911" t="s">
        <v>74</v>
      </c>
      <c r="D911" t="s">
        <v>74</v>
      </c>
      <c r="E911" t="s">
        <v>74</v>
      </c>
      <c r="F911" t="s">
        <v>16926</v>
      </c>
      <c r="G911" t="s">
        <v>74</v>
      </c>
      <c r="H911" t="s">
        <v>74</v>
      </c>
      <c r="I911" t="s">
        <v>16927</v>
      </c>
      <c r="J911" t="s">
        <v>16903</v>
      </c>
      <c r="K911" t="s">
        <v>74</v>
      </c>
      <c r="L911" t="s">
        <v>74</v>
      </c>
      <c r="M911" t="s">
        <v>78</v>
      </c>
      <c r="N911" t="s">
        <v>79</v>
      </c>
      <c r="O911" t="s">
        <v>74</v>
      </c>
      <c r="P911" t="s">
        <v>74</v>
      </c>
      <c r="Q911" t="s">
        <v>74</v>
      </c>
      <c r="R911" t="s">
        <v>74</v>
      </c>
      <c r="S911" t="s">
        <v>74</v>
      </c>
      <c r="T911" t="s">
        <v>16928</v>
      </c>
      <c r="U911" t="s">
        <v>16929</v>
      </c>
      <c r="V911" t="s">
        <v>16930</v>
      </c>
      <c r="W911" t="s">
        <v>16931</v>
      </c>
      <c r="X911" t="s">
        <v>16932</v>
      </c>
      <c r="Y911" t="s">
        <v>16933</v>
      </c>
      <c r="Z911" t="s">
        <v>16934</v>
      </c>
      <c r="AA911" t="s">
        <v>16935</v>
      </c>
      <c r="AB911" t="s">
        <v>16936</v>
      </c>
      <c r="AC911" t="s">
        <v>16937</v>
      </c>
      <c r="AD911" t="s">
        <v>16938</v>
      </c>
      <c r="AE911" t="s">
        <v>16939</v>
      </c>
      <c r="AF911" t="s">
        <v>74</v>
      </c>
      <c r="AG911">
        <v>65</v>
      </c>
      <c r="AH911">
        <v>20</v>
      </c>
      <c r="AI911">
        <v>21</v>
      </c>
      <c r="AJ911">
        <v>0</v>
      </c>
      <c r="AK911">
        <v>48</v>
      </c>
      <c r="AL911" t="s">
        <v>123</v>
      </c>
      <c r="AM911" t="s">
        <v>124</v>
      </c>
      <c r="AN911" t="s">
        <v>125</v>
      </c>
      <c r="AO911" t="s">
        <v>16915</v>
      </c>
      <c r="AP911" t="s">
        <v>16916</v>
      </c>
      <c r="AQ911" t="s">
        <v>74</v>
      </c>
      <c r="AR911" t="s">
        <v>16917</v>
      </c>
      <c r="AS911" t="s">
        <v>16918</v>
      </c>
      <c r="AT911" t="s">
        <v>16919</v>
      </c>
      <c r="AU911">
        <v>2014</v>
      </c>
      <c r="AV911">
        <v>161</v>
      </c>
      <c r="AW911" t="s">
        <v>74</v>
      </c>
      <c r="AX911" t="s">
        <v>74</v>
      </c>
      <c r="AY911" t="s">
        <v>74</v>
      </c>
      <c r="AZ911" t="s">
        <v>74</v>
      </c>
      <c r="BA911" t="s">
        <v>74</v>
      </c>
      <c r="BB911">
        <v>1</v>
      </c>
      <c r="BC911">
        <v>13</v>
      </c>
      <c r="BD911" t="s">
        <v>74</v>
      </c>
      <c r="BE911" t="s">
        <v>16940</v>
      </c>
      <c r="BF911" t="str">
        <f>HYPERLINK("http://dx.doi.org/10.1016/j.marchem.2014.01.001","http://dx.doi.org/10.1016/j.marchem.2014.01.001")</f>
        <v>http://dx.doi.org/10.1016/j.marchem.2014.01.001</v>
      </c>
      <c r="BG911" t="s">
        <v>74</v>
      </c>
      <c r="BH911" t="s">
        <v>74</v>
      </c>
      <c r="BI911">
        <v>13</v>
      </c>
      <c r="BJ911" t="s">
        <v>16921</v>
      </c>
      <c r="BK911" t="s">
        <v>102</v>
      </c>
      <c r="BL911" t="s">
        <v>16922</v>
      </c>
      <c r="BM911" t="s">
        <v>16923</v>
      </c>
      <c r="BN911" t="s">
        <v>74</v>
      </c>
      <c r="BO911" t="s">
        <v>1476</v>
      </c>
      <c r="BP911" t="s">
        <v>74</v>
      </c>
      <c r="BQ911" t="s">
        <v>74</v>
      </c>
      <c r="BR911" t="s">
        <v>105</v>
      </c>
      <c r="BS911" t="s">
        <v>16941</v>
      </c>
      <c r="BT911" t="str">
        <f>HYPERLINK("https%3A%2F%2Fwww.webofscience.com%2Fwos%2Fwoscc%2Ffull-record%2FWOS:000334988900001","View Full Record in Web of Science")</f>
        <v>View Full Record in Web of Science</v>
      </c>
    </row>
    <row r="912" spans="1:72" x14ac:dyDescent="0.15">
      <c r="A912" t="s">
        <v>72</v>
      </c>
      <c r="B912" t="s">
        <v>11068</v>
      </c>
      <c r="C912" t="s">
        <v>74</v>
      </c>
      <c r="D912" t="s">
        <v>74</v>
      </c>
      <c r="E912" t="s">
        <v>74</v>
      </c>
      <c r="F912" t="s">
        <v>11068</v>
      </c>
      <c r="G912" t="s">
        <v>74</v>
      </c>
      <c r="H912" t="s">
        <v>74</v>
      </c>
      <c r="I912" t="s">
        <v>16942</v>
      </c>
      <c r="J912" t="s">
        <v>1629</v>
      </c>
      <c r="K912" t="s">
        <v>74</v>
      </c>
      <c r="L912" t="s">
        <v>74</v>
      </c>
      <c r="M912" t="s">
        <v>78</v>
      </c>
      <c r="N912" t="s">
        <v>11070</v>
      </c>
      <c r="O912" t="s">
        <v>74</v>
      </c>
      <c r="P912" t="s">
        <v>74</v>
      </c>
      <c r="Q912" t="s">
        <v>74</v>
      </c>
      <c r="R912" t="s">
        <v>74</v>
      </c>
      <c r="S912" t="s">
        <v>74</v>
      </c>
      <c r="T912" t="s">
        <v>74</v>
      </c>
      <c r="U912" t="s">
        <v>74</v>
      </c>
      <c r="V912" t="s">
        <v>74</v>
      </c>
      <c r="W912" t="s">
        <v>74</v>
      </c>
      <c r="X912" t="s">
        <v>74</v>
      </c>
      <c r="Y912" t="s">
        <v>74</v>
      </c>
      <c r="Z912" t="s">
        <v>74</v>
      </c>
      <c r="AA912" t="s">
        <v>74</v>
      </c>
      <c r="AB912" t="s">
        <v>74</v>
      </c>
      <c r="AC912" t="s">
        <v>74</v>
      </c>
      <c r="AD912" t="s">
        <v>74</v>
      </c>
      <c r="AE912" t="s">
        <v>74</v>
      </c>
      <c r="AF912" t="s">
        <v>74</v>
      </c>
      <c r="AG912">
        <v>0</v>
      </c>
      <c r="AH912">
        <v>0</v>
      </c>
      <c r="AI912">
        <v>0</v>
      </c>
      <c r="AJ912">
        <v>0</v>
      </c>
      <c r="AK912">
        <v>0</v>
      </c>
      <c r="AL912" t="s">
        <v>1641</v>
      </c>
      <c r="AM912" t="s">
        <v>332</v>
      </c>
      <c r="AN912" t="s">
        <v>1642</v>
      </c>
      <c r="AO912" t="s">
        <v>1643</v>
      </c>
      <c r="AP912" t="s">
        <v>1644</v>
      </c>
      <c r="AQ912" t="s">
        <v>74</v>
      </c>
      <c r="AR912" t="s">
        <v>1629</v>
      </c>
      <c r="AS912" t="s">
        <v>1645</v>
      </c>
      <c r="AT912" t="s">
        <v>16943</v>
      </c>
      <c r="AU912">
        <v>2014</v>
      </c>
      <c r="AV912">
        <v>344</v>
      </c>
      <c r="AW912">
        <v>6181</v>
      </c>
      <c r="AX912" t="s">
        <v>74</v>
      </c>
      <c r="AY912" t="s">
        <v>74</v>
      </c>
      <c r="AZ912" t="s">
        <v>74</v>
      </c>
      <c r="BA912" t="s">
        <v>74</v>
      </c>
      <c r="BB912">
        <v>240</v>
      </c>
      <c r="BC912">
        <v>240</v>
      </c>
      <c r="BD912" t="s">
        <v>74</v>
      </c>
      <c r="BE912" t="s">
        <v>74</v>
      </c>
      <c r="BF912" t="s">
        <v>74</v>
      </c>
      <c r="BG912" t="s">
        <v>74</v>
      </c>
      <c r="BH912" t="s">
        <v>74</v>
      </c>
      <c r="BI912">
        <v>1</v>
      </c>
      <c r="BJ912" t="s">
        <v>660</v>
      </c>
      <c r="BK912" t="s">
        <v>102</v>
      </c>
      <c r="BL912" t="s">
        <v>661</v>
      </c>
      <c r="BM912" t="s">
        <v>16944</v>
      </c>
      <c r="BN912" t="s">
        <v>74</v>
      </c>
      <c r="BO912" t="s">
        <v>74</v>
      </c>
      <c r="BP912" t="s">
        <v>74</v>
      </c>
      <c r="BQ912" t="s">
        <v>74</v>
      </c>
      <c r="BR912" t="s">
        <v>105</v>
      </c>
      <c r="BS912" t="s">
        <v>16945</v>
      </c>
      <c r="BT912" t="str">
        <f>HYPERLINK("https%3A%2F%2Fwww.webofscience.com%2Fwos%2Fwoscc%2Ffull-record%2FWOS:000334474500004","View Full Record in Web of Science")</f>
        <v>View Full Record in Web of Science</v>
      </c>
    </row>
    <row r="913" spans="1:72" x14ac:dyDescent="0.15">
      <c r="A913" t="s">
        <v>72</v>
      </c>
      <c r="B913" t="s">
        <v>16946</v>
      </c>
      <c r="C913" t="s">
        <v>74</v>
      </c>
      <c r="D913" t="s">
        <v>74</v>
      </c>
      <c r="E913" t="s">
        <v>74</v>
      </c>
      <c r="F913" t="s">
        <v>16947</v>
      </c>
      <c r="G913" t="s">
        <v>74</v>
      </c>
      <c r="H913" t="s">
        <v>74</v>
      </c>
      <c r="I913" t="s">
        <v>16948</v>
      </c>
      <c r="J913" t="s">
        <v>1629</v>
      </c>
      <c r="K913" t="s">
        <v>74</v>
      </c>
      <c r="L913" t="s">
        <v>74</v>
      </c>
      <c r="M913" t="s">
        <v>78</v>
      </c>
      <c r="N913" t="s">
        <v>79</v>
      </c>
      <c r="O913" t="s">
        <v>74</v>
      </c>
      <c r="P913" t="s">
        <v>74</v>
      </c>
      <c r="Q913" t="s">
        <v>74</v>
      </c>
      <c r="R913" t="s">
        <v>74</v>
      </c>
      <c r="S913" t="s">
        <v>74</v>
      </c>
      <c r="T913" t="s">
        <v>74</v>
      </c>
      <c r="U913" t="s">
        <v>16949</v>
      </c>
      <c r="V913" t="s">
        <v>16950</v>
      </c>
      <c r="W913" t="s">
        <v>16951</v>
      </c>
      <c r="X913" t="s">
        <v>16952</v>
      </c>
      <c r="Y913" t="s">
        <v>16953</v>
      </c>
      <c r="Z913" t="s">
        <v>16954</v>
      </c>
      <c r="AA913" t="s">
        <v>16955</v>
      </c>
      <c r="AB913" t="s">
        <v>16956</v>
      </c>
      <c r="AC913" t="s">
        <v>16957</v>
      </c>
      <c r="AD913" t="s">
        <v>16958</v>
      </c>
      <c r="AE913" t="s">
        <v>16959</v>
      </c>
      <c r="AF913" t="s">
        <v>74</v>
      </c>
      <c r="AG913">
        <v>21</v>
      </c>
      <c r="AH913">
        <v>866</v>
      </c>
      <c r="AI913">
        <v>956</v>
      </c>
      <c r="AJ913">
        <v>31</v>
      </c>
      <c r="AK913">
        <v>715</v>
      </c>
      <c r="AL913" t="s">
        <v>1641</v>
      </c>
      <c r="AM913" t="s">
        <v>332</v>
      </c>
      <c r="AN913" t="s">
        <v>1642</v>
      </c>
      <c r="AO913" t="s">
        <v>1643</v>
      </c>
      <c r="AP913" t="s">
        <v>1644</v>
      </c>
      <c r="AQ913" t="s">
        <v>74</v>
      </c>
      <c r="AR913" t="s">
        <v>1629</v>
      </c>
      <c r="AS913" t="s">
        <v>1645</v>
      </c>
      <c r="AT913" t="s">
        <v>16943</v>
      </c>
      <c r="AU913">
        <v>2014</v>
      </c>
      <c r="AV913">
        <v>344</v>
      </c>
      <c r="AW913">
        <v>6181</v>
      </c>
      <c r="AX913" t="s">
        <v>74</v>
      </c>
      <c r="AY913" t="s">
        <v>74</v>
      </c>
      <c r="AZ913" t="s">
        <v>74</v>
      </c>
      <c r="BA913" t="s">
        <v>74</v>
      </c>
      <c r="BB913">
        <v>296</v>
      </c>
      <c r="BC913">
        <v>299</v>
      </c>
      <c r="BD913" t="s">
        <v>74</v>
      </c>
      <c r="BE913" t="s">
        <v>16960</v>
      </c>
      <c r="BF913" t="str">
        <f>HYPERLINK("http://dx.doi.org/10.1126/science.1248484","http://dx.doi.org/10.1126/science.1248484")</f>
        <v>http://dx.doi.org/10.1126/science.1248484</v>
      </c>
      <c r="BG913" t="s">
        <v>74</v>
      </c>
      <c r="BH913" t="s">
        <v>74</v>
      </c>
      <c r="BI913">
        <v>4</v>
      </c>
      <c r="BJ913" t="s">
        <v>660</v>
      </c>
      <c r="BK913" t="s">
        <v>102</v>
      </c>
      <c r="BL913" t="s">
        <v>661</v>
      </c>
      <c r="BM913" t="s">
        <v>16944</v>
      </c>
      <c r="BN913">
        <v>24744374</v>
      </c>
      <c r="BO913" t="s">
        <v>4213</v>
      </c>
      <c r="BP913" t="s">
        <v>3371</v>
      </c>
      <c r="BQ913" t="s">
        <v>3372</v>
      </c>
      <c r="BR913" t="s">
        <v>105</v>
      </c>
      <c r="BS913" t="s">
        <v>16961</v>
      </c>
      <c r="BT913" t="str">
        <f>HYPERLINK("https%3A%2F%2Fwww.webofscience.com%2Fwos%2Fwoscc%2Ffull-record%2FWOS:000334474500035","View Full Record in Web of Science")</f>
        <v>View Full Record in Web of Science</v>
      </c>
    </row>
    <row r="914" spans="1:72" x14ac:dyDescent="0.15">
      <c r="A914" t="s">
        <v>72</v>
      </c>
      <c r="B914" t="s">
        <v>16962</v>
      </c>
      <c r="C914" t="s">
        <v>74</v>
      </c>
      <c r="D914" t="s">
        <v>74</v>
      </c>
      <c r="E914" t="s">
        <v>74</v>
      </c>
      <c r="F914" t="s">
        <v>16963</v>
      </c>
      <c r="G914" t="s">
        <v>74</v>
      </c>
      <c r="H914" t="s">
        <v>74</v>
      </c>
      <c r="I914" t="s">
        <v>16964</v>
      </c>
      <c r="J914" t="s">
        <v>1236</v>
      </c>
      <c r="K914" t="s">
        <v>74</v>
      </c>
      <c r="L914" t="s">
        <v>74</v>
      </c>
      <c r="M914" t="s">
        <v>78</v>
      </c>
      <c r="N914" t="s">
        <v>79</v>
      </c>
      <c r="O914" t="s">
        <v>74</v>
      </c>
      <c r="P914" t="s">
        <v>74</v>
      </c>
      <c r="Q914" t="s">
        <v>74</v>
      </c>
      <c r="R914" t="s">
        <v>74</v>
      </c>
      <c r="S914" t="s">
        <v>74</v>
      </c>
      <c r="T914" t="s">
        <v>16965</v>
      </c>
      <c r="U914" t="s">
        <v>16966</v>
      </c>
      <c r="V914" t="s">
        <v>16967</v>
      </c>
      <c r="W914" t="s">
        <v>16968</v>
      </c>
      <c r="X914" t="s">
        <v>16969</v>
      </c>
      <c r="Y914" t="s">
        <v>16970</v>
      </c>
      <c r="Z914" t="s">
        <v>16971</v>
      </c>
      <c r="AA914" t="s">
        <v>16972</v>
      </c>
      <c r="AB914" t="s">
        <v>16973</v>
      </c>
      <c r="AC914" t="s">
        <v>16974</v>
      </c>
      <c r="AD914" t="s">
        <v>16975</v>
      </c>
      <c r="AE914" t="s">
        <v>16976</v>
      </c>
      <c r="AF914" t="s">
        <v>74</v>
      </c>
      <c r="AG914">
        <v>48</v>
      </c>
      <c r="AH914">
        <v>17</v>
      </c>
      <c r="AI914">
        <v>18</v>
      </c>
      <c r="AJ914">
        <v>0</v>
      </c>
      <c r="AK914">
        <v>2</v>
      </c>
      <c r="AL914" t="s">
        <v>1246</v>
      </c>
      <c r="AM914" t="s">
        <v>1247</v>
      </c>
      <c r="AN914" t="s">
        <v>1248</v>
      </c>
      <c r="AO914" t="s">
        <v>1249</v>
      </c>
      <c r="AP914" t="s">
        <v>1250</v>
      </c>
      <c r="AQ914" t="s">
        <v>74</v>
      </c>
      <c r="AR914" t="s">
        <v>1236</v>
      </c>
      <c r="AS914" t="s">
        <v>1251</v>
      </c>
      <c r="AT914" t="s">
        <v>16977</v>
      </c>
      <c r="AU914">
        <v>2014</v>
      </c>
      <c r="AV914">
        <v>3790</v>
      </c>
      <c r="AW914">
        <v>2</v>
      </c>
      <c r="AX914" t="s">
        <v>74</v>
      </c>
      <c r="AY914" t="s">
        <v>74</v>
      </c>
      <c r="AZ914" t="s">
        <v>74</v>
      </c>
      <c r="BA914" t="s">
        <v>74</v>
      </c>
      <c r="BB914">
        <v>243</v>
      </c>
      <c r="BC914">
        <v>280</v>
      </c>
      <c r="BD914" t="s">
        <v>74</v>
      </c>
      <c r="BE914" t="s">
        <v>16978</v>
      </c>
      <c r="BF914" t="str">
        <f>HYPERLINK("http://dx.doi.org/10.11646/zootaxa.3790.2.2","http://dx.doi.org/10.11646/zootaxa.3790.2.2")</f>
        <v>http://dx.doi.org/10.11646/zootaxa.3790.2.2</v>
      </c>
      <c r="BG914" t="s">
        <v>74</v>
      </c>
      <c r="BH914" t="s">
        <v>74</v>
      </c>
      <c r="BI914">
        <v>38</v>
      </c>
      <c r="BJ914" t="s">
        <v>1254</v>
      </c>
      <c r="BK914" t="s">
        <v>102</v>
      </c>
      <c r="BL914" t="s">
        <v>1254</v>
      </c>
      <c r="BM914" t="s">
        <v>16979</v>
      </c>
      <c r="BN914">
        <v>24869869</v>
      </c>
      <c r="BO914" t="s">
        <v>74</v>
      </c>
      <c r="BP914" t="s">
        <v>74</v>
      </c>
      <c r="BQ914" t="s">
        <v>74</v>
      </c>
      <c r="BR914" t="s">
        <v>105</v>
      </c>
      <c r="BS914" t="s">
        <v>16980</v>
      </c>
      <c r="BT914" t="str">
        <f>HYPERLINK("https%3A%2F%2Fwww.webofscience.com%2Fwos%2Fwoscc%2Ffull-record%2FWOS:000334359600002","View Full Record in Web of Science")</f>
        <v>View Full Record in Web of Science</v>
      </c>
    </row>
    <row r="915" spans="1:72" x14ac:dyDescent="0.15">
      <c r="A915" t="s">
        <v>72</v>
      </c>
      <c r="B915" t="s">
        <v>16981</v>
      </c>
      <c r="C915" t="s">
        <v>74</v>
      </c>
      <c r="D915" t="s">
        <v>74</v>
      </c>
      <c r="E915" t="s">
        <v>74</v>
      </c>
      <c r="F915" t="s">
        <v>16982</v>
      </c>
      <c r="G915" t="s">
        <v>74</v>
      </c>
      <c r="H915" t="s">
        <v>74</v>
      </c>
      <c r="I915" t="s">
        <v>16983</v>
      </c>
      <c r="J915" t="s">
        <v>1018</v>
      </c>
      <c r="K915" t="s">
        <v>74</v>
      </c>
      <c r="L915" t="s">
        <v>74</v>
      </c>
      <c r="M915" t="s">
        <v>78</v>
      </c>
      <c r="N915" t="s">
        <v>79</v>
      </c>
      <c r="O915" t="s">
        <v>74</v>
      </c>
      <c r="P915" t="s">
        <v>74</v>
      </c>
      <c r="Q915" t="s">
        <v>74</v>
      </c>
      <c r="R915" t="s">
        <v>74</v>
      </c>
      <c r="S915" t="s">
        <v>74</v>
      </c>
      <c r="T915" t="s">
        <v>16984</v>
      </c>
      <c r="U915" t="s">
        <v>16985</v>
      </c>
      <c r="V915" t="s">
        <v>16986</v>
      </c>
      <c r="W915" t="s">
        <v>16987</v>
      </c>
      <c r="X915" t="s">
        <v>16988</v>
      </c>
      <c r="Y915" t="s">
        <v>16989</v>
      </c>
      <c r="Z915" t="s">
        <v>16990</v>
      </c>
      <c r="AA915" t="s">
        <v>16991</v>
      </c>
      <c r="AB915" t="s">
        <v>16992</v>
      </c>
      <c r="AC915" t="s">
        <v>16993</v>
      </c>
      <c r="AD915" t="s">
        <v>16993</v>
      </c>
      <c r="AE915" t="s">
        <v>16994</v>
      </c>
      <c r="AF915" t="s">
        <v>74</v>
      </c>
      <c r="AG915">
        <v>44</v>
      </c>
      <c r="AH915">
        <v>21</v>
      </c>
      <c r="AI915">
        <v>24</v>
      </c>
      <c r="AJ915">
        <v>0</v>
      </c>
      <c r="AK915">
        <v>8</v>
      </c>
      <c r="AL915" t="s">
        <v>331</v>
      </c>
      <c r="AM915" t="s">
        <v>332</v>
      </c>
      <c r="AN915" t="s">
        <v>333</v>
      </c>
      <c r="AO915" t="s">
        <v>1030</v>
      </c>
      <c r="AP915" t="s">
        <v>1031</v>
      </c>
      <c r="AQ915" t="s">
        <v>74</v>
      </c>
      <c r="AR915" t="s">
        <v>1032</v>
      </c>
      <c r="AS915" t="s">
        <v>1033</v>
      </c>
      <c r="AT915" t="s">
        <v>16995</v>
      </c>
      <c r="AU915">
        <v>2014</v>
      </c>
      <c r="AV915">
        <v>41</v>
      </c>
      <c r="AW915">
        <v>7</v>
      </c>
      <c r="AX915" t="s">
        <v>74</v>
      </c>
      <c r="AY915" t="s">
        <v>74</v>
      </c>
      <c r="AZ915" t="s">
        <v>74</v>
      </c>
      <c r="BA915" t="s">
        <v>74</v>
      </c>
      <c r="BB915">
        <v>2312</v>
      </c>
      <c r="BC915">
        <v>2318</v>
      </c>
      <c r="BD915" t="s">
        <v>74</v>
      </c>
      <c r="BE915" t="s">
        <v>16996</v>
      </c>
      <c r="BF915" t="str">
        <f>HYPERLINK("http://dx.doi.org/10.1002/2014GL059465","http://dx.doi.org/10.1002/2014GL059465")</f>
        <v>http://dx.doi.org/10.1002/2014GL059465</v>
      </c>
      <c r="BG915" t="s">
        <v>74</v>
      </c>
      <c r="BH915" t="s">
        <v>74</v>
      </c>
      <c r="BI915">
        <v>7</v>
      </c>
      <c r="BJ915" t="s">
        <v>685</v>
      </c>
      <c r="BK915" t="s">
        <v>102</v>
      </c>
      <c r="BL915" t="s">
        <v>686</v>
      </c>
      <c r="BM915" t="s">
        <v>16997</v>
      </c>
      <c r="BN915" t="s">
        <v>74</v>
      </c>
      <c r="BO915" t="s">
        <v>1053</v>
      </c>
      <c r="BP915" t="s">
        <v>74</v>
      </c>
      <c r="BQ915" t="s">
        <v>74</v>
      </c>
      <c r="BR915" t="s">
        <v>105</v>
      </c>
      <c r="BS915" t="s">
        <v>16998</v>
      </c>
      <c r="BT915" t="str">
        <f>HYPERLINK("https%3A%2F%2Fwww.webofscience.com%2Fwos%2Fwoscc%2Ffull-record%2FWOS:000334983000011","View Full Record in Web of Science")</f>
        <v>View Full Record in Web of Science</v>
      </c>
    </row>
    <row r="916" spans="1:72" x14ac:dyDescent="0.15">
      <c r="A916" t="s">
        <v>72</v>
      </c>
      <c r="B916" t="s">
        <v>16999</v>
      </c>
      <c r="C916" t="s">
        <v>74</v>
      </c>
      <c r="D916" t="s">
        <v>74</v>
      </c>
      <c r="E916" t="s">
        <v>74</v>
      </c>
      <c r="F916" t="s">
        <v>17000</v>
      </c>
      <c r="G916" t="s">
        <v>74</v>
      </c>
      <c r="H916" t="s">
        <v>74</v>
      </c>
      <c r="I916" t="s">
        <v>17001</v>
      </c>
      <c r="J916" t="s">
        <v>1018</v>
      </c>
      <c r="K916" t="s">
        <v>74</v>
      </c>
      <c r="L916" t="s">
        <v>74</v>
      </c>
      <c r="M916" t="s">
        <v>78</v>
      </c>
      <c r="N916" t="s">
        <v>79</v>
      </c>
      <c r="O916" t="s">
        <v>74</v>
      </c>
      <c r="P916" t="s">
        <v>74</v>
      </c>
      <c r="Q916" t="s">
        <v>74</v>
      </c>
      <c r="R916" t="s">
        <v>74</v>
      </c>
      <c r="S916" t="s">
        <v>74</v>
      </c>
      <c r="T916" t="s">
        <v>17002</v>
      </c>
      <c r="U916" t="s">
        <v>17003</v>
      </c>
      <c r="V916" t="s">
        <v>17004</v>
      </c>
      <c r="W916" t="s">
        <v>17005</v>
      </c>
      <c r="X916" t="s">
        <v>3784</v>
      </c>
      <c r="Y916" t="s">
        <v>3785</v>
      </c>
      <c r="Z916" t="s">
        <v>17006</v>
      </c>
      <c r="AA916" t="s">
        <v>3787</v>
      </c>
      <c r="AB916" t="s">
        <v>3788</v>
      </c>
      <c r="AC916" t="s">
        <v>17007</v>
      </c>
      <c r="AD916" t="s">
        <v>17008</v>
      </c>
      <c r="AE916" t="s">
        <v>17009</v>
      </c>
      <c r="AF916" t="s">
        <v>74</v>
      </c>
      <c r="AG916">
        <v>27</v>
      </c>
      <c r="AH916">
        <v>14</v>
      </c>
      <c r="AI916">
        <v>14</v>
      </c>
      <c r="AJ916">
        <v>0</v>
      </c>
      <c r="AK916">
        <v>9</v>
      </c>
      <c r="AL916" t="s">
        <v>331</v>
      </c>
      <c r="AM916" t="s">
        <v>332</v>
      </c>
      <c r="AN916" t="s">
        <v>333</v>
      </c>
      <c r="AO916" t="s">
        <v>1030</v>
      </c>
      <c r="AP916" t="s">
        <v>1031</v>
      </c>
      <c r="AQ916" t="s">
        <v>74</v>
      </c>
      <c r="AR916" t="s">
        <v>1032</v>
      </c>
      <c r="AS916" t="s">
        <v>1033</v>
      </c>
      <c r="AT916" t="s">
        <v>16995</v>
      </c>
      <c r="AU916">
        <v>2014</v>
      </c>
      <c r="AV916">
        <v>41</v>
      </c>
      <c r="AW916">
        <v>7</v>
      </c>
      <c r="AX916" t="s">
        <v>74</v>
      </c>
      <c r="AY916" t="s">
        <v>74</v>
      </c>
      <c r="AZ916" t="s">
        <v>74</v>
      </c>
      <c r="BA916" t="s">
        <v>74</v>
      </c>
      <c r="BB916">
        <v>2568</v>
      </c>
      <c r="BC916">
        <v>2574</v>
      </c>
      <c r="BD916" t="s">
        <v>74</v>
      </c>
      <c r="BE916" t="s">
        <v>17010</v>
      </c>
      <c r="BF916" t="str">
        <f>HYPERLINK("http://dx.doi.org/10.1002/2014GL059360","http://dx.doi.org/10.1002/2014GL059360")</f>
        <v>http://dx.doi.org/10.1002/2014GL059360</v>
      </c>
      <c r="BG916" t="s">
        <v>74</v>
      </c>
      <c r="BH916" t="s">
        <v>74</v>
      </c>
      <c r="BI916">
        <v>7</v>
      </c>
      <c r="BJ916" t="s">
        <v>685</v>
      </c>
      <c r="BK916" t="s">
        <v>102</v>
      </c>
      <c r="BL916" t="s">
        <v>686</v>
      </c>
      <c r="BM916" t="s">
        <v>16997</v>
      </c>
      <c r="BN916" t="s">
        <v>74</v>
      </c>
      <c r="BO916" t="s">
        <v>179</v>
      </c>
      <c r="BP916" t="s">
        <v>74</v>
      </c>
      <c r="BQ916" t="s">
        <v>74</v>
      </c>
      <c r="BR916" t="s">
        <v>105</v>
      </c>
      <c r="BS916" t="s">
        <v>17011</v>
      </c>
      <c r="BT916" t="str">
        <f>HYPERLINK("https%3A%2F%2Fwww.webofscience.com%2Fwos%2Fwoscc%2Ffull-record%2FWOS:000334983000045","View Full Record in Web of Science")</f>
        <v>View Full Record in Web of Science</v>
      </c>
    </row>
    <row r="917" spans="1:72" x14ac:dyDescent="0.15">
      <c r="A917" t="s">
        <v>72</v>
      </c>
      <c r="B917" t="s">
        <v>17012</v>
      </c>
      <c r="C917" t="s">
        <v>74</v>
      </c>
      <c r="D917" t="s">
        <v>74</v>
      </c>
      <c r="E917" t="s">
        <v>74</v>
      </c>
      <c r="F917" t="s">
        <v>17013</v>
      </c>
      <c r="G917" t="s">
        <v>74</v>
      </c>
      <c r="H917" t="s">
        <v>74</v>
      </c>
      <c r="I917" t="s">
        <v>17014</v>
      </c>
      <c r="J917" t="s">
        <v>1018</v>
      </c>
      <c r="K917" t="s">
        <v>74</v>
      </c>
      <c r="L917" t="s">
        <v>74</v>
      </c>
      <c r="M917" t="s">
        <v>78</v>
      </c>
      <c r="N917" t="s">
        <v>79</v>
      </c>
      <c r="O917" t="s">
        <v>74</v>
      </c>
      <c r="P917" t="s">
        <v>74</v>
      </c>
      <c r="Q917" t="s">
        <v>74</v>
      </c>
      <c r="R917" t="s">
        <v>74</v>
      </c>
      <c r="S917" t="s">
        <v>74</v>
      </c>
      <c r="T917" t="s">
        <v>17015</v>
      </c>
      <c r="U917" t="s">
        <v>17016</v>
      </c>
      <c r="V917" t="s">
        <v>17017</v>
      </c>
      <c r="W917" t="s">
        <v>17018</v>
      </c>
      <c r="X917" t="s">
        <v>17019</v>
      </c>
      <c r="Y917" t="s">
        <v>17020</v>
      </c>
      <c r="Z917" t="s">
        <v>17021</v>
      </c>
      <c r="AA917" t="s">
        <v>17022</v>
      </c>
      <c r="AB917" t="s">
        <v>17023</v>
      </c>
      <c r="AC917" t="s">
        <v>17024</v>
      </c>
      <c r="AD917" t="s">
        <v>17025</v>
      </c>
      <c r="AE917" t="s">
        <v>17026</v>
      </c>
      <c r="AF917" t="s">
        <v>74</v>
      </c>
      <c r="AG917">
        <v>25</v>
      </c>
      <c r="AH917">
        <v>2</v>
      </c>
      <c r="AI917">
        <v>3</v>
      </c>
      <c r="AJ917">
        <v>0</v>
      </c>
      <c r="AK917">
        <v>4</v>
      </c>
      <c r="AL917" t="s">
        <v>331</v>
      </c>
      <c r="AM917" t="s">
        <v>332</v>
      </c>
      <c r="AN917" t="s">
        <v>333</v>
      </c>
      <c r="AO917" t="s">
        <v>1030</v>
      </c>
      <c r="AP917" t="s">
        <v>1031</v>
      </c>
      <c r="AQ917" t="s">
        <v>74</v>
      </c>
      <c r="AR917" t="s">
        <v>1032</v>
      </c>
      <c r="AS917" t="s">
        <v>1033</v>
      </c>
      <c r="AT917" t="s">
        <v>16995</v>
      </c>
      <c r="AU917">
        <v>2014</v>
      </c>
      <c r="AV917">
        <v>41</v>
      </c>
      <c r="AW917">
        <v>7</v>
      </c>
      <c r="AX917" t="s">
        <v>74</v>
      </c>
      <c r="AY917" t="s">
        <v>74</v>
      </c>
      <c r="AZ917" t="s">
        <v>74</v>
      </c>
      <c r="BA917" t="s">
        <v>74</v>
      </c>
      <c r="BB917">
        <v>2237</v>
      </c>
      <c r="BC917">
        <v>2242</v>
      </c>
      <c r="BD917" t="s">
        <v>74</v>
      </c>
      <c r="BE917" t="s">
        <v>17027</v>
      </c>
      <c r="BF917" t="str">
        <f>HYPERLINK("http://dx.doi.org/10.1002/2014GL059553","http://dx.doi.org/10.1002/2014GL059553")</f>
        <v>http://dx.doi.org/10.1002/2014GL059553</v>
      </c>
      <c r="BG917" t="s">
        <v>74</v>
      </c>
      <c r="BH917" t="s">
        <v>74</v>
      </c>
      <c r="BI917">
        <v>6</v>
      </c>
      <c r="BJ917" t="s">
        <v>685</v>
      </c>
      <c r="BK917" t="s">
        <v>102</v>
      </c>
      <c r="BL917" t="s">
        <v>686</v>
      </c>
      <c r="BM917" t="s">
        <v>16997</v>
      </c>
      <c r="BN917" t="s">
        <v>74</v>
      </c>
      <c r="BO917" t="s">
        <v>4028</v>
      </c>
      <c r="BP917" t="s">
        <v>74</v>
      </c>
      <c r="BQ917" t="s">
        <v>74</v>
      </c>
      <c r="BR917" t="s">
        <v>105</v>
      </c>
      <c r="BS917" t="s">
        <v>17028</v>
      </c>
      <c r="BT917" t="str">
        <f>HYPERLINK("https%3A%2F%2Fwww.webofscience.com%2Fwos%2Fwoscc%2Ffull-record%2FWOS:000334983000001","View Full Record in Web of Science")</f>
        <v>View Full Record in Web of Science</v>
      </c>
    </row>
    <row r="918" spans="1:72" x14ac:dyDescent="0.15">
      <c r="A918" t="s">
        <v>72</v>
      </c>
      <c r="B918" t="s">
        <v>17029</v>
      </c>
      <c r="C918" t="s">
        <v>74</v>
      </c>
      <c r="D918" t="s">
        <v>74</v>
      </c>
      <c r="E918" t="s">
        <v>74</v>
      </c>
      <c r="F918" t="s">
        <v>17030</v>
      </c>
      <c r="G918" t="s">
        <v>74</v>
      </c>
      <c r="H918" t="s">
        <v>74</v>
      </c>
      <c r="I918" t="s">
        <v>17031</v>
      </c>
      <c r="J918" t="s">
        <v>1018</v>
      </c>
      <c r="K918" t="s">
        <v>74</v>
      </c>
      <c r="L918" t="s">
        <v>74</v>
      </c>
      <c r="M918" t="s">
        <v>78</v>
      </c>
      <c r="N918" t="s">
        <v>79</v>
      </c>
      <c r="O918" t="s">
        <v>74</v>
      </c>
      <c r="P918" t="s">
        <v>74</v>
      </c>
      <c r="Q918" t="s">
        <v>74</v>
      </c>
      <c r="R918" t="s">
        <v>74</v>
      </c>
      <c r="S918" t="s">
        <v>74</v>
      </c>
      <c r="T918" t="s">
        <v>17032</v>
      </c>
      <c r="U918" t="s">
        <v>17033</v>
      </c>
      <c r="V918" t="s">
        <v>17034</v>
      </c>
      <c r="W918" t="s">
        <v>17035</v>
      </c>
      <c r="X918" t="s">
        <v>17036</v>
      </c>
      <c r="Y918" t="s">
        <v>17037</v>
      </c>
      <c r="Z918" t="s">
        <v>17038</v>
      </c>
      <c r="AA918" t="s">
        <v>17039</v>
      </c>
      <c r="AB918" t="s">
        <v>17040</v>
      </c>
      <c r="AC918" t="s">
        <v>17041</v>
      </c>
      <c r="AD918" t="s">
        <v>17042</v>
      </c>
      <c r="AE918" t="s">
        <v>17043</v>
      </c>
      <c r="AF918" t="s">
        <v>74</v>
      </c>
      <c r="AG918">
        <v>44</v>
      </c>
      <c r="AH918">
        <v>122</v>
      </c>
      <c r="AI918">
        <v>128</v>
      </c>
      <c r="AJ918">
        <v>2</v>
      </c>
      <c r="AK918">
        <v>38</v>
      </c>
      <c r="AL918" t="s">
        <v>331</v>
      </c>
      <c r="AM918" t="s">
        <v>332</v>
      </c>
      <c r="AN918" t="s">
        <v>333</v>
      </c>
      <c r="AO918" t="s">
        <v>1030</v>
      </c>
      <c r="AP918" t="s">
        <v>1031</v>
      </c>
      <c r="AQ918" t="s">
        <v>74</v>
      </c>
      <c r="AR918" t="s">
        <v>1032</v>
      </c>
      <c r="AS918" t="s">
        <v>1033</v>
      </c>
      <c r="AT918" t="s">
        <v>16995</v>
      </c>
      <c r="AU918">
        <v>2014</v>
      </c>
      <c r="AV918">
        <v>41</v>
      </c>
      <c r="AW918">
        <v>7</v>
      </c>
      <c r="AX918" t="s">
        <v>74</v>
      </c>
      <c r="AY918" t="s">
        <v>74</v>
      </c>
      <c r="AZ918" t="s">
        <v>74</v>
      </c>
      <c r="BA918" t="s">
        <v>74</v>
      </c>
      <c r="BB918">
        <v>2390</v>
      </c>
      <c r="BC918">
        <v>2400</v>
      </c>
      <c r="BD918" t="s">
        <v>74</v>
      </c>
      <c r="BE918" t="s">
        <v>17044</v>
      </c>
      <c r="BF918" t="str">
        <f>HYPERLINK("http://dx.doi.org/10.1002/2014GL059405","http://dx.doi.org/10.1002/2014GL059405")</f>
        <v>http://dx.doi.org/10.1002/2014GL059405</v>
      </c>
      <c r="BG918" t="s">
        <v>74</v>
      </c>
      <c r="BH918" t="s">
        <v>74</v>
      </c>
      <c r="BI918">
        <v>11</v>
      </c>
      <c r="BJ918" t="s">
        <v>685</v>
      </c>
      <c r="BK918" t="s">
        <v>102</v>
      </c>
      <c r="BL918" t="s">
        <v>686</v>
      </c>
      <c r="BM918" t="s">
        <v>16997</v>
      </c>
      <c r="BN918" t="s">
        <v>74</v>
      </c>
      <c r="BO918" t="s">
        <v>4603</v>
      </c>
      <c r="BP918" t="s">
        <v>74</v>
      </c>
      <c r="BQ918" t="s">
        <v>74</v>
      </c>
      <c r="BR918" t="s">
        <v>105</v>
      </c>
      <c r="BS918" t="s">
        <v>17045</v>
      </c>
      <c r="BT918" t="str">
        <f>HYPERLINK("https%3A%2F%2Fwww.webofscience.com%2Fwos%2Fwoscc%2Ffull-record%2FWOS:000334983000021","View Full Record in Web of Science")</f>
        <v>View Full Record in Web of Science</v>
      </c>
    </row>
    <row r="919" spans="1:72" x14ac:dyDescent="0.15">
      <c r="A919" t="s">
        <v>72</v>
      </c>
      <c r="B919" t="s">
        <v>17046</v>
      </c>
      <c r="C919" t="s">
        <v>74</v>
      </c>
      <c r="D919" t="s">
        <v>74</v>
      </c>
      <c r="E919" t="s">
        <v>74</v>
      </c>
      <c r="F919" t="s">
        <v>17047</v>
      </c>
      <c r="G919" t="s">
        <v>74</v>
      </c>
      <c r="H919" t="s">
        <v>74</v>
      </c>
      <c r="I919" t="s">
        <v>17048</v>
      </c>
      <c r="J919" t="s">
        <v>1018</v>
      </c>
      <c r="K919" t="s">
        <v>74</v>
      </c>
      <c r="L919" t="s">
        <v>74</v>
      </c>
      <c r="M919" t="s">
        <v>78</v>
      </c>
      <c r="N919" t="s">
        <v>79</v>
      </c>
      <c r="O919" t="s">
        <v>74</v>
      </c>
      <c r="P919" t="s">
        <v>74</v>
      </c>
      <c r="Q919" t="s">
        <v>74</v>
      </c>
      <c r="R919" t="s">
        <v>74</v>
      </c>
      <c r="S919" t="s">
        <v>74</v>
      </c>
      <c r="T919" t="s">
        <v>17049</v>
      </c>
      <c r="U919" t="s">
        <v>17050</v>
      </c>
      <c r="V919" t="s">
        <v>17051</v>
      </c>
      <c r="W919" t="s">
        <v>17052</v>
      </c>
      <c r="X919" t="s">
        <v>17053</v>
      </c>
      <c r="Y919" t="s">
        <v>17054</v>
      </c>
      <c r="Z919" t="s">
        <v>17055</v>
      </c>
      <c r="AA919" t="s">
        <v>17056</v>
      </c>
      <c r="AB919" t="s">
        <v>17057</v>
      </c>
      <c r="AC919" t="s">
        <v>17058</v>
      </c>
      <c r="AD919" t="s">
        <v>17059</v>
      </c>
      <c r="AE919" t="s">
        <v>17060</v>
      </c>
      <c r="AF919" t="s">
        <v>74</v>
      </c>
      <c r="AG919">
        <v>35</v>
      </c>
      <c r="AH919">
        <v>115</v>
      </c>
      <c r="AI919">
        <v>130</v>
      </c>
      <c r="AJ919">
        <v>1</v>
      </c>
      <c r="AK919">
        <v>41</v>
      </c>
      <c r="AL919" t="s">
        <v>331</v>
      </c>
      <c r="AM919" t="s">
        <v>332</v>
      </c>
      <c r="AN919" t="s">
        <v>333</v>
      </c>
      <c r="AO919" t="s">
        <v>1030</v>
      </c>
      <c r="AP919" t="s">
        <v>1031</v>
      </c>
      <c r="AQ919" t="s">
        <v>74</v>
      </c>
      <c r="AR919" t="s">
        <v>1032</v>
      </c>
      <c r="AS919" t="s">
        <v>1033</v>
      </c>
      <c r="AT919" t="s">
        <v>16995</v>
      </c>
      <c r="AU919">
        <v>2014</v>
      </c>
      <c r="AV919">
        <v>41</v>
      </c>
      <c r="AW919">
        <v>7</v>
      </c>
      <c r="AX919" t="s">
        <v>74</v>
      </c>
      <c r="AY919" t="s">
        <v>74</v>
      </c>
      <c r="AZ919" t="s">
        <v>74</v>
      </c>
      <c r="BA919" t="s">
        <v>74</v>
      </c>
      <c r="BB919">
        <v>2419</v>
      </c>
      <c r="BC919">
        <v>2426</v>
      </c>
      <c r="BD919" t="s">
        <v>74</v>
      </c>
      <c r="BE919" t="s">
        <v>17061</v>
      </c>
      <c r="BF919" t="str">
        <f>HYPERLINK("http://dx.doi.org/10.1002/2014GL059239","http://dx.doi.org/10.1002/2014GL059239")</f>
        <v>http://dx.doi.org/10.1002/2014GL059239</v>
      </c>
      <c r="BG919" t="s">
        <v>74</v>
      </c>
      <c r="BH919" t="s">
        <v>74</v>
      </c>
      <c r="BI919">
        <v>8</v>
      </c>
      <c r="BJ919" t="s">
        <v>685</v>
      </c>
      <c r="BK919" t="s">
        <v>102</v>
      </c>
      <c r="BL919" t="s">
        <v>686</v>
      </c>
      <c r="BM919" t="s">
        <v>16997</v>
      </c>
      <c r="BN919" t="s">
        <v>74</v>
      </c>
      <c r="BO919" t="s">
        <v>74</v>
      </c>
      <c r="BP919" t="s">
        <v>74</v>
      </c>
      <c r="BQ919" t="s">
        <v>74</v>
      </c>
      <c r="BR919" t="s">
        <v>105</v>
      </c>
      <c r="BS919" t="s">
        <v>17062</v>
      </c>
      <c r="BT919" t="str">
        <f>HYPERLINK("https%3A%2F%2Fwww.webofscience.com%2Fwos%2Fwoscc%2Ffull-record%2FWOS:000334983000024","View Full Record in Web of Science")</f>
        <v>View Full Record in Web of Science</v>
      </c>
    </row>
    <row r="920" spans="1:72" x14ac:dyDescent="0.15">
      <c r="A920" t="s">
        <v>72</v>
      </c>
      <c r="B920" t="s">
        <v>17063</v>
      </c>
      <c r="C920" t="s">
        <v>74</v>
      </c>
      <c r="D920" t="s">
        <v>74</v>
      </c>
      <c r="E920" t="s">
        <v>74</v>
      </c>
      <c r="F920" t="s">
        <v>17064</v>
      </c>
      <c r="G920" t="s">
        <v>74</v>
      </c>
      <c r="H920" t="s">
        <v>74</v>
      </c>
      <c r="I920" t="s">
        <v>17065</v>
      </c>
      <c r="J920" t="s">
        <v>1018</v>
      </c>
      <c r="K920" t="s">
        <v>74</v>
      </c>
      <c r="L920" t="s">
        <v>74</v>
      </c>
      <c r="M920" t="s">
        <v>78</v>
      </c>
      <c r="N920" t="s">
        <v>79</v>
      </c>
      <c r="O920" t="s">
        <v>74</v>
      </c>
      <c r="P920" t="s">
        <v>74</v>
      </c>
      <c r="Q920" t="s">
        <v>74</v>
      </c>
      <c r="R920" t="s">
        <v>74</v>
      </c>
      <c r="S920" t="s">
        <v>74</v>
      </c>
      <c r="T920" t="s">
        <v>17066</v>
      </c>
      <c r="U920" t="s">
        <v>17067</v>
      </c>
      <c r="V920" t="s">
        <v>17068</v>
      </c>
      <c r="W920" t="s">
        <v>17069</v>
      </c>
      <c r="X920" t="s">
        <v>17070</v>
      </c>
      <c r="Y920" t="s">
        <v>17071</v>
      </c>
      <c r="Z920" t="s">
        <v>17072</v>
      </c>
      <c r="AA920" t="s">
        <v>17073</v>
      </c>
      <c r="AB920" t="s">
        <v>17074</v>
      </c>
      <c r="AC920" t="s">
        <v>17075</v>
      </c>
      <c r="AD920" t="s">
        <v>17076</v>
      </c>
      <c r="AE920" t="s">
        <v>17077</v>
      </c>
      <c r="AF920" t="s">
        <v>74</v>
      </c>
      <c r="AG920">
        <v>31</v>
      </c>
      <c r="AH920">
        <v>26</v>
      </c>
      <c r="AI920">
        <v>29</v>
      </c>
      <c r="AJ920">
        <v>8</v>
      </c>
      <c r="AK920">
        <v>110</v>
      </c>
      <c r="AL920" t="s">
        <v>331</v>
      </c>
      <c r="AM920" t="s">
        <v>332</v>
      </c>
      <c r="AN920" t="s">
        <v>333</v>
      </c>
      <c r="AO920" t="s">
        <v>1030</v>
      </c>
      <c r="AP920" t="s">
        <v>1031</v>
      </c>
      <c r="AQ920" t="s">
        <v>74</v>
      </c>
      <c r="AR920" t="s">
        <v>1032</v>
      </c>
      <c r="AS920" t="s">
        <v>1033</v>
      </c>
      <c r="AT920" t="s">
        <v>16995</v>
      </c>
      <c r="AU920">
        <v>2014</v>
      </c>
      <c r="AV920">
        <v>41</v>
      </c>
      <c r="AW920">
        <v>7</v>
      </c>
      <c r="AX920" t="s">
        <v>74</v>
      </c>
      <c r="AY920" t="s">
        <v>74</v>
      </c>
      <c r="AZ920" t="s">
        <v>74</v>
      </c>
      <c r="BA920" t="s">
        <v>74</v>
      </c>
      <c r="BB920">
        <v>2489</v>
      </c>
      <c r="BC920">
        <v>2495</v>
      </c>
      <c r="BD920" t="s">
        <v>74</v>
      </c>
      <c r="BE920" t="s">
        <v>17078</v>
      </c>
      <c r="BF920" t="str">
        <f>HYPERLINK("http://dx.doi.org/10.1002/2013GL058799","http://dx.doi.org/10.1002/2013GL058799")</f>
        <v>http://dx.doi.org/10.1002/2013GL058799</v>
      </c>
      <c r="BG920" t="s">
        <v>74</v>
      </c>
      <c r="BH920" t="s">
        <v>74</v>
      </c>
      <c r="BI920">
        <v>7</v>
      </c>
      <c r="BJ920" t="s">
        <v>685</v>
      </c>
      <c r="BK920" t="s">
        <v>102</v>
      </c>
      <c r="BL920" t="s">
        <v>686</v>
      </c>
      <c r="BM920" t="s">
        <v>16997</v>
      </c>
      <c r="BN920" t="s">
        <v>74</v>
      </c>
      <c r="BO920" t="s">
        <v>341</v>
      </c>
      <c r="BP920" t="s">
        <v>74</v>
      </c>
      <c r="BQ920" t="s">
        <v>74</v>
      </c>
      <c r="BR920" t="s">
        <v>105</v>
      </c>
      <c r="BS920" t="s">
        <v>17079</v>
      </c>
      <c r="BT920" t="str">
        <f>HYPERLINK("https%3A%2F%2Fwww.webofscience.com%2Fwos%2Fwoscc%2Ffull-record%2FWOS:000334983000034","View Full Record in Web of Science")</f>
        <v>View Full Record in Web of Science</v>
      </c>
    </row>
    <row r="921" spans="1:72" x14ac:dyDescent="0.15">
      <c r="A921" t="s">
        <v>72</v>
      </c>
      <c r="B921" t="s">
        <v>17080</v>
      </c>
      <c r="C921" t="s">
        <v>74</v>
      </c>
      <c r="D921" t="s">
        <v>74</v>
      </c>
      <c r="E921" t="s">
        <v>74</v>
      </c>
      <c r="F921" t="s">
        <v>17081</v>
      </c>
      <c r="G921" t="s">
        <v>74</v>
      </c>
      <c r="H921" t="s">
        <v>74</v>
      </c>
      <c r="I921" t="s">
        <v>17082</v>
      </c>
      <c r="J921" t="s">
        <v>17083</v>
      </c>
      <c r="K921" t="s">
        <v>74</v>
      </c>
      <c r="L921" t="s">
        <v>74</v>
      </c>
      <c r="M921" t="s">
        <v>78</v>
      </c>
      <c r="N921" t="s">
        <v>79</v>
      </c>
      <c r="O921" t="s">
        <v>74</v>
      </c>
      <c r="P921" t="s">
        <v>74</v>
      </c>
      <c r="Q921" t="s">
        <v>74</v>
      </c>
      <c r="R921" t="s">
        <v>74</v>
      </c>
      <c r="S921" t="s">
        <v>74</v>
      </c>
      <c r="T921" t="s">
        <v>17084</v>
      </c>
      <c r="U921" t="s">
        <v>74</v>
      </c>
      <c r="V921" t="s">
        <v>17085</v>
      </c>
      <c r="W921" t="s">
        <v>17086</v>
      </c>
      <c r="X921" t="s">
        <v>17087</v>
      </c>
      <c r="Y921" t="s">
        <v>17088</v>
      </c>
      <c r="Z921" t="s">
        <v>17089</v>
      </c>
      <c r="AA921" t="s">
        <v>74</v>
      </c>
      <c r="AB921" t="s">
        <v>74</v>
      </c>
      <c r="AC921" t="s">
        <v>17090</v>
      </c>
      <c r="AD921" t="s">
        <v>17091</v>
      </c>
      <c r="AE921" t="s">
        <v>17092</v>
      </c>
      <c r="AF921" t="s">
        <v>74</v>
      </c>
      <c r="AG921">
        <v>35</v>
      </c>
      <c r="AH921">
        <v>14</v>
      </c>
      <c r="AI921">
        <v>15</v>
      </c>
      <c r="AJ921">
        <v>0</v>
      </c>
      <c r="AK921">
        <v>3</v>
      </c>
      <c r="AL921" t="s">
        <v>17093</v>
      </c>
      <c r="AM921" t="s">
        <v>4975</v>
      </c>
      <c r="AN921" t="s">
        <v>17094</v>
      </c>
      <c r="AO921" t="s">
        <v>17095</v>
      </c>
      <c r="AP921" t="s">
        <v>74</v>
      </c>
      <c r="AQ921" t="s">
        <v>74</v>
      </c>
      <c r="AR921" t="s">
        <v>17096</v>
      </c>
      <c r="AS921" t="s">
        <v>17097</v>
      </c>
      <c r="AT921" t="s">
        <v>17098</v>
      </c>
      <c r="AU921">
        <v>2014</v>
      </c>
      <c r="AV921">
        <v>80</v>
      </c>
      <c r="AW921" t="s">
        <v>74</v>
      </c>
      <c r="AX921" t="s">
        <v>74</v>
      </c>
      <c r="AY921" t="s">
        <v>74</v>
      </c>
      <c r="AZ921" t="s">
        <v>74</v>
      </c>
      <c r="BA921" t="s">
        <v>74</v>
      </c>
      <c r="BB921">
        <v>1</v>
      </c>
      <c r="BC921">
        <v>55</v>
      </c>
      <c r="BD921" t="s">
        <v>74</v>
      </c>
      <c r="BE921" t="s">
        <v>17099</v>
      </c>
      <c r="BF921" t="str">
        <f>HYPERLINK("http://dx.doi.org/10.5852/ejt.2014.80","http://dx.doi.org/10.5852/ejt.2014.80")</f>
        <v>http://dx.doi.org/10.5852/ejt.2014.80</v>
      </c>
      <c r="BG921" t="s">
        <v>74</v>
      </c>
      <c r="BH921" t="s">
        <v>74</v>
      </c>
      <c r="BI921">
        <v>55</v>
      </c>
      <c r="BJ921" t="s">
        <v>17100</v>
      </c>
      <c r="BK921" t="s">
        <v>102</v>
      </c>
      <c r="BL921" t="s">
        <v>17100</v>
      </c>
      <c r="BM921" t="s">
        <v>17101</v>
      </c>
      <c r="BN921" t="s">
        <v>74</v>
      </c>
      <c r="BO921" t="s">
        <v>7656</v>
      </c>
      <c r="BP921" t="s">
        <v>74</v>
      </c>
      <c r="BQ921" t="s">
        <v>74</v>
      </c>
      <c r="BR921" t="s">
        <v>105</v>
      </c>
      <c r="BS921" t="s">
        <v>17102</v>
      </c>
      <c r="BT921" t="str">
        <f>HYPERLINK("https%3A%2F%2Fwww.webofscience.com%2Fwos%2Fwoscc%2Ffull-record%2FWOS:000348899800001","View Full Record in Web of Science")</f>
        <v>View Full Record in Web of Science</v>
      </c>
    </row>
    <row r="922" spans="1:72" x14ac:dyDescent="0.15">
      <c r="A922" t="s">
        <v>72</v>
      </c>
      <c r="B922" t="s">
        <v>17103</v>
      </c>
      <c r="C922" t="s">
        <v>74</v>
      </c>
      <c r="D922" t="s">
        <v>74</v>
      </c>
      <c r="E922" t="s">
        <v>74</v>
      </c>
      <c r="F922" t="s">
        <v>17104</v>
      </c>
      <c r="G922" t="s">
        <v>74</v>
      </c>
      <c r="H922" t="s">
        <v>74</v>
      </c>
      <c r="I922" t="s">
        <v>17105</v>
      </c>
      <c r="J922" t="s">
        <v>1279</v>
      </c>
      <c r="K922" t="s">
        <v>74</v>
      </c>
      <c r="L922" t="s">
        <v>74</v>
      </c>
      <c r="M922" t="s">
        <v>78</v>
      </c>
      <c r="N922" t="s">
        <v>79</v>
      </c>
      <c r="O922" t="s">
        <v>74</v>
      </c>
      <c r="P922" t="s">
        <v>74</v>
      </c>
      <c r="Q922" t="s">
        <v>74</v>
      </c>
      <c r="R922" t="s">
        <v>74</v>
      </c>
      <c r="S922" t="s">
        <v>74</v>
      </c>
      <c r="T922" t="s">
        <v>17106</v>
      </c>
      <c r="U922" t="s">
        <v>17107</v>
      </c>
      <c r="V922" t="s">
        <v>17108</v>
      </c>
      <c r="W922" t="s">
        <v>17109</v>
      </c>
      <c r="X922" t="s">
        <v>17110</v>
      </c>
      <c r="Y922" t="s">
        <v>17111</v>
      </c>
      <c r="Z922" t="s">
        <v>17112</v>
      </c>
      <c r="AA922" t="s">
        <v>17113</v>
      </c>
      <c r="AB922" t="s">
        <v>17114</v>
      </c>
      <c r="AC922" t="s">
        <v>17115</v>
      </c>
      <c r="AD922" t="s">
        <v>17116</v>
      </c>
      <c r="AE922" t="s">
        <v>17117</v>
      </c>
      <c r="AF922" t="s">
        <v>74</v>
      </c>
      <c r="AG922">
        <v>73</v>
      </c>
      <c r="AH922">
        <v>10</v>
      </c>
      <c r="AI922">
        <v>10</v>
      </c>
      <c r="AJ922">
        <v>0</v>
      </c>
      <c r="AK922">
        <v>24</v>
      </c>
      <c r="AL922" t="s">
        <v>1292</v>
      </c>
      <c r="AM922" t="s">
        <v>1293</v>
      </c>
      <c r="AN922" t="s">
        <v>1294</v>
      </c>
      <c r="AO922" t="s">
        <v>1295</v>
      </c>
      <c r="AP922" t="s">
        <v>74</v>
      </c>
      <c r="AQ922" t="s">
        <v>74</v>
      </c>
      <c r="AR922" t="s">
        <v>1296</v>
      </c>
      <c r="AS922" t="s">
        <v>1297</v>
      </c>
      <c r="AT922" t="s">
        <v>17098</v>
      </c>
      <c r="AU922">
        <v>2014</v>
      </c>
      <c r="AV922">
        <v>3</v>
      </c>
      <c r="AW922">
        <v>4</v>
      </c>
      <c r="AX922" t="s">
        <v>74</v>
      </c>
      <c r="AY922" t="s">
        <v>74</v>
      </c>
      <c r="AZ922" t="s">
        <v>74</v>
      </c>
      <c r="BA922" t="s">
        <v>74</v>
      </c>
      <c r="BB922">
        <v>261</v>
      </c>
      <c r="BC922">
        <v>270</v>
      </c>
      <c r="BD922" t="s">
        <v>74</v>
      </c>
      <c r="BE922" t="s">
        <v>17118</v>
      </c>
      <c r="BF922" t="str">
        <f>HYPERLINK("http://dx.doi.org/10.1242/bio.20147427","http://dx.doi.org/10.1242/bio.20147427")</f>
        <v>http://dx.doi.org/10.1242/bio.20147427</v>
      </c>
      <c r="BG922" t="s">
        <v>74</v>
      </c>
      <c r="BH922" t="s">
        <v>74</v>
      </c>
      <c r="BI922">
        <v>10</v>
      </c>
      <c r="BJ922" t="s">
        <v>1300</v>
      </c>
      <c r="BK922" t="s">
        <v>102</v>
      </c>
      <c r="BL922" t="s">
        <v>1301</v>
      </c>
      <c r="BM922" t="s">
        <v>17119</v>
      </c>
      <c r="BN922">
        <v>24659247</v>
      </c>
      <c r="BO922" t="s">
        <v>206</v>
      </c>
      <c r="BP922" t="s">
        <v>74</v>
      </c>
      <c r="BQ922" t="s">
        <v>74</v>
      </c>
      <c r="BR922" t="s">
        <v>105</v>
      </c>
      <c r="BS922" t="s">
        <v>17120</v>
      </c>
      <c r="BT922" t="str">
        <f>HYPERLINK("https%3A%2F%2Fwww.webofscience.com%2Fwos%2Fwoscc%2Ffull-record%2FWOS:000348066800004","View Full Record in Web of Science")</f>
        <v>View Full Record in Web of Science</v>
      </c>
    </row>
    <row r="923" spans="1:72" x14ac:dyDescent="0.15">
      <c r="A923" t="s">
        <v>72</v>
      </c>
      <c r="B923" t="s">
        <v>17121</v>
      </c>
      <c r="C923" t="s">
        <v>74</v>
      </c>
      <c r="D923" t="s">
        <v>74</v>
      </c>
      <c r="E923" t="s">
        <v>74</v>
      </c>
      <c r="F923" t="s">
        <v>17122</v>
      </c>
      <c r="G923" t="s">
        <v>74</v>
      </c>
      <c r="H923" t="s">
        <v>74</v>
      </c>
      <c r="I923" t="s">
        <v>17123</v>
      </c>
      <c r="J923" t="s">
        <v>1458</v>
      </c>
      <c r="K923" t="s">
        <v>74</v>
      </c>
      <c r="L923" t="s">
        <v>74</v>
      </c>
      <c r="M923" t="s">
        <v>78</v>
      </c>
      <c r="N923" t="s">
        <v>79</v>
      </c>
      <c r="O923" t="s">
        <v>74</v>
      </c>
      <c r="P923" t="s">
        <v>74</v>
      </c>
      <c r="Q923" t="s">
        <v>74</v>
      </c>
      <c r="R923" t="s">
        <v>74</v>
      </c>
      <c r="S923" t="s">
        <v>74</v>
      </c>
      <c r="T923" t="s">
        <v>17124</v>
      </c>
      <c r="U923" t="s">
        <v>17125</v>
      </c>
      <c r="V923" t="s">
        <v>17126</v>
      </c>
      <c r="W923" t="s">
        <v>17127</v>
      </c>
      <c r="X923" t="s">
        <v>17128</v>
      </c>
      <c r="Y923" t="s">
        <v>17129</v>
      </c>
      <c r="Z923" t="s">
        <v>17130</v>
      </c>
      <c r="AA923" t="s">
        <v>17131</v>
      </c>
      <c r="AB923" t="s">
        <v>17132</v>
      </c>
      <c r="AC923" t="s">
        <v>17133</v>
      </c>
      <c r="AD923" t="s">
        <v>17134</v>
      </c>
      <c r="AE923" t="s">
        <v>17135</v>
      </c>
      <c r="AF923" t="s">
        <v>74</v>
      </c>
      <c r="AG923">
        <v>56</v>
      </c>
      <c r="AH923">
        <v>44</v>
      </c>
      <c r="AI923">
        <v>45</v>
      </c>
      <c r="AJ923">
        <v>2</v>
      </c>
      <c r="AK923">
        <v>47</v>
      </c>
      <c r="AL923" t="s">
        <v>250</v>
      </c>
      <c r="AM923" t="s">
        <v>251</v>
      </c>
      <c r="AN923" t="s">
        <v>252</v>
      </c>
      <c r="AO923" t="s">
        <v>1471</v>
      </c>
      <c r="AP923" t="s">
        <v>74</v>
      </c>
      <c r="AQ923" t="s">
        <v>74</v>
      </c>
      <c r="AR923" t="s">
        <v>1472</v>
      </c>
      <c r="AS923" t="s">
        <v>1473</v>
      </c>
      <c r="AT923" t="s">
        <v>17098</v>
      </c>
      <c r="AU923">
        <v>2014</v>
      </c>
      <c r="AV923">
        <v>90</v>
      </c>
      <c r="AW923" t="s">
        <v>74</v>
      </c>
      <c r="AX923" t="s">
        <v>74</v>
      </c>
      <c r="AY923" t="s">
        <v>74</v>
      </c>
      <c r="AZ923" t="s">
        <v>74</v>
      </c>
      <c r="BA923" t="s">
        <v>74</v>
      </c>
      <c r="BB923">
        <v>143</v>
      </c>
      <c r="BC923">
        <v>157</v>
      </c>
      <c r="BD923" t="s">
        <v>74</v>
      </c>
      <c r="BE923" t="s">
        <v>17136</v>
      </c>
      <c r="BF923" t="str">
        <f>HYPERLINK("http://dx.doi.org/10.1016/j.quascirev.2014.02.021","http://dx.doi.org/10.1016/j.quascirev.2014.02.021")</f>
        <v>http://dx.doi.org/10.1016/j.quascirev.2014.02.021</v>
      </c>
      <c r="BG923" t="s">
        <v>74</v>
      </c>
      <c r="BH923" t="s">
        <v>74</v>
      </c>
      <c r="BI923">
        <v>15</v>
      </c>
      <c r="BJ923" t="s">
        <v>1427</v>
      </c>
      <c r="BK923" t="s">
        <v>102</v>
      </c>
      <c r="BL923" t="s">
        <v>1428</v>
      </c>
      <c r="BM923" t="s">
        <v>17137</v>
      </c>
      <c r="BN923" t="s">
        <v>74</v>
      </c>
      <c r="BO923" t="s">
        <v>74</v>
      </c>
      <c r="BP923" t="s">
        <v>74</v>
      </c>
      <c r="BQ923" t="s">
        <v>74</v>
      </c>
      <c r="BR923" t="s">
        <v>105</v>
      </c>
      <c r="BS923" t="s">
        <v>17138</v>
      </c>
      <c r="BT923" t="str">
        <f>HYPERLINK("https%3A%2F%2Fwww.webofscience.com%2Fwos%2Fwoscc%2Ffull-record%2FWOS:000336466800011","View Full Record in Web of Science")</f>
        <v>View Full Record in Web of Science</v>
      </c>
    </row>
    <row r="924" spans="1:72" x14ac:dyDescent="0.15">
      <c r="A924" t="s">
        <v>72</v>
      </c>
      <c r="B924" t="s">
        <v>17139</v>
      </c>
      <c r="C924" t="s">
        <v>74</v>
      </c>
      <c r="D924" t="s">
        <v>74</v>
      </c>
      <c r="E924" t="s">
        <v>74</v>
      </c>
      <c r="F924" t="s">
        <v>17140</v>
      </c>
      <c r="G924" t="s">
        <v>74</v>
      </c>
      <c r="H924" t="s">
        <v>74</v>
      </c>
      <c r="I924" t="s">
        <v>17141</v>
      </c>
      <c r="J924" t="s">
        <v>17142</v>
      </c>
      <c r="K924" t="s">
        <v>74</v>
      </c>
      <c r="L924" t="s">
        <v>74</v>
      </c>
      <c r="M924" t="s">
        <v>78</v>
      </c>
      <c r="N924" t="s">
        <v>79</v>
      </c>
      <c r="O924" t="s">
        <v>74</v>
      </c>
      <c r="P924" t="s">
        <v>74</v>
      </c>
      <c r="Q924" t="s">
        <v>74</v>
      </c>
      <c r="R924" t="s">
        <v>74</v>
      </c>
      <c r="S924" t="s">
        <v>74</v>
      </c>
      <c r="T924" t="s">
        <v>17143</v>
      </c>
      <c r="U924" t="s">
        <v>17144</v>
      </c>
      <c r="V924" t="s">
        <v>17145</v>
      </c>
      <c r="W924" t="s">
        <v>17146</v>
      </c>
      <c r="X924" t="s">
        <v>17147</v>
      </c>
      <c r="Y924" t="s">
        <v>17148</v>
      </c>
      <c r="Z924" t="s">
        <v>17149</v>
      </c>
      <c r="AA924" t="s">
        <v>17150</v>
      </c>
      <c r="AB924" t="s">
        <v>17151</v>
      </c>
      <c r="AC924" t="s">
        <v>17152</v>
      </c>
      <c r="AD924" t="s">
        <v>17153</v>
      </c>
      <c r="AE924" t="s">
        <v>17154</v>
      </c>
      <c r="AF924" t="s">
        <v>74</v>
      </c>
      <c r="AG924">
        <v>70</v>
      </c>
      <c r="AH924">
        <v>29</v>
      </c>
      <c r="AI924">
        <v>31</v>
      </c>
      <c r="AJ924">
        <v>0</v>
      </c>
      <c r="AK924">
        <v>62</v>
      </c>
      <c r="AL924" t="s">
        <v>601</v>
      </c>
      <c r="AM924" t="s">
        <v>251</v>
      </c>
      <c r="AN924" t="s">
        <v>602</v>
      </c>
      <c r="AO924" t="s">
        <v>17155</v>
      </c>
      <c r="AP924" t="s">
        <v>17156</v>
      </c>
      <c r="AQ924" t="s">
        <v>74</v>
      </c>
      <c r="AR924" t="s">
        <v>17157</v>
      </c>
      <c r="AS924" t="s">
        <v>17158</v>
      </c>
      <c r="AT924" t="s">
        <v>17098</v>
      </c>
      <c r="AU924">
        <v>2014</v>
      </c>
      <c r="AV924">
        <v>104</v>
      </c>
      <c r="AW924" t="s">
        <v>74</v>
      </c>
      <c r="AX924" t="s">
        <v>74</v>
      </c>
      <c r="AY924" t="s">
        <v>74</v>
      </c>
      <c r="AZ924" t="s">
        <v>74</v>
      </c>
      <c r="BA924" t="s">
        <v>74</v>
      </c>
      <c r="BB924">
        <v>204</v>
      </c>
      <c r="BC924">
        <v>212</v>
      </c>
      <c r="BD924" t="s">
        <v>74</v>
      </c>
      <c r="BE924" t="s">
        <v>17159</v>
      </c>
      <c r="BF924" t="str">
        <f>HYPERLINK("http://dx.doi.org/10.1016/j.carbpol.2014.01.034","http://dx.doi.org/10.1016/j.carbpol.2014.01.034")</f>
        <v>http://dx.doi.org/10.1016/j.carbpol.2014.01.034</v>
      </c>
      <c r="BG924" t="s">
        <v>74</v>
      </c>
      <c r="BH924" t="s">
        <v>74</v>
      </c>
      <c r="BI924">
        <v>9</v>
      </c>
      <c r="BJ924" t="s">
        <v>17160</v>
      </c>
      <c r="BK924" t="s">
        <v>102</v>
      </c>
      <c r="BL924" t="s">
        <v>17161</v>
      </c>
      <c r="BM924" t="s">
        <v>17162</v>
      </c>
      <c r="BN924">
        <v>24607179</v>
      </c>
      <c r="BO924" t="s">
        <v>74</v>
      </c>
      <c r="BP924" t="s">
        <v>74</v>
      </c>
      <c r="BQ924" t="s">
        <v>74</v>
      </c>
      <c r="BR924" t="s">
        <v>105</v>
      </c>
      <c r="BS924" t="s">
        <v>17163</v>
      </c>
      <c r="BT924" t="str">
        <f>HYPERLINK("https%3A%2F%2Fwww.webofscience.com%2Fwos%2Fwoscc%2Ffull-record%2FWOS:000333787700028","View Full Record in Web of Science")</f>
        <v>View Full Record in Web of Science</v>
      </c>
    </row>
    <row r="925" spans="1:72" x14ac:dyDescent="0.15">
      <c r="A925" t="s">
        <v>72</v>
      </c>
      <c r="B925" t="s">
        <v>17164</v>
      </c>
      <c r="C925" t="s">
        <v>74</v>
      </c>
      <c r="D925" t="s">
        <v>74</v>
      </c>
      <c r="E925" t="s">
        <v>74</v>
      </c>
      <c r="F925" t="s">
        <v>17165</v>
      </c>
      <c r="G925" t="s">
        <v>74</v>
      </c>
      <c r="H925" t="s">
        <v>74</v>
      </c>
      <c r="I925" t="s">
        <v>17166</v>
      </c>
      <c r="J925" t="s">
        <v>1329</v>
      </c>
      <c r="K925" t="s">
        <v>74</v>
      </c>
      <c r="L925" t="s">
        <v>74</v>
      </c>
      <c r="M925" t="s">
        <v>78</v>
      </c>
      <c r="N925" t="s">
        <v>79</v>
      </c>
      <c r="O925" t="s">
        <v>74</v>
      </c>
      <c r="P925" t="s">
        <v>74</v>
      </c>
      <c r="Q925" t="s">
        <v>74</v>
      </c>
      <c r="R925" t="s">
        <v>74</v>
      </c>
      <c r="S925" t="s">
        <v>74</v>
      </c>
      <c r="T925" t="s">
        <v>74</v>
      </c>
      <c r="U925" t="s">
        <v>17167</v>
      </c>
      <c r="V925" t="s">
        <v>17168</v>
      </c>
      <c r="W925" t="s">
        <v>17169</v>
      </c>
      <c r="X925" t="s">
        <v>17170</v>
      </c>
      <c r="Y925" t="s">
        <v>17171</v>
      </c>
      <c r="Z925" t="s">
        <v>17172</v>
      </c>
      <c r="AA925" t="s">
        <v>17173</v>
      </c>
      <c r="AB925" t="s">
        <v>17174</v>
      </c>
      <c r="AC925" t="s">
        <v>17175</v>
      </c>
      <c r="AD925" t="s">
        <v>17176</v>
      </c>
      <c r="AE925" t="s">
        <v>17177</v>
      </c>
      <c r="AF925" t="s">
        <v>74</v>
      </c>
      <c r="AG925">
        <v>65</v>
      </c>
      <c r="AH925">
        <v>28</v>
      </c>
      <c r="AI925">
        <v>28</v>
      </c>
      <c r="AJ925">
        <v>1</v>
      </c>
      <c r="AK925">
        <v>45</v>
      </c>
      <c r="AL925" t="s">
        <v>250</v>
      </c>
      <c r="AM925" t="s">
        <v>251</v>
      </c>
      <c r="AN925" t="s">
        <v>252</v>
      </c>
      <c r="AO925" t="s">
        <v>1341</v>
      </c>
      <c r="AP925" t="s">
        <v>1342</v>
      </c>
      <c r="AQ925" t="s">
        <v>74</v>
      </c>
      <c r="AR925" t="s">
        <v>1343</v>
      </c>
      <c r="AS925" t="s">
        <v>1344</v>
      </c>
      <c r="AT925" t="s">
        <v>17098</v>
      </c>
      <c r="AU925">
        <v>2014</v>
      </c>
      <c r="AV925">
        <v>131</v>
      </c>
      <c r="AW925" t="s">
        <v>74</v>
      </c>
      <c r="AX925" t="s">
        <v>74</v>
      </c>
      <c r="AY925" t="s">
        <v>74</v>
      </c>
      <c r="AZ925" t="s">
        <v>74</v>
      </c>
      <c r="BA925" t="s">
        <v>74</v>
      </c>
      <c r="BB925">
        <v>1</v>
      </c>
      <c r="BC925">
        <v>12</v>
      </c>
      <c r="BD925" t="s">
        <v>74</v>
      </c>
      <c r="BE925" t="s">
        <v>17178</v>
      </c>
      <c r="BF925" t="str">
        <f>HYPERLINK("http://dx.doi.org/10.1016/j.gca.2014.01.035","http://dx.doi.org/10.1016/j.gca.2014.01.035")</f>
        <v>http://dx.doi.org/10.1016/j.gca.2014.01.035</v>
      </c>
      <c r="BG925" t="s">
        <v>74</v>
      </c>
      <c r="BH925" t="s">
        <v>74</v>
      </c>
      <c r="BI925">
        <v>12</v>
      </c>
      <c r="BJ925" t="s">
        <v>425</v>
      </c>
      <c r="BK925" t="s">
        <v>102</v>
      </c>
      <c r="BL925" t="s">
        <v>425</v>
      </c>
      <c r="BM925" t="s">
        <v>17179</v>
      </c>
      <c r="BN925" t="s">
        <v>74</v>
      </c>
      <c r="BO925" t="s">
        <v>74</v>
      </c>
      <c r="BP925" t="s">
        <v>74</v>
      </c>
      <c r="BQ925" t="s">
        <v>74</v>
      </c>
      <c r="BR925" t="s">
        <v>105</v>
      </c>
      <c r="BS925" t="s">
        <v>17180</v>
      </c>
      <c r="BT925" t="str">
        <f>HYPERLINK("https%3A%2F%2Fwww.webofscience.com%2Fwos%2Fwoscc%2Ffull-record%2FWOS:000333330100001","View Full Record in Web of Science")</f>
        <v>View Full Record in Web of Science</v>
      </c>
    </row>
    <row r="926" spans="1:72" x14ac:dyDescent="0.15">
      <c r="A926" t="s">
        <v>72</v>
      </c>
      <c r="B926" t="s">
        <v>17181</v>
      </c>
      <c r="C926" t="s">
        <v>74</v>
      </c>
      <c r="D926" t="s">
        <v>74</v>
      </c>
      <c r="E926" t="s">
        <v>74</v>
      </c>
      <c r="F926" t="s">
        <v>17182</v>
      </c>
      <c r="G926" t="s">
        <v>74</v>
      </c>
      <c r="H926" t="s">
        <v>74</v>
      </c>
      <c r="I926" t="s">
        <v>17183</v>
      </c>
      <c r="J926" t="s">
        <v>1194</v>
      </c>
      <c r="K926" t="s">
        <v>74</v>
      </c>
      <c r="L926" t="s">
        <v>74</v>
      </c>
      <c r="M926" t="s">
        <v>78</v>
      </c>
      <c r="N926" t="s">
        <v>79</v>
      </c>
      <c r="O926" t="s">
        <v>74</v>
      </c>
      <c r="P926" t="s">
        <v>74</v>
      </c>
      <c r="Q926" t="s">
        <v>74</v>
      </c>
      <c r="R926" t="s">
        <v>74</v>
      </c>
      <c r="S926" t="s">
        <v>74</v>
      </c>
      <c r="T926" t="s">
        <v>17184</v>
      </c>
      <c r="U926" t="s">
        <v>17185</v>
      </c>
      <c r="V926" t="s">
        <v>17186</v>
      </c>
      <c r="W926" t="s">
        <v>17187</v>
      </c>
      <c r="X926" t="s">
        <v>17188</v>
      </c>
      <c r="Y926" t="s">
        <v>17189</v>
      </c>
      <c r="Z926" t="s">
        <v>17190</v>
      </c>
      <c r="AA926" t="s">
        <v>17191</v>
      </c>
      <c r="AB926" t="s">
        <v>17192</v>
      </c>
      <c r="AC926" t="s">
        <v>17193</v>
      </c>
      <c r="AD926" t="s">
        <v>17194</v>
      </c>
      <c r="AE926" t="s">
        <v>17195</v>
      </c>
      <c r="AF926" t="s">
        <v>74</v>
      </c>
      <c r="AG926">
        <v>84</v>
      </c>
      <c r="AH926">
        <v>98</v>
      </c>
      <c r="AI926">
        <v>102</v>
      </c>
      <c r="AJ926">
        <v>1</v>
      </c>
      <c r="AK926">
        <v>53</v>
      </c>
      <c r="AL926" t="s">
        <v>1207</v>
      </c>
      <c r="AM926" t="s">
        <v>332</v>
      </c>
      <c r="AN926" t="s">
        <v>1208</v>
      </c>
      <c r="AO926" t="s">
        <v>1209</v>
      </c>
      <c r="AP926" t="s">
        <v>16825</v>
      </c>
      <c r="AQ926" t="s">
        <v>74</v>
      </c>
      <c r="AR926" t="s">
        <v>1210</v>
      </c>
      <c r="AS926" t="s">
        <v>1211</v>
      </c>
      <c r="AT926" t="s">
        <v>17098</v>
      </c>
      <c r="AU926">
        <v>2014</v>
      </c>
      <c r="AV926">
        <v>111</v>
      </c>
      <c r="AW926">
        <v>15</v>
      </c>
      <c r="AX926" t="s">
        <v>74</v>
      </c>
      <c r="AY926" t="s">
        <v>74</v>
      </c>
      <c r="AZ926" t="s">
        <v>74</v>
      </c>
      <c r="BA926" t="s">
        <v>74</v>
      </c>
      <c r="BB926">
        <v>5634</v>
      </c>
      <c r="BC926">
        <v>5639</v>
      </c>
      <c r="BD926" t="s">
        <v>74</v>
      </c>
      <c r="BE926" t="s">
        <v>17196</v>
      </c>
      <c r="BF926" t="str">
        <f>HYPERLINK("http://dx.doi.org/10.1073/pnas.1321437111","http://dx.doi.org/10.1073/pnas.1321437111")</f>
        <v>http://dx.doi.org/10.1073/pnas.1321437111</v>
      </c>
      <c r="BG926" t="s">
        <v>74</v>
      </c>
      <c r="BH926" t="s">
        <v>74</v>
      </c>
      <c r="BI926">
        <v>6</v>
      </c>
      <c r="BJ926" t="s">
        <v>660</v>
      </c>
      <c r="BK926" t="s">
        <v>102</v>
      </c>
      <c r="BL926" t="s">
        <v>661</v>
      </c>
      <c r="BM926" t="s">
        <v>17197</v>
      </c>
      <c r="BN926">
        <v>24616489</v>
      </c>
      <c r="BO926" t="s">
        <v>17198</v>
      </c>
      <c r="BP926" t="s">
        <v>74</v>
      </c>
      <c r="BQ926" t="s">
        <v>74</v>
      </c>
      <c r="BR926" t="s">
        <v>105</v>
      </c>
      <c r="BS926" t="s">
        <v>17199</v>
      </c>
      <c r="BT926" t="str">
        <f>HYPERLINK("https%3A%2F%2Fwww.webofscience.com%2Fwos%2Fwoscc%2Ffull-record%2FWOS:000334288600051","View Full Record in Web of Science")</f>
        <v>View Full Record in Web of Science</v>
      </c>
    </row>
    <row r="927" spans="1:72" x14ac:dyDescent="0.15">
      <c r="A927" t="s">
        <v>72</v>
      </c>
      <c r="B927" t="s">
        <v>11068</v>
      </c>
      <c r="C927" t="s">
        <v>74</v>
      </c>
      <c r="D927" t="s">
        <v>74</v>
      </c>
      <c r="E927" t="s">
        <v>74</v>
      </c>
      <c r="F927" t="s">
        <v>11068</v>
      </c>
      <c r="G927" t="s">
        <v>74</v>
      </c>
      <c r="H927" t="s">
        <v>74</v>
      </c>
      <c r="I927" t="s">
        <v>17200</v>
      </c>
      <c r="J927" t="s">
        <v>1629</v>
      </c>
      <c r="K927" t="s">
        <v>74</v>
      </c>
      <c r="L927" t="s">
        <v>74</v>
      </c>
      <c r="M927" t="s">
        <v>78</v>
      </c>
      <c r="N927" t="s">
        <v>11070</v>
      </c>
      <c r="O927" t="s">
        <v>74</v>
      </c>
      <c r="P927" t="s">
        <v>74</v>
      </c>
      <c r="Q927" t="s">
        <v>74</v>
      </c>
      <c r="R927" t="s">
        <v>74</v>
      </c>
      <c r="S927" t="s">
        <v>74</v>
      </c>
      <c r="T927" t="s">
        <v>74</v>
      </c>
      <c r="U927" t="s">
        <v>74</v>
      </c>
      <c r="V927" t="s">
        <v>74</v>
      </c>
      <c r="W927" t="s">
        <v>74</v>
      </c>
      <c r="X927" t="s">
        <v>74</v>
      </c>
      <c r="Y927" t="s">
        <v>74</v>
      </c>
      <c r="Z927" t="s">
        <v>74</v>
      </c>
      <c r="AA927" t="s">
        <v>74</v>
      </c>
      <c r="AB927" t="s">
        <v>74</v>
      </c>
      <c r="AC927" t="s">
        <v>74</v>
      </c>
      <c r="AD927" t="s">
        <v>74</v>
      </c>
      <c r="AE927" t="s">
        <v>74</v>
      </c>
      <c r="AF927" t="s">
        <v>74</v>
      </c>
      <c r="AG927">
        <v>0</v>
      </c>
      <c r="AH927">
        <v>0</v>
      </c>
      <c r="AI927">
        <v>0</v>
      </c>
      <c r="AJ927">
        <v>0</v>
      </c>
      <c r="AK927">
        <v>1</v>
      </c>
      <c r="AL927" t="s">
        <v>1641</v>
      </c>
      <c r="AM927" t="s">
        <v>332</v>
      </c>
      <c r="AN927" t="s">
        <v>1642</v>
      </c>
      <c r="AO927" t="s">
        <v>1643</v>
      </c>
      <c r="AP927" t="s">
        <v>1644</v>
      </c>
      <c r="AQ927" t="s">
        <v>74</v>
      </c>
      <c r="AR927" t="s">
        <v>1629</v>
      </c>
      <c r="AS927" t="s">
        <v>1645</v>
      </c>
      <c r="AT927" t="s">
        <v>17201</v>
      </c>
      <c r="AU927">
        <v>2014</v>
      </c>
      <c r="AV927">
        <v>344</v>
      </c>
      <c r="AW927">
        <v>6180</v>
      </c>
      <c r="AX927" t="s">
        <v>74</v>
      </c>
      <c r="AY927" t="s">
        <v>74</v>
      </c>
      <c r="AZ927" t="s">
        <v>74</v>
      </c>
      <c r="BA927" t="s">
        <v>74</v>
      </c>
      <c r="BB927">
        <v>134</v>
      </c>
      <c r="BC927">
        <v>134</v>
      </c>
      <c r="BD927" t="s">
        <v>74</v>
      </c>
      <c r="BE927" t="s">
        <v>74</v>
      </c>
      <c r="BF927" t="s">
        <v>74</v>
      </c>
      <c r="BG927" t="s">
        <v>74</v>
      </c>
      <c r="BH927" t="s">
        <v>74</v>
      </c>
      <c r="BI927">
        <v>1</v>
      </c>
      <c r="BJ927" t="s">
        <v>660</v>
      </c>
      <c r="BK927" t="s">
        <v>102</v>
      </c>
      <c r="BL927" t="s">
        <v>661</v>
      </c>
      <c r="BM927" t="s">
        <v>17202</v>
      </c>
      <c r="BN927" t="s">
        <v>74</v>
      </c>
      <c r="BO927" t="s">
        <v>74</v>
      </c>
      <c r="BP927" t="s">
        <v>74</v>
      </c>
      <c r="BQ927" t="s">
        <v>74</v>
      </c>
      <c r="BR927" t="s">
        <v>105</v>
      </c>
      <c r="BS927" t="s">
        <v>17203</v>
      </c>
      <c r="BT927" t="str">
        <f>HYPERLINK("https%3A%2F%2Fwww.webofscience.com%2Fwos%2Fwoscc%2Ffull-record%2FWOS:000334096300004","View Full Record in Web of Science")</f>
        <v>View Full Record in Web of Science</v>
      </c>
    </row>
    <row r="928" spans="1:72" x14ac:dyDescent="0.15">
      <c r="A928" t="s">
        <v>72</v>
      </c>
      <c r="B928" t="s">
        <v>17204</v>
      </c>
      <c r="C928" t="s">
        <v>74</v>
      </c>
      <c r="D928" t="s">
        <v>74</v>
      </c>
      <c r="E928" t="s">
        <v>74</v>
      </c>
      <c r="F928" t="s">
        <v>17205</v>
      </c>
      <c r="G928" t="s">
        <v>74</v>
      </c>
      <c r="H928" t="s">
        <v>74</v>
      </c>
      <c r="I928" t="s">
        <v>17206</v>
      </c>
      <c r="J928" t="s">
        <v>1083</v>
      </c>
      <c r="K928" t="s">
        <v>74</v>
      </c>
      <c r="L928" t="s">
        <v>74</v>
      </c>
      <c r="M928" t="s">
        <v>78</v>
      </c>
      <c r="N928" t="s">
        <v>79</v>
      </c>
      <c r="O928" t="s">
        <v>74</v>
      </c>
      <c r="P928" t="s">
        <v>74</v>
      </c>
      <c r="Q928" t="s">
        <v>74</v>
      </c>
      <c r="R928" t="s">
        <v>74</v>
      </c>
      <c r="S928" t="s">
        <v>74</v>
      </c>
      <c r="T928" t="s">
        <v>74</v>
      </c>
      <c r="U928" t="s">
        <v>17207</v>
      </c>
      <c r="V928" t="s">
        <v>17208</v>
      </c>
      <c r="W928" t="s">
        <v>17209</v>
      </c>
      <c r="X928" t="s">
        <v>17210</v>
      </c>
      <c r="Y928" t="s">
        <v>17211</v>
      </c>
      <c r="Z928" t="s">
        <v>17212</v>
      </c>
      <c r="AA928" t="s">
        <v>17213</v>
      </c>
      <c r="AB928" t="s">
        <v>17214</v>
      </c>
      <c r="AC928" t="s">
        <v>17215</v>
      </c>
      <c r="AD928" t="s">
        <v>17215</v>
      </c>
      <c r="AE928" t="s">
        <v>17216</v>
      </c>
      <c r="AF928" t="s">
        <v>74</v>
      </c>
      <c r="AG928">
        <v>74</v>
      </c>
      <c r="AH928">
        <v>22</v>
      </c>
      <c r="AI928">
        <v>24</v>
      </c>
      <c r="AJ928">
        <v>0</v>
      </c>
      <c r="AK928">
        <v>27</v>
      </c>
      <c r="AL928" t="s">
        <v>1090</v>
      </c>
      <c r="AM928" t="s">
        <v>1091</v>
      </c>
      <c r="AN928" t="s">
        <v>1092</v>
      </c>
      <c r="AO928" t="s">
        <v>1093</v>
      </c>
      <c r="AP928" t="s">
        <v>74</v>
      </c>
      <c r="AQ928" t="s">
        <v>74</v>
      </c>
      <c r="AR928" t="s">
        <v>1083</v>
      </c>
      <c r="AS928" t="s">
        <v>1094</v>
      </c>
      <c r="AT928" t="s">
        <v>17217</v>
      </c>
      <c r="AU928">
        <v>2014</v>
      </c>
      <c r="AV928">
        <v>9</v>
      </c>
      <c r="AW928">
        <v>4</v>
      </c>
      <c r="AX928" t="s">
        <v>74</v>
      </c>
      <c r="AY928" t="s">
        <v>74</v>
      </c>
      <c r="AZ928" t="s">
        <v>74</v>
      </c>
      <c r="BA928" t="s">
        <v>74</v>
      </c>
      <c r="BB928" t="s">
        <v>74</v>
      </c>
      <c r="BC928" t="s">
        <v>74</v>
      </c>
      <c r="BD928" t="s">
        <v>17218</v>
      </c>
      <c r="BE928" t="s">
        <v>17219</v>
      </c>
      <c r="BF928" t="str">
        <f>HYPERLINK("http://dx.doi.org/10.1371/journal.pone.0093068","http://dx.doi.org/10.1371/journal.pone.0093068")</f>
        <v>http://dx.doi.org/10.1371/journal.pone.0093068</v>
      </c>
      <c r="BG928" t="s">
        <v>74</v>
      </c>
      <c r="BH928" t="s">
        <v>74</v>
      </c>
      <c r="BI928">
        <v>21</v>
      </c>
      <c r="BJ928" t="s">
        <v>660</v>
      </c>
      <c r="BK928" t="s">
        <v>102</v>
      </c>
      <c r="BL928" t="s">
        <v>661</v>
      </c>
      <c r="BM928" t="s">
        <v>17220</v>
      </c>
      <c r="BN928">
        <v>24722344</v>
      </c>
      <c r="BO928" t="s">
        <v>17221</v>
      </c>
      <c r="BP928" t="s">
        <v>74</v>
      </c>
      <c r="BQ928" t="s">
        <v>74</v>
      </c>
      <c r="BR928" t="s">
        <v>105</v>
      </c>
      <c r="BS928" t="s">
        <v>17222</v>
      </c>
      <c r="BT928" t="str">
        <f>HYPERLINK("https%3A%2F%2Fwww.webofscience.com%2Fwos%2Fwoscc%2Ffull-record%2FWOS:000336909100013","View Full Record in Web of Science")</f>
        <v>View Full Record in Web of Science</v>
      </c>
    </row>
    <row r="929" spans="1:72" x14ac:dyDescent="0.15">
      <c r="A929" t="s">
        <v>72</v>
      </c>
      <c r="B929" t="s">
        <v>17223</v>
      </c>
      <c r="C929" t="s">
        <v>74</v>
      </c>
      <c r="D929" t="s">
        <v>74</v>
      </c>
      <c r="E929" t="s">
        <v>74</v>
      </c>
      <c r="F929" t="s">
        <v>17224</v>
      </c>
      <c r="G929" t="s">
        <v>74</v>
      </c>
      <c r="H929" t="s">
        <v>74</v>
      </c>
      <c r="I929" t="s">
        <v>17225</v>
      </c>
      <c r="J929" t="s">
        <v>11288</v>
      </c>
      <c r="K929" t="s">
        <v>74</v>
      </c>
      <c r="L929" t="s">
        <v>74</v>
      </c>
      <c r="M929" t="s">
        <v>78</v>
      </c>
      <c r="N929" t="s">
        <v>79</v>
      </c>
      <c r="O929" t="s">
        <v>74</v>
      </c>
      <c r="P929" t="s">
        <v>74</v>
      </c>
      <c r="Q929" t="s">
        <v>74</v>
      </c>
      <c r="R929" t="s">
        <v>74</v>
      </c>
      <c r="S929" t="s">
        <v>74</v>
      </c>
      <c r="T929" t="s">
        <v>17226</v>
      </c>
      <c r="U929" t="s">
        <v>17227</v>
      </c>
      <c r="V929" t="s">
        <v>17228</v>
      </c>
      <c r="W929" t="s">
        <v>17229</v>
      </c>
      <c r="X929" t="s">
        <v>17230</v>
      </c>
      <c r="Y929" t="s">
        <v>17231</v>
      </c>
      <c r="Z929" t="s">
        <v>17232</v>
      </c>
      <c r="AA929" t="s">
        <v>17233</v>
      </c>
      <c r="AB929" t="s">
        <v>74</v>
      </c>
      <c r="AC929" t="s">
        <v>17234</v>
      </c>
      <c r="AD929" t="s">
        <v>17235</v>
      </c>
      <c r="AE929" t="s">
        <v>17236</v>
      </c>
      <c r="AF929" t="s">
        <v>74</v>
      </c>
      <c r="AG929">
        <v>86</v>
      </c>
      <c r="AH929">
        <v>22</v>
      </c>
      <c r="AI929">
        <v>24</v>
      </c>
      <c r="AJ929">
        <v>1</v>
      </c>
      <c r="AK929">
        <v>47</v>
      </c>
      <c r="AL929" t="s">
        <v>123</v>
      </c>
      <c r="AM929" t="s">
        <v>124</v>
      </c>
      <c r="AN929" t="s">
        <v>125</v>
      </c>
      <c r="AO929" t="s">
        <v>11300</v>
      </c>
      <c r="AP929" t="s">
        <v>11301</v>
      </c>
      <c r="AQ929" t="s">
        <v>74</v>
      </c>
      <c r="AR929" t="s">
        <v>11288</v>
      </c>
      <c r="AS929" t="s">
        <v>11302</v>
      </c>
      <c r="AT929" t="s">
        <v>17217</v>
      </c>
      <c r="AU929">
        <v>2014</v>
      </c>
      <c r="AV929">
        <v>539</v>
      </c>
      <c r="AW929">
        <v>1</v>
      </c>
      <c r="AX929" t="s">
        <v>74</v>
      </c>
      <c r="AY929" t="s">
        <v>74</v>
      </c>
      <c r="AZ929" t="s">
        <v>74</v>
      </c>
      <c r="BA929" t="s">
        <v>74</v>
      </c>
      <c r="BB929">
        <v>132</v>
      </c>
      <c r="BC929">
        <v>140</v>
      </c>
      <c r="BD929" t="s">
        <v>74</v>
      </c>
      <c r="BE929" t="s">
        <v>17237</v>
      </c>
      <c r="BF929" t="str">
        <f>HYPERLINK("http://dx.doi.org/10.1016/j.gene.2014.01.013","http://dx.doi.org/10.1016/j.gene.2014.01.013")</f>
        <v>http://dx.doi.org/10.1016/j.gene.2014.01.013</v>
      </c>
      <c r="BG929" t="s">
        <v>74</v>
      </c>
      <c r="BH929" t="s">
        <v>74</v>
      </c>
      <c r="BI929">
        <v>9</v>
      </c>
      <c r="BJ929" t="s">
        <v>5954</v>
      </c>
      <c r="BK929" t="s">
        <v>102</v>
      </c>
      <c r="BL929" t="s">
        <v>5954</v>
      </c>
      <c r="BM929" t="s">
        <v>17238</v>
      </c>
      <c r="BN929">
        <v>24502990</v>
      </c>
      <c r="BO929" t="s">
        <v>74</v>
      </c>
      <c r="BP929" t="s">
        <v>74</v>
      </c>
      <c r="BQ929" t="s">
        <v>74</v>
      </c>
      <c r="BR929" t="s">
        <v>105</v>
      </c>
      <c r="BS929" t="s">
        <v>17239</v>
      </c>
      <c r="BT929" t="str">
        <f>HYPERLINK("https%3A%2F%2Fwww.webofscience.com%2Fwos%2Fwoscc%2Ffull-record%2FWOS:000333496500019","View Full Record in Web of Science")</f>
        <v>View Full Record in Web of Science</v>
      </c>
    </row>
    <row r="930" spans="1:72" x14ac:dyDescent="0.15">
      <c r="A930" t="s">
        <v>72</v>
      </c>
      <c r="B930" t="s">
        <v>17240</v>
      </c>
      <c r="C930" t="s">
        <v>74</v>
      </c>
      <c r="D930" t="s">
        <v>74</v>
      </c>
      <c r="E930" t="s">
        <v>74</v>
      </c>
      <c r="F930" t="s">
        <v>17241</v>
      </c>
      <c r="G930" t="s">
        <v>74</v>
      </c>
      <c r="H930" t="s">
        <v>74</v>
      </c>
      <c r="I930" t="s">
        <v>17242</v>
      </c>
      <c r="J930" t="s">
        <v>992</v>
      </c>
      <c r="K930" t="s">
        <v>74</v>
      </c>
      <c r="L930" t="s">
        <v>74</v>
      </c>
      <c r="M930" t="s">
        <v>78</v>
      </c>
      <c r="N930" t="s">
        <v>185</v>
      </c>
      <c r="O930" t="s">
        <v>74</v>
      </c>
      <c r="P930" t="s">
        <v>74</v>
      </c>
      <c r="Q930" t="s">
        <v>74</v>
      </c>
      <c r="R930" t="s">
        <v>74</v>
      </c>
      <c r="S930" t="s">
        <v>74</v>
      </c>
      <c r="T930" t="s">
        <v>17243</v>
      </c>
      <c r="U930" t="s">
        <v>17244</v>
      </c>
      <c r="V930" t="s">
        <v>17245</v>
      </c>
      <c r="W930" t="s">
        <v>17246</v>
      </c>
      <c r="X930" t="s">
        <v>17247</v>
      </c>
      <c r="Y930" t="s">
        <v>17248</v>
      </c>
      <c r="Z930" t="s">
        <v>9845</v>
      </c>
      <c r="AA930" t="s">
        <v>17249</v>
      </c>
      <c r="AB930" t="s">
        <v>17250</v>
      </c>
      <c r="AC930" t="s">
        <v>17251</v>
      </c>
      <c r="AD930" t="s">
        <v>17252</v>
      </c>
      <c r="AE930" t="s">
        <v>17253</v>
      </c>
      <c r="AF930" t="s">
        <v>74</v>
      </c>
      <c r="AG930">
        <v>83</v>
      </c>
      <c r="AH930">
        <v>80</v>
      </c>
      <c r="AI930">
        <v>88</v>
      </c>
      <c r="AJ930">
        <v>5</v>
      </c>
      <c r="AK930">
        <v>36</v>
      </c>
      <c r="AL930" t="s">
        <v>1005</v>
      </c>
      <c r="AM930" t="s">
        <v>1006</v>
      </c>
      <c r="AN930" t="s">
        <v>1007</v>
      </c>
      <c r="AO930" t="s">
        <v>74</v>
      </c>
      <c r="AP930" t="s">
        <v>1008</v>
      </c>
      <c r="AQ930" t="s">
        <v>74</v>
      </c>
      <c r="AR930" t="s">
        <v>1009</v>
      </c>
      <c r="AS930" t="s">
        <v>1010</v>
      </c>
      <c r="AT930" t="s">
        <v>17254</v>
      </c>
      <c r="AU930">
        <v>2014</v>
      </c>
      <c r="AV930">
        <v>5</v>
      </c>
      <c r="AW930" t="s">
        <v>74</v>
      </c>
      <c r="AX930" t="s">
        <v>74</v>
      </c>
      <c r="AY930" t="s">
        <v>74</v>
      </c>
      <c r="AZ930" t="s">
        <v>74</v>
      </c>
      <c r="BA930" t="s">
        <v>74</v>
      </c>
      <c r="BB930" t="s">
        <v>74</v>
      </c>
      <c r="BC930" t="s">
        <v>74</v>
      </c>
      <c r="BD930">
        <v>154</v>
      </c>
      <c r="BE930" t="s">
        <v>17255</v>
      </c>
      <c r="BF930" t="str">
        <f>HYPERLINK("http://dx.doi.org/10.3389/fmicb.2014.00154","http://dx.doi.org/10.3389/fmicb.2014.00154")</f>
        <v>http://dx.doi.org/10.3389/fmicb.2014.00154</v>
      </c>
      <c r="BG930" t="s">
        <v>74</v>
      </c>
      <c r="BH930" t="s">
        <v>74</v>
      </c>
      <c r="BI930">
        <v>10</v>
      </c>
      <c r="BJ930" t="s">
        <v>1012</v>
      </c>
      <c r="BK930" t="s">
        <v>102</v>
      </c>
      <c r="BL930" t="s">
        <v>1012</v>
      </c>
      <c r="BM930" t="s">
        <v>17256</v>
      </c>
      <c r="BN930">
        <v>24782842</v>
      </c>
      <c r="BO930" t="s">
        <v>1099</v>
      </c>
      <c r="BP930" t="s">
        <v>74</v>
      </c>
      <c r="BQ930" t="s">
        <v>74</v>
      </c>
      <c r="BR930" t="s">
        <v>105</v>
      </c>
      <c r="BS930" t="s">
        <v>17257</v>
      </c>
      <c r="BT930" t="str">
        <f>HYPERLINK("https%3A%2F%2Fwww.webofscience.com%2Fwos%2Fwoscc%2Ffull-record%2FWOS:000334278300001","View Full Record in Web of Science")</f>
        <v>View Full Record in Web of Science</v>
      </c>
    </row>
    <row r="931" spans="1:72" x14ac:dyDescent="0.15">
      <c r="A931" t="s">
        <v>72</v>
      </c>
      <c r="B931" t="s">
        <v>17258</v>
      </c>
      <c r="C931" t="s">
        <v>74</v>
      </c>
      <c r="D931" t="s">
        <v>74</v>
      </c>
      <c r="E931" t="s">
        <v>74</v>
      </c>
      <c r="F931" t="s">
        <v>17259</v>
      </c>
      <c r="G931" t="s">
        <v>74</v>
      </c>
      <c r="H931" t="s">
        <v>74</v>
      </c>
      <c r="I931" t="s">
        <v>17260</v>
      </c>
      <c r="J931" t="s">
        <v>1083</v>
      </c>
      <c r="K931" t="s">
        <v>74</v>
      </c>
      <c r="L931" t="s">
        <v>74</v>
      </c>
      <c r="M931" t="s">
        <v>78</v>
      </c>
      <c r="N931" t="s">
        <v>79</v>
      </c>
      <c r="O931" t="s">
        <v>74</v>
      </c>
      <c r="P931" t="s">
        <v>74</v>
      </c>
      <c r="Q931" t="s">
        <v>74</v>
      </c>
      <c r="R931" t="s">
        <v>74</v>
      </c>
      <c r="S931" t="s">
        <v>74</v>
      </c>
      <c r="T931" t="s">
        <v>74</v>
      </c>
      <c r="U931" t="s">
        <v>17261</v>
      </c>
      <c r="V931" t="s">
        <v>17262</v>
      </c>
      <c r="W931" t="s">
        <v>17263</v>
      </c>
      <c r="X931" t="s">
        <v>17264</v>
      </c>
      <c r="Y931" t="s">
        <v>17265</v>
      </c>
      <c r="Z931" t="s">
        <v>17266</v>
      </c>
      <c r="AA931" t="s">
        <v>74</v>
      </c>
      <c r="AB931" t="s">
        <v>17267</v>
      </c>
      <c r="AC931" t="s">
        <v>17268</v>
      </c>
      <c r="AD931" t="s">
        <v>17268</v>
      </c>
      <c r="AE931" t="s">
        <v>17269</v>
      </c>
      <c r="AF931" t="s">
        <v>74</v>
      </c>
      <c r="AG931">
        <v>50</v>
      </c>
      <c r="AH931">
        <v>61</v>
      </c>
      <c r="AI931">
        <v>73</v>
      </c>
      <c r="AJ931">
        <v>1</v>
      </c>
      <c r="AK931">
        <v>71</v>
      </c>
      <c r="AL931" t="s">
        <v>1090</v>
      </c>
      <c r="AM931" t="s">
        <v>1091</v>
      </c>
      <c r="AN931" t="s">
        <v>1092</v>
      </c>
      <c r="AO931" t="s">
        <v>1093</v>
      </c>
      <c r="AP931" t="s">
        <v>74</v>
      </c>
      <c r="AQ931" t="s">
        <v>74</v>
      </c>
      <c r="AR931" t="s">
        <v>1083</v>
      </c>
      <c r="AS931" t="s">
        <v>1094</v>
      </c>
      <c r="AT931" t="s">
        <v>17254</v>
      </c>
      <c r="AU931">
        <v>2014</v>
      </c>
      <c r="AV931">
        <v>9</v>
      </c>
      <c r="AW931">
        <v>4</v>
      </c>
      <c r="AX931" t="s">
        <v>74</v>
      </c>
      <c r="AY931" t="s">
        <v>74</v>
      </c>
      <c r="AZ931" t="s">
        <v>74</v>
      </c>
      <c r="BA931" t="s">
        <v>74</v>
      </c>
      <c r="BB931" t="s">
        <v>74</v>
      </c>
      <c r="BC931" t="s">
        <v>74</v>
      </c>
      <c r="BD931" t="s">
        <v>17270</v>
      </c>
      <c r="BE931" t="s">
        <v>17271</v>
      </c>
      <c r="BF931" t="str">
        <f>HYPERLINK("http://dx.doi.org/10.1371/journal.pone.0093578","http://dx.doi.org/10.1371/journal.pone.0093578")</f>
        <v>http://dx.doi.org/10.1371/journal.pone.0093578</v>
      </c>
      <c r="BG931" t="s">
        <v>74</v>
      </c>
      <c r="BH931" t="s">
        <v>74</v>
      </c>
      <c r="BI931">
        <v>11</v>
      </c>
      <c r="BJ931" t="s">
        <v>660</v>
      </c>
      <c r="BK931" t="s">
        <v>102</v>
      </c>
      <c r="BL931" t="s">
        <v>661</v>
      </c>
      <c r="BM931" t="s">
        <v>17272</v>
      </c>
      <c r="BN931">
        <v>24718589</v>
      </c>
      <c r="BO931" t="s">
        <v>8437</v>
      </c>
      <c r="BP931" t="s">
        <v>74</v>
      </c>
      <c r="BQ931" t="s">
        <v>74</v>
      </c>
      <c r="BR931" t="s">
        <v>105</v>
      </c>
      <c r="BS931" t="s">
        <v>17273</v>
      </c>
      <c r="BT931" t="str">
        <f>HYPERLINK("https%3A%2F%2Fwww.webofscience.com%2Fwos%2Fwoscc%2Ffull-record%2FWOS:000334339000035","View Full Record in Web of Science")</f>
        <v>View Full Record in Web of Science</v>
      </c>
    </row>
    <row r="932" spans="1:72" x14ac:dyDescent="0.15">
      <c r="A932" t="s">
        <v>72</v>
      </c>
      <c r="B932" t="s">
        <v>17274</v>
      </c>
      <c r="C932" t="s">
        <v>74</v>
      </c>
      <c r="D932" t="s">
        <v>74</v>
      </c>
      <c r="E932" t="s">
        <v>74</v>
      </c>
      <c r="F932" t="s">
        <v>17275</v>
      </c>
      <c r="G932" t="s">
        <v>74</v>
      </c>
      <c r="H932" t="s">
        <v>74</v>
      </c>
      <c r="I932" t="s">
        <v>17276</v>
      </c>
      <c r="J932" t="s">
        <v>1236</v>
      </c>
      <c r="K932" t="s">
        <v>74</v>
      </c>
      <c r="L932" t="s">
        <v>74</v>
      </c>
      <c r="M932" t="s">
        <v>78</v>
      </c>
      <c r="N932" t="s">
        <v>79</v>
      </c>
      <c r="O932" t="s">
        <v>74</v>
      </c>
      <c r="P932" t="s">
        <v>74</v>
      </c>
      <c r="Q932" t="s">
        <v>74</v>
      </c>
      <c r="R932" t="s">
        <v>74</v>
      </c>
      <c r="S932" t="s">
        <v>74</v>
      </c>
      <c r="T932" t="s">
        <v>17277</v>
      </c>
      <c r="U932" t="s">
        <v>17278</v>
      </c>
      <c r="V932" t="s">
        <v>17279</v>
      </c>
      <c r="W932" t="s">
        <v>17280</v>
      </c>
      <c r="X932" t="s">
        <v>17281</v>
      </c>
      <c r="Y932" t="s">
        <v>17282</v>
      </c>
      <c r="Z932" t="s">
        <v>17283</v>
      </c>
      <c r="AA932" t="s">
        <v>17284</v>
      </c>
      <c r="AB932" t="s">
        <v>17285</v>
      </c>
      <c r="AC932" t="s">
        <v>17286</v>
      </c>
      <c r="AD932" t="s">
        <v>17287</v>
      </c>
      <c r="AE932" t="s">
        <v>17288</v>
      </c>
      <c r="AF932" t="s">
        <v>74</v>
      </c>
      <c r="AG932">
        <v>16</v>
      </c>
      <c r="AH932">
        <v>1</v>
      </c>
      <c r="AI932">
        <v>1</v>
      </c>
      <c r="AJ932">
        <v>0</v>
      </c>
      <c r="AK932">
        <v>8</v>
      </c>
      <c r="AL932" t="s">
        <v>1246</v>
      </c>
      <c r="AM932" t="s">
        <v>1247</v>
      </c>
      <c r="AN932" t="s">
        <v>1248</v>
      </c>
      <c r="AO932" t="s">
        <v>1249</v>
      </c>
      <c r="AP932" t="s">
        <v>1250</v>
      </c>
      <c r="AQ932" t="s">
        <v>74</v>
      </c>
      <c r="AR932" t="s">
        <v>1236</v>
      </c>
      <c r="AS932" t="s">
        <v>1251</v>
      </c>
      <c r="AT932" t="s">
        <v>17289</v>
      </c>
      <c r="AU932">
        <v>2014</v>
      </c>
      <c r="AV932">
        <v>3786</v>
      </c>
      <c r="AW932">
        <v>1</v>
      </c>
      <c r="AX932" t="s">
        <v>74</v>
      </c>
      <c r="AY932" t="s">
        <v>74</v>
      </c>
      <c r="AZ932" t="s">
        <v>74</v>
      </c>
      <c r="BA932" t="s">
        <v>74</v>
      </c>
      <c r="BB932">
        <v>1</v>
      </c>
      <c r="BC932">
        <v>43</v>
      </c>
      <c r="BD932" t="s">
        <v>74</v>
      </c>
      <c r="BE932" t="s">
        <v>74</v>
      </c>
      <c r="BF932" t="s">
        <v>74</v>
      </c>
      <c r="BG932" t="s">
        <v>74</v>
      </c>
      <c r="BH932" t="s">
        <v>74</v>
      </c>
      <c r="BI932">
        <v>43</v>
      </c>
      <c r="BJ932" t="s">
        <v>1254</v>
      </c>
      <c r="BK932" t="s">
        <v>102</v>
      </c>
      <c r="BL932" t="s">
        <v>1254</v>
      </c>
      <c r="BM932" t="s">
        <v>17290</v>
      </c>
      <c r="BN932">
        <v>24869520</v>
      </c>
      <c r="BO932" t="s">
        <v>74</v>
      </c>
      <c r="BP932" t="s">
        <v>74</v>
      </c>
      <c r="BQ932" t="s">
        <v>74</v>
      </c>
      <c r="BR932" t="s">
        <v>105</v>
      </c>
      <c r="BS932" t="s">
        <v>17291</v>
      </c>
      <c r="BT932" t="str">
        <f>HYPERLINK("https%3A%2F%2Fwww.webofscience.com%2Fwos%2Fwoscc%2Ffull-record%2FWOS:000333892900001","View Full Record in Web of Science")</f>
        <v>View Full Record in Web of Science</v>
      </c>
    </row>
    <row r="933" spans="1:72" x14ac:dyDescent="0.15">
      <c r="A933" t="s">
        <v>72</v>
      </c>
      <c r="B933" t="s">
        <v>17292</v>
      </c>
      <c r="C933" t="s">
        <v>74</v>
      </c>
      <c r="D933" t="s">
        <v>74</v>
      </c>
      <c r="E933" t="s">
        <v>74</v>
      </c>
      <c r="F933" t="s">
        <v>17293</v>
      </c>
      <c r="G933" t="s">
        <v>74</v>
      </c>
      <c r="H933" t="s">
        <v>74</v>
      </c>
      <c r="I933" t="s">
        <v>17294</v>
      </c>
      <c r="J933" t="s">
        <v>17083</v>
      </c>
      <c r="K933" t="s">
        <v>74</v>
      </c>
      <c r="L933" t="s">
        <v>74</v>
      </c>
      <c r="M933" t="s">
        <v>78</v>
      </c>
      <c r="N933" t="s">
        <v>79</v>
      </c>
      <c r="O933" t="s">
        <v>74</v>
      </c>
      <c r="P933" t="s">
        <v>74</v>
      </c>
      <c r="Q933" t="s">
        <v>74</v>
      </c>
      <c r="R933" t="s">
        <v>74</v>
      </c>
      <c r="S933" t="s">
        <v>74</v>
      </c>
      <c r="T933" t="s">
        <v>17295</v>
      </c>
      <c r="U933" t="s">
        <v>17296</v>
      </c>
      <c r="V933" t="s">
        <v>17297</v>
      </c>
      <c r="W933" t="s">
        <v>17298</v>
      </c>
      <c r="X933" t="s">
        <v>17299</v>
      </c>
      <c r="Y933" t="s">
        <v>4969</v>
      </c>
      <c r="Z933" t="s">
        <v>4970</v>
      </c>
      <c r="AA933" t="s">
        <v>17300</v>
      </c>
      <c r="AB933" t="s">
        <v>17301</v>
      </c>
      <c r="AC933" t="s">
        <v>17302</v>
      </c>
      <c r="AD933" t="s">
        <v>17303</v>
      </c>
      <c r="AE933" t="s">
        <v>17304</v>
      </c>
      <c r="AF933" t="s">
        <v>74</v>
      </c>
      <c r="AG933">
        <v>63</v>
      </c>
      <c r="AH933">
        <v>28</v>
      </c>
      <c r="AI933">
        <v>29</v>
      </c>
      <c r="AJ933">
        <v>1</v>
      </c>
      <c r="AK933">
        <v>6</v>
      </c>
      <c r="AL933" t="s">
        <v>17093</v>
      </c>
      <c r="AM933" t="s">
        <v>4975</v>
      </c>
      <c r="AN933" t="s">
        <v>17094</v>
      </c>
      <c r="AO933" t="s">
        <v>17095</v>
      </c>
      <c r="AP933" t="s">
        <v>74</v>
      </c>
      <c r="AQ933" t="s">
        <v>74</v>
      </c>
      <c r="AR933" t="s">
        <v>17096</v>
      </c>
      <c r="AS933" t="s">
        <v>17097</v>
      </c>
      <c r="AT933" t="s">
        <v>17305</v>
      </c>
      <c r="AU933">
        <v>2014</v>
      </c>
      <c r="AV933">
        <v>79</v>
      </c>
      <c r="AW933" t="s">
        <v>74</v>
      </c>
      <c r="AX933" t="s">
        <v>74</v>
      </c>
      <c r="AY933" t="s">
        <v>74</v>
      </c>
      <c r="AZ933" t="s">
        <v>74</v>
      </c>
      <c r="BA933" t="s">
        <v>74</v>
      </c>
      <c r="BB933">
        <v>1</v>
      </c>
      <c r="BC933">
        <v>19</v>
      </c>
      <c r="BD933" t="s">
        <v>74</v>
      </c>
      <c r="BE933" t="s">
        <v>17306</v>
      </c>
      <c r="BF933" t="str">
        <f>HYPERLINK("http://dx.doi.org/10.5852/ejt.2014.79","http://dx.doi.org/10.5852/ejt.2014.79")</f>
        <v>http://dx.doi.org/10.5852/ejt.2014.79</v>
      </c>
      <c r="BG933" t="s">
        <v>74</v>
      </c>
      <c r="BH933" t="s">
        <v>74</v>
      </c>
      <c r="BI933">
        <v>19</v>
      </c>
      <c r="BJ933" t="s">
        <v>17100</v>
      </c>
      <c r="BK933" t="s">
        <v>102</v>
      </c>
      <c r="BL933" t="s">
        <v>17100</v>
      </c>
      <c r="BM933" t="s">
        <v>17307</v>
      </c>
      <c r="BN933" t="s">
        <v>74</v>
      </c>
      <c r="BO933" t="s">
        <v>1898</v>
      </c>
      <c r="BP933" t="s">
        <v>74</v>
      </c>
      <c r="BQ933" t="s">
        <v>74</v>
      </c>
      <c r="BR933" t="s">
        <v>105</v>
      </c>
      <c r="BS933" t="s">
        <v>17308</v>
      </c>
      <c r="BT933" t="str">
        <f>HYPERLINK("https%3A%2F%2Fwww.webofscience.com%2Fwos%2Fwoscc%2Ffull-record%2FWOS:000348899300001","View Full Record in Web of Science")</f>
        <v>View Full Record in Web of Science</v>
      </c>
    </row>
    <row r="934" spans="1:72" x14ac:dyDescent="0.15">
      <c r="A934" t="s">
        <v>72</v>
      </c>
      <c r="B934" t="s">
        <v>17309</v>
      </c>
      <c r="C934" t="s">
        <v>74</v>
      </c>
      <c r="D934" t="s">
        <v>74</v>
      </c>
      <c r="E934" t="s">
        <v>74</v>
      </c>
      <c r="F934" t="s">
        <v>17310</v>
      </c>
      <c r="G934" t="s">
        <v>74</v>
      </c>
      <c r="H934" t="s">
        <v>74</v>
      </c>
      <c r="I934" t="s">
        <v>17311</v>
      </c>
      <c r="J934" t="s">
        <v>3598</v>
      </c>
      <c r="K934" t="s">
        <v>74</v>
      </c>
      <c r="L934" t="s">
        <v>74</v>
      </c>
      <c r="M934" t="s">
        <v>78</v>
      </c>
      <c r="N934" t="s">
        <v>79</v>
      </c>
      <c r="O934" t="s">
        <v>74</v>
      </c>
      <c r="P934" t="s">
        <v>74</v>
      </c>
      <c r="Q934" t="s">
        <v>74</v>
      </c>
      <c r="R934" t="s">
        <v>74</v>
      </c>
      <c r="S934" t="s">
        <v>74</v>
      </c>
      <c r="T934" t="s">
        <v>17312</v>
      </c>
      <c r="U934" t="s">
        <v>17313</v>
      </c>
      <c r="V934" t="s">
        <v>17314</v>
      </c>
      <c r="W934" t="s">
        <v>17315</v>
      </c>
      <c r="X934" t="s">
        <v>17316</v>
      </c>
      <c r="Y934" t="s">
        <v>3604</v>
      </c>
      <c r="Z934" t="s">
        <v>3605</v>
      </c>
      <c r="AA934" t="s">
        <v>17317</v>
      </c>
      <c r="AB934" t="s">
        <v>17318</v>
      </c>
      <c r="AC934" t="s">
        <v>17319</v>
      </c>
      <c r="AD934" t="s">
        <v>17320</v>
      </c>
      <c r="AE934" t="s">
        <v>17321</v>
      </c>
      <c r="AF934" t="s">
        <v>74</v>
      </c>
      <c r="AG934">
        <v>60</v>
      </c>
      <c r="AH934">
        <v>14</v>
      </c>
      <c r="AI934">
        <v>14</v>
      </c>
      <c r="AJ934">
        <v>1</v>
      </c>
      <c r="AK934">
        <v>54</v>
      </c>
      <c r="AL934" t="s">
        <v>1764</v>
      </c>
      <c r="AM934" t="s">
        <v>1765</v>
      </c>
      <c r="AN934" t="s">
        <v>3608</v>
      </c>
      <c r="AO934" t="s">
        <v>3609</v>
      </c>
      <c r="AP934" t="s">
        <v>3610</v>
      </c>
      <c r="AQ934" t="s">
        <v>74</v>
      </c>
      <c r="AR934" t="s">
        <v>3611</v>
      </c>
      <c r="AS934" t="s">
        <v>3612</v>
      </c>
      <c r="AT934" t="s">
        <v>17322</v>
      </c>
      <c r="AU934">
        <v>2014</v>
      </c>
      <c r="AV934">
        <v>58</v>
      </c>
      <c r="AW934">
        <v>2</v>
      </c>
      <c r="AX934" t="s">
        <v>74</v>
      </c>
      <c r="AY934" t="s">
        <v>74</v>
      </c>
      <c r="AZ934" t="s">
        <v>74</v>
      </c>
      <c r="BA934" t="s">
        <v>74</v>
      </c>
      <c r="BB934">
        <v>148</v>
      </c>
      <c r="BC934">
        <v>159</v>
      </c>
      <c r="BD934" t="s">
        <v>74</v>
      </c>
      <c r="BE934" t="s">
        <v>17323</v>
      </c>
      <c r="BF934" t="str">
        <f>HYPERLINK("http://dx.doi.org/10.1080/07924259.2013.875950","http://dx.doi.org/10.1080/07924259.2013.875950")</f>
        <v>http://dx.doi.org/10.1080/07924259.2013.875950</v>
      </c>
      <c r="BG934" t="s">
        <v>74</v>
      </c>
      <c r="BH934" t="s">
        <v>74</v>
      </c>
      <c r="BI934">
        <v>12</v>
      </c>
      <c r="BJ934" t="s">
        <v>3614</v>
      </c>
      <c r="BK934" t="s">
        <v>102</v>
      </c>
      <c r="BL934" t="s">
        <v>3614</v>
      </c>
      <c r="BM934" t="s">
        <v>17324</v>
      </c>
      <c r="BN934" t="s">
        <v>74</v>
      </c>
      <c r="BO934" t="s">
        <v>3920</v>
      </c>
      <c r="BP934" t="s">
        <v>74</v>
      </c>
      <c r="BQ934" t="s">
        <v>74</v>
      </c>
      <c r="BR934" t="s">
        <v>105</v>
      </c>
      <c r="BS934" t="s">
        <v>17325</v>
      </c>
      <c r="BT934" t="str">
        <f>HYPERLINK("https%3A%2F%2Fwww.webofscience.com%2Fwos%2Fwoscc%2Ffull-record%2FWOS:000334170000009","View Full Record in Web of Science")</f>
        <v>View Full Record in Web of Science</v>
      </c>
    </row>
    <row r="935" spans="1:72" x14ac:dyDescent="0.15">
      <c r="A935" t="s">
        <v>72</v>
      </c>
      <c r="B935" t="s">
        <v>17326</v>
      </c>
      <c r="C935" t="s">
        <v>74</v>
      </c>
      <c r="D935" t="s">
        <v>74</v>
      </c>
      <c r="E935" t="s">
        <v>74</v>
      </c>
      <c r="F935" t="s">
        <v>17327</v>
      </c>
      <c r="G935" t="s">
        <v>74</v>
      </c>
      <c r="H935" t="s">
        <v>74</v>
      </c>
      <c r="I935" t="s">
        <v>17328</v>
      </c>
      <c r="J935" t="s">
        <v>1083</v>
      </c>
      <c r="K935" t="s">
        <v>74</v>
      </c>
      <c r="L935" t="s">
        <v>74</v>
      </c>
      <c r="M935" t="s">
        <v>78</v>
      </c>
      <c r="N935" t="s">
        <v>79</v>
      </c>
      <c r="O935" t="s">
        <v>74</v>
      </c>
      <c r="P935" t="s">
        <v>74</v>
      </c>
      <c r="Q935" t="s">
        <v>74</v>
      </c>
      <c r="R935" t="s">
        <v>74</v>
      </c>
      <c r="S935" t="s">
        <v>74</v>
      </c>
      <c r="T935" t="s">
        <v>74</v>
      </c>
      <c r="U935" t="s">
        <v>17329</v>
      </c>
      <c r="V935" t="s">
        <v>17330</v>
      </c>
      <c r="W935" t="s">
        <v>17331</v>
      </c>
      <c r="X935" t="s">
        <v>17332</v>
      </c>
      <c r="Y935" t="s">
        <v>17333</v>
      </c>
      <c r="Z935" t="s">
        <v>17334</v>
      </c>
      <c r="AA935" t="s">
        <v>17335</v>
      </c>
      <c r="AB935" t="s">
        <v>17336</v>
      </c>
      <c r="AC935" t="s">
        <v>17337</v>
      </c>
      <c r="AD935" t="s">
        <v>17338</v>
      </c>
      <c r="AE935" t="s">
        <v>17339</v>
      </c>
      <c r="AF935" t="s">
        <v>74</v>
      </c>
      <c r="AG935">
        <v>57</v>
      </c>
      <c r="AH935">
        <v>47</v>
      </c>
      <c r="AI935">
        <v>52</v>
      </c>
      <c r="AJ935">
        <v>1</v>
      </c>
      <c r="AK935">
        <v>84</v>
      </c>
      <c r="AL935" t="s">
        <v>1090</v>
      </c>
      <c r="AM935" t="s">
        <v>1091</v>
      </c>
      <c r="AN935" t="s">
        <v>1092</v>
      </c>
      <c r="AO935" t="s">
        <v>1093</v>
      </c>
      <c r="AP935" t="s">
        <v>74</v>
      </c>
      <c r="AQ935" t="s">
        <v>74</v>
      </c>
      <c r="AR935" t="s">
        <v>1083</v>
      </c>
      <c r="AS935" t="s">
        <v>1094</v>
      </c>
      <c r="AT935" t="s">
        <v>17340</v>
      </c>
      <c r="AU935">
        <v>2014</v>
      </c>
      <c r="AV935">
        <v>9</v>
      </c>
      <c r="AW935">
        <v>4</v>
      </c>
      <c r="AX935" t="s">
        <v>74</v>
      </c>
      <c r="AY935" t="s">
        <v>74</v>
      </c>
      <c r="AZ935" t="s">
        <v>74</v>
      </c>
      <c r="BA935" t="s">
        <v>74</v>
      </c>
      <c r="BB935" t="s">
        <v>74</v>
      </c>
      <c r="BC935" t="s">
        <v>74</v>
      </c>
      <c r="BD935" t="s">
        <v>17341</v>
      </c>
      <c r="BE935" t="s">
        <v>17342</v>
      </c>
      <c r="BF935" t="str">
        <f>HYPERLINK("http://dx.doi.org/10.1371/journal.pone.0090583","http://dx.doi.org/10.1371/journal.pone.0090583")</f>
        <v>http://dx.doi.org/10.1371/journal.pone.0090583</v>
      </c>
      <c r="BG935" t="s">
        <v>74</v>
      </c>
      <c r="BH935" t="s">
        <v>74</v>
      </c>
      <c r="BI935">
        <v>13</v>
      </c>
      <c r="BJ935" t="s">
        <v>660</v>
      </c>
      <c r="BK935" t="s">
        <v>102</v>
      </c>
      <c r="BL935" t="s">
        <v>661</v>
      </c>
      <c r="BM935" t="s">
        <v>17343</v>
      </c>
      <c r="BN935">
        <v>24694734</v>
      </c>
      <c r="BO935" t="s">
        <v>17344</v>
      </c>
      <c r="BP935" t="s">
        <v>74</v>
      </c>
      <c r="BQ935" t="s">
        <v>74</v>
      </c>
      <c r="BR935" t="s">
        <v>105</v>
      </c>
      <c r="BS935" t="s">
        <v>17345</v>
      </c>
      <c r="BT935" t="str">
        <f>HYPERLINK("https%3A%2F%2Fwww.webofscience.com%2Fwos%2Fwoscc%2Ffull-record%2FWOS:000334103000009","View Full Record in Web of Science")</f>
        <v>View Full Record in Web of Science</v>
      </c>
    </row>
    <row r="936" spans="1:72" x14ac:dyDescent="0.15">
      <c r="A936" t="s">
        <v>72</v>
      </c>
      <c r="B936" t="s">
        <v>17346</v>
      </c>
      <c r="C936" t="s">
        <v>74</v>
      </c>
      <c r="D936" t="s">
        <v>74</v>
      </c>
      <c r="E936" t="s">
        <v>74</v>
      </c>
      <c r="F936" t="s">
        <v>17347</v>
      </c>
      <c r="G936" t="s">
        <v>74</v>
      </c>
      <c r="H936" t="s">
        <v>74</v>
      </c>
      <c r="I936" t="s">
        <v>17348</v>
      </c>
      <c r="J936" t="s">
        <v>17349</v>
      </c>
      <c r="K936" t="s">
        <v>74</v>
      </c>
      <c r="L936" t="s">
        <v>74</v>
      </c>
      <c r="M936" t="s">
        <v>78</v>
      </c>
      <c r="N936" t="s">
        <v>79</v>
      </c>
      <c r="O936" t="s">
        <v>74</v>
      </c>
      <c r="P936" t="s">
        <v>74</v>
      </c>
      <c r="Q936" t="s">
        <v>74</v>
      </c>
      <c r="R936" t="s">
        <v>74</v>
      </c>
      <c r="S936" t="s">
        <v>74</v>
      </c>
      <c r="T936" t="s">
        <v>17350</v>
      </c>
      <c r="U936" t="s">
        <v>17351</v>
      </c>
      <c r="V936" t="s">
        <v>17352</v>
      </c>
      <c r="W936" t="s">
        <v>17353</v>
      </c>
      <c r="X936" t="s">
        <v>17354</v>
      </c>
      <c r="Y936" t="s">
        <v>17355</v>
      </c>
      <c r="Z936" t="s">
        <v>17356</v>
      </c>
      <c r="AA936" t="s">
        <v>74</v>
      </c>
      <c r="AB936" t="s">
        <v>17357</v>
      </c>
      <c r="AC936" t="s">
        <v>17358</v>
      </c>
      <c r="AD936" t="s">
        <v>17358</v>
      </c>
      <c r="AE936" t="s">
        <v>17359</v>
      </c>
      <c r="AF936" t="s">
        <v>74</v>
      </c>
      <c r="AG936">
        <v>51</v>
      </c>
      <c r="AH936">
        <v>6</v>
      </c>
      <c r="AI936">
        <v>7</v>
      </c>
      <c r="AJ936">
        <v>0</v>
      </c>
      <c r="AK936">
        <v>25</v>
      </c>
      <c r="AL936" t="s">
        <v>14255</v>
      </c>
      <c r="AM936" t="s">
        <v>14256</v>
      </c>
      <c r="AN936" t="s">
        <v>14257</v>
      </c>
      <c r="AO936" t="s">
        <v>17360</v>
      </c>
      <c r="AP936" t="s">
        <v>17361</v>
      </c>
      <c r="AQ936" t="s">
        <v>74</v>
      </c>
      <c r="AR936" t="s">
        <v>17362</v>
      </c>
      <c r="AS936" t="s">
        <v>17363</v>
      </c>
      <c r="AT936" t="s">
        <v>17364</v>
      </c>
      <c r="AU936">
        <v>2014</v>
      </c>
      <c r="AV936">
        <v>27</v>
      </c>
      <c r="AW936">
        <v>2</v>
      </c>
      <c r="AX936" t="s">
        <v>74</v>
      </c>
      <c r="AY936" t="s">
        <v>74</v>
      </c>
      <c r="AZ936" t="s">
        <v>74</v>
      </c>
      <c r="BA936" t="s">
        <v>74</v>
      </c>
      <c r="BB936">
        <v>73</v>
      </c>
      <c r="BC936">
        <v>81</v>
      </c>
      <c r="BD936" t="s">
        <v>74</v>
      </c>
      <c r="BE936" t="s">
        <v>17365</v>
      </c>
      <c r="BF936" t="str">
        <f>HYPERLINK("http://dx.doi.org/10.1051/alr/2014007","http://dx.doi.org/10.1051/alr/2014007")</f>
        <v>http://dx.doi.org/10.1051/alr/2014007</v>
      </c>
      <c r="BG936" t="s">
        <v>74</v>
      </c>
      <c r="BH936" t="s">
        <v>74</v>
      </c>
      <c r="BI936">
        <v>9</v>
      </c>
      <c r="BJ936" t="s">
        <v>9758</v>
      </c>
      <c r="BK936" t="s">
        <v>102</v>
      </c>
      <c r="BL936" t="s">
        <v>9758</v>
      </c>
      <c r="BM936" t="s">
        <v>17366</v>
      </c>
      <c r="BN936" t="s">
        <v>74</v>
      </c>
      <c r="BO936" t="s">
        <v>12652</v>
      </c>
      <c r="BP936" t="s">
        <v>74</v>
      </c>
      <c r="BQ936" t="s">
        <v>74</v>
      </c>
      <c r="BR936" t="s">
        <v>105</v>
      </c>
      <c r="BS936" t="s">
        <v>17367</v>
      </c>
      <c r="BT936" t="str">
        <f>HYPERLINK("https%3A%2F%2Fwww.webofscience.com%2Fwos%2Fwoscc%2Ffull-record%2FWOS:000346356100003","View Full Record in Web of Science")</f>
        <v>View Full Record in Web of Science</v>
      </c>
    </row>
    <row r="937" spans="1:72" x14ac:dyDescent="0.15">
      <c r="A937" t="s">
        <v>72</v>
      </c>
      <c r="B937" t="s">
        <v>17368</v>
      </c>
      <c r="C937" t="s">
        <v>74</v>
      </c>
      <c r="D937" t="s">
        <v>74</v>
      </c>
      <c r="E937" t="s">
        <v>74</v>
      </c>
      <c r="F937" t="s">
        <v>17369</v>
      </c>
      <c r="G937" t="s">
        <v>74</v>
      </c>
      <c r="H937" t="s">
        <v>74</v>
      </c>
      <c r="I937" t="s">
        <v>17370</v>
      </c>
      <c r="J937" t="s">
        <v>17371</v>
      </c>
      <c r="K937" t="s">
        <v>74</v>
      </c>
      <c r="L937" t="s">
        <v>74</v>
      </c>
      <c r="M937" t="s">
        <v>78</v>
      </c>
      <c r="N937" t="s">
        <v>79</v>
      </c>
      <c r="O937" t="s">
        <v>74</v>
      </c>
      <c r="P937" t="s">
        <v>74</v>
      </c>
      <c r="Q937" t="s">
        <v>74</v>
      </c>
      <c r="R937" t="s">
        <v>74</v>
      </c>
      <c r="S937" t="s">
        <v>74</v>
      </c>
      <c r="T937" t="s">
        <v>17372</v>
      </c>
      <c r="U937" t="s">
        <v>17373</v>
      </c>
      <c r="V937" t="s">
        <v>17374</v>
      </c>
      <c r="W937" t="s">
        <v>17375</v>
      </c>
      <c r="X937" t="s">
        <v>17376</v>
      </c>
      <c r="Y937" t="s">
        <v>17377</v>
      </c>
      <c r="Z937" t="s">
        <v>17378</v>
      </c>
      <c r="AA937" t="s">
        <v>74</v>
      </c>
      <c r="AB937" t="s">
        <v>17379</v>
      </c>
      <c r="AC937" t="s">
        <v>17380</v>
      </c>
      <c r="AD937" t="s">
        <v>17381</v>
      </c>
      <c r="AE937" t="s">
        <v>17382</v>
      </c>
      <c r="AF937" t="s">
        <v>74</v>
      </c>
      <c r="AG937">
        <v>25</v>
      </c>
      <c r="AH937">
        <v>8</v>
      </c>
      <c r="AI937">
        <v>8</v>
      </c>
      <c r="AJ937">
        <v>0</v>
      </c>
      <c r="AK937">
        <v>21</v>
      </c>
      <c r="AL937" t="s">
        <v>2353</v>
      </c>
      <c r="AM937" t="s">
        <v>1293</v>
      </c>
      <c r="AN937" t="s">
        <v>5989</v>
      </c>
      <c r="AO937" t="s">
        <v>17383</v>
      </c>
      <c r="AP937" t="s">
        <v>17384</v>
      </c>
      <c r="AQ937" t="s">
        <v>74</v>
      </c>
      <c r="AR937" t="s">
        <v>17385</v>
      </c>
      <c r="AS937" t="s">
        <v>17386</v>
      </c>
      <c r="AT937" t="s">
        <v>17364</v>
      </c>
      <c r="AU937">
        <v>2014</v>
      </c>
      <c r="AV937">
        <v>12</v>
      </c>
      <c r="AW937">
        <v>1</v>
      </c>
      <c r="AX937" t="s">
        <v>74</v>
      </c>
      <c r="AY937" t="s">
        <v>74</v>
      </c>
      <c r="AZ937" t="s">
        <v>74</v>
      </c>
      <c r="BA937" t="s">
        <v>74</v>
      </c>
      <c r="BB937">
        <v>147</v>
      </c>
      <c r="BC937">
        <v>150</v>
      </c>
      <c r="BD937" t="s">
        <v>74</v>
      </c>
      <c r="BE937" t="s">
        <v>17387</v>
      </c>
      <c r="BF937" t="str">
        <f>HYPERLINK("http://dx.doi.org/10.1017/S1479262113000270","http://dx.doi.org/10.1017/S1479262113000270")</f>
        <v>http://dx.doi.org/10.1017/S1479262113000270</v>
      </c>
      <c r="BG937" t="s">
        <v>74</v>
      </c>
      <c r="BH937" t="s">
        <v>74</v>
      </c>
      <c r="BI937">
        <v>4</v>
      </c>
      <c r="BJ937" t="s">
        <v>17388</v>
      </c>
      <c r="BK937" t="s">
        <v>102</v>
      </c>
      <c r="BL937" t="s">
        <v>17388</v>
      </c>
      <c r="BM937" t="s">
        <v>17389</v>
      </c>
      <c r="BN937" t="s">
        <v>74</v>
      </c>
      <c r="BO937" t="s">
        <v>74</v>
      </c>
      <c r="BP937" t="s">
        <v>74</v>
      </c>
      <c r="BQ937" t="s">
        <v>74</v>
      </c>
      <c r="BR937" t="s">
        <v>105</v>
      </c>
      <c r="BS937" t="s">
        <v>17390</v>
      </c>
      <c r="BT937" t="str">
        <f>HYPERLINK("https%3A%2F%2Fwww.webofscience.com%2Fwos%2Fwoscc%2Ffull-record%2FWOS:000342666200017","View Full Record in Web of Science")</f>
        <v>View Full Record in Web of Science</v>
      </c>
    </row>
    <row r="938" spans="1:72" x14ac:dyDescent="0.15">
      <c r="A938" t="s">
        <v>72</v>
      </c>
      <c r="B938" t="s">
        <v>17391</v>
      </c>
      <c r="C938" t="s">
        <v>74</v>
      </c>
      <c r="D938" t="s">
        <v>74</v>
      </c>
      <c r="E938" t="s">
        <v>74</v>
      </c>
      <c r="F938" t="s">
        <v>17392</v>
      </c>
      <c r="G938" t="s">
        <v>74</v>
      </c>
      <c r="H938" t="s">
        <v>74</v>
      </c>
      <c r="I938" t="s">
        <v>17393</v>
      </c>
      <c r="J938" t="s">
        <v>6129</v>
      </c>
      <c r="K938" t="s">
        <v>74</v>
      </c>
      <c r="L938" t="s">
        <v>74</v>
      </c>
      <c r="M938" t="s">
        <v>78</v>
      </c>
      <c r="N938" t="s">
        <v>79</v>
      </c>
      <c r="O938" t="s">
        <v>74</v>
      </c>
      <c r="P938" t="s">
        <v>74</v>
      </c>
      <c r="Q938" t="s">
        <v>74</v>
      </c>
      <c r="R938" t="s">
        <v>74</v>
      </c>
      <c r="S938" t="s">
        <v>74</v>
      </c>
      <c r="T938" t="s">
        <v>17394</v>
      </c>
      <c r="U938" t="s">
        <v>17395</v>
      </c>
      <c r="V938" t="s">
        <v>17396</v>
      </c>
      <c r="W938" t="s">
        <v>17397</v>
      </c>
      <c r="X938" t="s">
        <v>17398</v>
      </c>
      <c r="Y938" t="s">
        <v>17399</v>
      </c>
      <c r="Z938" t="s">
        <v>17400</v>
      </c>
      <c r="AA938" t="s">
        <v>17401</v>
      </c>
      <c r="AB938" t="s">
        <v>17402</v>
      </c>
      <c r="AC938" t="s">
        <v>17403</v>
      </c>
      <c r="AD938" t="s">
        <v>2767</v>
      </c>
      <c r="AE938" t="s">
        <v>17404</v>
      </c>
      <c r="AF938" t="s">
        <v>74</v>
      </c>
      <c r="AG938">
        <v>38</v>
      </c>
      <c r="AH938">
        <v>4</v>
      </c>
      <c r="AI938">
        <v>4</v>
      </c>
      <c r="AJ938">
        <v>1</v>
      </c>
      <c r="AK938">
        <v>11</v>
      </c>
      <c r="AL938" t="s">
        <v>2353</v>
      </c>
      <c r="AM938" t="s">
        <v>576</v>
      </c>
      <c r="AN938" t="s">
        <v>2354</v>
      </c>
      <c r="AO938" t="s">
        <v>6139</v>
      </c>
      <c r="AP938" t="s">
        <v>6140</v>
      </c>
      <c r="AQ938" t="s">
        <v>74</v>
      </c>
      <c r="AR938" t="s">
        <v>6141</v>
      </c>
      <c r="AS938" t="s">
        <v>6142</v>
      </c>
      <c r="AT938" t="s">
        <v>17364</v>
      </c>
      <c r="AU938">
        <v>2014</v>
      </c>
      <c r="AV938">
        <v>26</v>
      </c>
      <c r="AW938">
        <v>2</v>
      </c>
      <c r="AX938" t="s">
        <v>74</v>
      </c>
      <c r="AY938" t="s">
        <v>74</v>
      </c>
      <c r="AZ938" t="s">
        <v>74</v>
      </c>
      <c r="BA938" t="s">
        <v>74</v>
      </c>
      <c r="BB938">
        <v>133</v>
      </c>
      <c r="BC938">
        <v>144</v>
      </c>
      <c r="BD938" t="s">
        <v>74</v>
      </c>
      <c r="BE938" t="s">
        <v>17405</v>
      </c>
      <c r="BF938" t="str">
        <f>HYPERLINK("http://dx.doi.org/10.1017/S0954102013000448","http://dx.doi.org/10.1017/S0954102013000448")</f>
        <v>http://dx.doi.org/10.1017/S0954102013000448</v>
      </c>
      <c r="BG938" t="s">
        <v>74</v>
      </c>
      <c r="BH938" t="s">
        <v>74</v>
      </c>
      <c r="BI938">
        <v>12</v>
      </c>
      <c r="BJ938" t="s">
        <v>6144</v>
      </c>
      <c r="BK938" t="s">
        <v>102</v>
      </c>
      <c r="BL938" t="s">
        <v>6145</v>
      </c>
      <c r="BM938" t="s">
        <v>17406</v>
      </c>
      <c r="BN938" t="s">
        <v>74</v>
      </c>
      <c r="BO938" t="s">
        <v>74</v>
      </c>
      <c r="BP938" t="s">
        <v>74</v>
      </c>
      <c r="BQ938" t="s">
        <v>74</v>
      </c>
      <c r="BR938" t="s">
        <v>105</v>
      </c>
      <c r="BS938" t="s">
        <v>17407</v>
      </c>
      <c r="BT938" t="str">
        <f>HYPERLINK("https%3A%2F%2Fwww.webofscience.com%2Fwos%2Fwoscc%2Ffull-record%2FWOS:000339375600004","View Full Record in Web of Science")</f>
        <v>View Full Record in Web of Science</v>
      </c>
    </row>
    <row r="939" spans="1:72" x14ac:dyDescent="0.15">
      <c r="A939" t="s">
        <v>72</v>
      </c>
      <c r="B939" t="s">
        <v>17408</v>
      </c>
      <c r="C939" t="s">
        <v>74</v>
      </c>
      <c r="D939" t="s">
        <v>74</v>
      </c>
      <c r="E939" t="s">
        <v>74</v>
      </c>
      <c r="F939" t="s">
        <v>17409</v>
      </c>
      <c r="G939" t="s">
        <v>74</v>
      </c>
      <c r="H939" t="s">
        <v>74</v>
      </c>
      <c r="I939" t="s">
        <v>17410</v>
      </c>
      <c r="J939" t="s">
        <v>6129</v>
      </c>
      <c r="K939" t="s">
        <v>74</v>
      </c>
      <c r="L939" t="s">
        <v>74</v>
      </c>
      <c r="M939" t="s">
        <v>78</v>
      </c>
      <c r="N939" t="s">
        <v>79</v>
      </c>
      <c r="O939" t="s">
        <v>74</v>
      </c>
      <c r="P939" t="s">
        <v>74</v>
      </c>
      <c r="Q939" t="s">
        <v>74</v>
      </c>
      <c r="R939" t="s">
        <v>74</v>
      </c>
      <c r="S939" t="s">
        <v>74</v>
      </c>
      <c r="T939" t="s">
        <v>17411</v>
      </c>
      <c r="U939" t="s">
        <v>17412</v>
      </c>
      <c r="V939" t="s">
        <v>17413</v>
      </c>
      <c r="W939" t="s">
        <v>17414</v>
      </c>
      <c r="X939" t="s">
        <v>17415</v>
      </c>
      <c r="Y939" t="s">
        <v>17416</v>
      </c>
      <c r="Z939" t="s">
        <v>17417</v>
      </c>
      <c r="AA939" t="s">
        <v>74</v>
      </c>
      <c r="AB939" t="s">
        <v>74</v>
      </c>
      <c r="AC939" t="s">
        <v>17418</v>
      </c>
      <c r="AD939" t="s">
        <v>17418</v>
      </c>
      <c r="AE939" t="s">
        <v>17419</v>
      </c>
      <c r="AF939" t="s">
        <v>74</v>
      </c>
      <c r="AG939">
        <v>41</v>
      </c>
      <c r="AH939">
        <v>17</v>
      </c>
      <c r="AI939">
        <v>17</v>
      </c>
      <c r="AJ939">
        <v>1</v>
      </c>
      <c r="AK939">
        <v>43</v>
      </c>
      <c r="AL939" t="s">
        <v>2353</v>
      </c>
      <c r="AM939" t="s">
        <v>576</v>
      </c>
      <c r="AN939" t="s">
        <v>2354</v>
      </c>
      <c r="AO939" t="s">
        <v>6139</v>
      </c>
      <c r="AP939" t="s">
        <v>6140</v>
      </c>
      <c r="AQ939" t="s">
        <v>74</v>
      </c>
      <c r="AR939" t="s">
        <v>6141</v>
      </c>
      <c r="AS939" t="s">
        <v>6142</v>
      </c>
      <c r="AT939" t="s">
        <v>17364</v>
      </c>
      <c r="AU939">
        <v>2014</v>
      </c>
      <c r="AV939">
        <v>26</v>
      </c>
      <c r="AW939">
        <v>2</v>
      </c>
      <c r="AX939" t="s">
        <v>74</v>
      </c>
      <c r="AY939" t="s">
        <v>74</v>
      </c>
      <c r="AZ939" t="s">
        <v>74</v>
      </c>
      <c r="BA939" t="s">
        <v>74</v>
      </c>
      <c r="BB939">
        <v>163</v>
      </c>
      <c r="BC939">
        <v>171</v>
      </c>
      <c r="BD939" t="s">
        <v>74</v>
      </c>
      <c r="BE939" t="s">
        <v>17420</v>
      </c>
      <c r="BF939" t="str">
        <f>HYPERLINK("http://dx.doi.org/10.1017/S0954102013000424","http://dx.doi.org/10.1017/S0954102013000424")</f>
        <v>http://dx.doi.org/10.1017/S0954102013000424</v>
      </c>
      <c r="BG939" t="s">
        <v>74</v>
      </c>
      <c r="BH939" t="s">
        <v>74</v>
      </c>
      <c r="BI939">
        <v>9</v>
      </c>
      <c r="BJ939" t="s">
        <v>6144</v>
      </c>
      <c r="BK939" t="s">
        <v>102</v>
      </c>
      <c r="BL939" t="s">
        <v>6145</v>
      </c>
      <c r="BM939" t="s">
        <v>17406</v>
      </c>
      <c r="BN939" t="s">
        <v>74</v>
      </c>
      <c r="BO939" t="s">
        <v>74</v>
      </c>
      <c r="BP939" t="s">
        <v>74</v>
      </c>
      <c r="BQ939" t="s">
        <v>74</v>
      </c>
      <c r="BR939" t="s">
        <v>105</v>
      </c>
      <c r="BS939" t="s">
        <v>17421</v>
      </c>
      <c r="BT939" t="str">
        <f>HYPERLINK("https%3A%2F%2Fwww.webofscience.com%2Fwos%2Fwoscc%2Ffull-record%2FWOS:000339375600007","View Full Record in Web of Science")</f>
        <v>View Full Record in Web of Science</v>
      </c>
    </row>
    <row r="940" spans="1:72" x14ac:dyDescent="0.15">
      <c r="A940" t="s">
        <v>72</v>
      </c>
      <c r="B940" t="s">
        <v>17422</v>
      </c>
      <c r="C940" t="s">
        <v>74</v>
      </c>
      <c r="D940" t="s">
        <v>74</v>
      </c>
      <c r="E940" t="s">
        <v>74</v>
      </c>
      <c r="F940" t="s">
        <v>17423</v>
      </c>
      <c r="G940" t="s">
        <v>74</v>
      </c>
      <c r="H940" t="s">
        <v>74</v>
      </c>
      <c r="I940" t="s">
        <v>17424</v>
      </c>
      <c r="J940" t="s">
        <v>6129</v>
      </c>
      <c r="K940" t="s">
        <v>74</v>
      </c>
      <c r="L940" t="s">
        <v>74</v>
      </c>
      <c r="M940" t="s">
        <v>78</v>
      </c>
      <c r="N940" t="s">
        <v>79</v>
      </c>
      <c r="O940" t="s">
        <v>74</v>
      </c>
      <c r="P940" t="s">
        <v>74</v>
      </c>
      <c r="Q940" t="s">
        <v>74</v>
      </c>
      <c r="R940" t="s">
        <v>74</v>
      </c>
      <c r="S940" t="s">
        <v>74</v>
      </c>
      <c r="T940" t="s">
        <v>17425</v>
      </c>
      <c r="U940" t="s">
        <v>17426</v>
      </c>
      <c r="V940" t="s">
        <v>17427</v>
      </c>
      <c r="W940" t="s">
        <v>17428</v>
      </c>
      <c r="X940" t="s">
        <v>17429</v>
      </c>
      <c r="Y940" t="s">
        <v>17430</v>
      </c>
      <c r="Z940" t="s">
        <v>17431</v>
      </c>
      <c r="AA940" t="s">
        <v>17432</v>
      </c>
      <c r="AB940" t="s">
        <v>17433</v>
      </c>
      <c r="AC940" t="s">
        <v>74</v>
      </c>
      <c r="AD940" t="s">
        <v>74</v>
      </c>
      <c r="AE940" t="s">
        <v>74</v>
      </c>
      <c r="AF940" t="s">
        <v>74</v>
      </c>
      <c r="AG940">
        <v>33</v>
      </c>
      <c r="AH940">
        <v>24</v>
      </c>
      <c r="AI940">
        <v>24</v>
      </c>
      <c r="AJ940">
        <v>0</v>
      </c>
      <c r="AK940">
        <v>24</v>
      </c>
      <c r="AL940" t="s">
        <v>2353</v>
      </c>
      <c r="AM940" t="s">
        <v>576</v>
      </c>
      <c r="AN940" t="s">
        <v>2354</v>
      </c>
      <c r="AO940" t="s">
        <v>6139</v>
      </c>
      <c r="AP940" t="s">
        <v>6140</v>
      </c>
      <c r="AQ940" t="s">
        <v>74</v>
      </c>
      <c r="AR940" t="s">
        <v>6141</v>
      </c>
      <c r="AS940" t="s">
        <v>6142</v>
      </c>
      <c r="AT940" t="s">
        <v>17364</v>
      </c>
      <c r="AU940">
        <v>2014</v>
      </c>
      <c r="AV940">
        <v>26</v>
      </c>
      <c r="AW940">
        <v>2</v>
      </c>
      <c r="AX940" t="s">
        <v>74</v>
      </c>
      <c r="AY940" t="s">
        <v>74</v>
      </c>
      <c r="AZ940" t="s">
        <v>74</v>
      </c>
      <c r="BA940" t="s">
        <v>74</v>
      </c>
      <c r="BB940">
        <v>173</v>
      </c>
      <c r="BC940">
        <v>182</v>
      </c>
      <c r="BD940" t="s">
        <v>74</v>
      </c>
      <c r="BE940" t="s">
        <v>17434</v>
      </c>
      <c r="BF940" t="str">
        <f>HYPERLINK("http://dx.doi.org/10.1017/S0954102013000461","http://dx.doi.org/10.1017/S0954102013000461")</f>
        <v>http://dx.doi.org/10.1017/S0954102013000461</v>
      </c>
      <c r="BG940" t="s">
        <v>74</v>
      </c>
      <c r="BH940" t="s">
        <v>74</v>
      </c>
      <c r="BI940">
        <v>10</v>
      </c>
      <c r="BJ940" t="s">
        <v>6144</v>
      </c>
      <c r="BK940" t="s">
        <v>102</v>
      </c>
      <c r="BL940" t="s">
        <v>6145</v>
      </c>
      <c r="BM940" t="s">
        <v>17406</v>
      </c>
      <c r="BN940" t="s">
        <v>74</v>
      </c>
      <c r="BO940" t="s">
        <v>262</v>
      </c>
      <c r="BP940" t="s">
        <v>74</v>
      </c>
      <c r="BQ940" t="s">
        <v>74</v>
      </c>
      <c r="BR940" t="s">
        <v>105</v>
      </c>
      <c r="BS940" t="s">
        <v>17435</v>
      </c>
      <c r="BT940" t="str">
        <f>HYPERLINK("https%3A%2F%2Fwww.webofscience.com%2Fwos%2Fwoscc%2Ffull-record%2FWOS:000339375600008","View Full Record in Web of Science")</f>
        <v>View Full Record in Web of Science</v>
      </c>
    </row>
    <row r="941" spans="1:72" x14ac:dyDescent="0.15">
      <c r="A941" t="s">
        <v>72</v>
      </c>
      <c r="B941" t="s">
        <v>17436</v>
      </c>
      <c r="C941" t="s">
        <v>74</v>
      </c>
      <c r="D941" t="s">
        <v>74</v>
      </c>
      <c r="E941" t="s">
        <v>74</v>
      </c>
      <c r="F941" t="s">
        <v>17437</v>
      </c>
      <c r="G941" t="s">
        <v>74</v>
      </c>
      <c r="H941" t="s">
        <v>74</v>
      </c>
      <c r="I941" t="s">
        <v>17438</v>
      </c>
      <c r="J941" t="s">
        <v>6129</v>
      </c>
      <c r="K941" t="s">
        <v>74</v>
      </c>
      <c r="L941" t="s">
        <v>74</v>
      </c>
      <c r="M941" t="s">
        <v>78</v>
      </c>
      <c r="N941" t="s">
        <v>79</v>
      </c>
      <c r="O941" t="s">
        <v>74</v>
      </c>
      <c r="P941" t="s">
        <v>74</v>
      </c>
      <c r="Q941" t="s">
        <v>74</v>
      </c>
      <c r="R941" t="s">
        <v>74</v>
      </c>
      <c r="S941" t="s">
        <v>74</v>
      </c>
      <c r="T941" t="s">
        <v>17439</v>
      </c>
      <c r="U941" t="s">
        <v>74</v>
      </c>
      <c r="V941" t="s">
        <v>17440</v>
      </c>
      <c r="W941" t="s">
        <v>17441</v>
      </c>
      <c r="X941" t="s">
        <v>17442</v>
      </c>
      <c r="Y941" t="s">
        <v>17443</v>
      </c>
      <c r="Z941" t="s">
        <v>2787</v>
      </c>
      <c r="AA941" t="s">
        <v>2788</v>
      </c>
      <c r="AB941" t="s">
        <v>17444</v>
      </c>
      <c r="AC941" t="s">
        <v>17445</v>
      </c>
      <c r="AD941" t="s">
        <v>17446</v>
      </c>
      <c r="AE941" t="s">
        <v>17447</v>
      </c>
      <c r="AF941" t="s">
        <v>74</v>
      </c>
      <c r="AG941">
        <v>13</v>
      </c>
      <c r="AH941">
        <v>38</v>
      </c>
      <c r="AI941">
        <v>46</v>
      </c>
      <c r="AJ941">
        <v>2</v>
      </c>
      <c r="AK941">
        <v>42</v>
      </c>
      <c r="AL941" t="s">
        <v>2353</v>
      </c>
      <c r="AM941" t="s">
        <v>576</v>
      </c>
      <c r="AN941" t="s">
        <v>2354</v>
      </c>
      <c r="AO941" t="s">
        <v>6139</v>
      </c>
      <c r="AP941" t="s">
        <v>6140</v>
      </c>
      <c r="AQ941" t="s">
        <v>74</v>
      </c>
      <c r="AR941" t="s">
        <v>6141</v>
      </c>
      <c r="AS941" t="s">
        <v>6142</v>
      </c>
      <c r="AT941" t="s">
        <v>17364</v>
      </c>
      <c r="AU941">
        <v>2014</v>
      </c>
      <c r="AV941">
        <v>26</v>
      </c>
      <c r="AW941">
        <v>2</v>
      </c>
      <c r="AX941" t="s">
        <v>74</v>
      </c>
      <c r="AY941" t="s">
        <v>74</v>
      </c>
      <c r="AZ941" t="s">
        <v>74</v>
      </c>
      <c r="BA941" t="s">
        <v>74</v>
      </c>
      <c r="BB941">
        <v>205</v>
      </c>
      <c r="BC941">
        <v>213</v>
      </c>
      <c r="BD941" t="s">
        <v>74</v>
      </c>
      <c r="BE941" t="s">
        <v>17448</v>
      </c>
      <c r="BF941" t="str">
        <f>HYPERLINK("http://dx.doi.org/10.1017/S0954102013000539","http://dx.doi.org/10.1017/S0954102013000539")</f>
        <v>http://dx.doi.org/10.1017/S0954102013000539</v>
      </c>
      <c r="BG941" t="s">
        <v>74</v>
      </c>
      <c r="BH941" t="s">
        <v>74</v>
      </c>
      <c r="BI941">
        <v>9</v>
      </c>
      <c r="BJ941" t="s">
        <v>6144</v>
      </c>
      <c r="BK941" t="s">
        <v>102</v>
      </c>
      <c r="BL941" t="s">
        <v>6145</v>
      </c>
      <c r="BM941" t="s">
        <v>17406</v>
      </c>
      <c r="BN941" t="s">
        <v>74</v>
      </c>
      <c r="BO941" t="s">
        <v>74</v>
      </c>
      <c r="BP941" t="s">
        <v>74</v>
      </c>
      <c r="BQ941" t="s">
        <v>74</v>
      </c>
      <c r="BR941" t="s">
        <v>105</v>
      </c>
      <c r="BS941" t="s">
        <v>17449</v>
      </c>
      <c r="BT941" t="str">
        <f>HYPERLINK("https%3A%2F%2Fwww.webofscience.com%2Fwos%2Fwoscc%2Ffull-record%2FWOS:000339375600011","View Full Record in Web of Science")</f>
        <v>View Full Record in Web of Science</v>
      </c>
    </row>
    <row r="942" spans="1:72" x14ac:dyDescent="0.15">
      <c r="A942" t="s">
        <v>72</v>
      </c>
      <c r="B942" t="s">
        <v>17450</v>
      </c>
      <c r="C942" t="s">
        <v>74</v>
      </c>
      <c r="D942" t="s">
        <v>74</v>
      </c>
      <c r="E942" t="s">
        <v>74</v>
      </c>
      <c r="F942" t="s">
        <v>17451</v>
      </c>
      <c r="G942" t="s">
        <v>74</v>
      </c>
      <c r="H942" t="s">
        <v>74</v>
      </c>
      <c r="I942" t="s">
        <v>17452</v>
      </c>
      <c r="J942" t="s">
        <v>17453</v>
      </c>
      <c r="K942" t="s">
        <v>74</v>
      </c>
      <c r="L942" t="s">
        <v>74</v>
      </c>
      <c r="M942" t="s">
        <v>78</v>
      </c>
      <c r="N942" t="s">
        <v>79</v>
      </c>
      <c r="O942" t="s">
        <v>74</v>
      </c>
      <c r="P942" t="s">
        <v>74</v>
      </c>
      <c r="Q942" t="s">
        <v>74</v>
      </c>
      <c r="R942" t="s">
        <v>74</v>
      </c>
      <c r="S942" t="s">
        <v>74</v>
      </c>
      <c r="T942" t="s">
        <v>17454</v>
      </c>
      <c r="U942" t="s">
        <v>17455</v>
      </c>
      <c r="V942" t="s">
        <v>17456</v>
      </c>
      <c r="W942" t="s">
        <v>17457</v>
      </c>
      <c r="X942" t="s">
        <v>17458</v>
      </c>
      <c r="Y942" t="s">
        <v>17459</v>
      </c>
      <c r="Z942" t="s">
        <v>17460</v>
      </c>
      <c r="AA942" t="s">
        <v>17461</v>
      </c>
      <c r="AB942" t="s">
        <v>17462</v>
      </c>
      <c r="AC942" t="s">
        <v>4635</v>
      </c>
      <c r="AD942" t="s">
        <v>4635</v>
      </c>
      <c r="AE942" t="s">
        <v>17463</v>
      </c>
      <c r="AF942" t="s">
        <v>74</v>
      </c>
      <c r="AG942">
        <v>77</v>
      </c>
      <c r="AH942">
        <v>75</v>
      </c>
      <c r="AI942">
        <v>78</v>
      </c>
      <c r="AJ942">
        <v>3</v>
      </c>
      <c r="AK942">
        <v>63</v>
      </c>
      <c r="AL942" t="s">
        <v>1805</v>
      </c>
      <c r="AM942" t="s">
        <v>1806</v>
      </c>
      <c r="AN942" t="s">
        <v>1807</v>
      </c>
      <c r="AO942" t="s">
        <v>17464</v>
      </c>
      <c r="AP942" t="s">
        <v>74</v>
      </c>
      <c r="AQ942" t="s">
        <v>74</v>
      </c>
      <c r="AR942" t="s">
        <v>17465</v>
      </c>
      <c r="AS942" t="s">
        <v>17466</v>
      </c>
      <c r="AT942" t="s">
        <v>17364</v>
      </c>
      <c r="AU942">
        <v>2014</v>
      </c>
      <c r="AV942">
        <v>9</v>
      </c>
      <c r="AW942">
        <v>4</v>
      </c>
      <c r="AX942" t="s">
        <v>74</v>
      </c>
      <c r="AY942" t="s">
        <v>74</v>
      </c>
      <c r="AZ942" t="s">
        <v>74</v>
      </c>
      <c r="BA942" t="s">
        <v>74</v>
      </c>
      <c r="BB942" t="s">
        <v>74</v>
      </c>
      <c r="BC942" t="s">
        <v>74</v>
      </c>
      <c r="BD942">
        <v>45001</v>
      </c>
      <c r="BE942" t="s">
        <v>17467</v>
      </c>
      <c r="BF942" t="str">
        <f>HYPERLINK("http://dx.doi.org/10.1088/1748-9326/9/4/045001","http://dx.doi.org/10.1088/1748-9326/9/4/045001")</f>
        <v>http://dx.doi.org/10.1088/1748-9326/9/4/045001</v>
      </c>
      <c r="BG942" t="s">
        <v>74</v>
      </c>
      <c r="BH942" t="s">
        <v>74</v>
      </c>
      <c r="BI942">
        <v>14</v>
      </c>
      <c r="BJ942" t="s">
        <v>12714</v>
      </c>
      <c r="BK942" t="s">
        <v>102</v>
      </c>
      <c r="BL942" t="s">
        <v>7207</v>
      </c>
      <c r="BM942" t="s">
        <v>17468</v>
      </c>
      <c r="BN942" t="s">
        <v>74</v>
      </c>
      <c r="BO942" t="s">
        <v>12122</v>
      </c>
      <c r="BP942" t="s">
        <v>74</v>
      </c>
      <c r="BQ942" t="s">
        <v>74</v>
      </c>
      <c r="BR942" t="s">
        <v>105</v>
      </c>
      <c r="BS942" t="s">
        <v>17469</v>
      </c>
      <c r="BT942" t="str">
        <f>HYPERLINK("https%3A%2F%2Fwww.webofscience.com%2Fwos%2Fwoscc%2Ffull-record%2FWOS:000338781000015","View Full Record in Web of Science")</f>
        <v>View Full Record in Web of Science</v>
      </c>
    </row>
    <row r="943" spans="1:72" x14ac:dyDescent="0.15">
      <c r="A943" t="s">
        <v>72</v>
      </c>
      <c r="B943" t="s">
        <v>17470</v>
      </c>
      <c r="C943" t="s">
        <v>74</v>
      </c>
      <c r="D943" t="s">
        <v>74</v>
      </c>
      <c r="E943" t="s">
        <v>74</v>
      </c>
      <c r="F943" t="s">
        <v>17471</v>
      </c>
      <c r="G943" t="s">
        <v>74</v>
      </c>
      <c r="H943" t="s">
        <v>74</v>
      </c>
      <c r="I943" t="s">
        <v>17472</v>
      </c>
      <c r="J943" t="s">
        <v>17473</v>
      </c>
      <c r="K943" t="s">
        <v>74</v>
      </c>
      <c r="L943" t="s">
        <v>74</v>
      </c>
      <c r="M943" t="s">
        <v>78</v>
      </c>
      <c r="N943" t="s">
        <v>79</v>
      </c>
      <c r="O943" t="s">
        <v>74</v>
      </c>
      <c r="P943" t="s">
        <v>74</v>
      </c>
      <c r="Q943" t="s">
        <v>74</v>
      </c>
      <c r="R943" t="s">
        <v>74</v>
      </c>
      <c r="S943" t="s">
        <v>74</v>
      </c>
      <c r="T943" t="s">
        <v>74</v>
      </c>
      <c r="U943" t="s">
        <v>17474</v>
      </c>
      <c r="V943" t="s">
        <v>17475</v>
      </c>
      <c r="W943" t="s">
        <v>17476</v>
      </c>
      <c r="X943" t="s">
        <v>17477</v>
      </c>
      <c r="Y943" t="s">
        <v>17478</v>
      </c>
      <c r="Z943" t="s">
        <v>74</v>
      </c>
      <c r="AA943" t="s">
        <v>17479</v>
      </c>
      <c r="AB943" t="s">
        <v>17480</v>
      </c>
      <c r="AC943" t="s">
        <v>17481</v>
      </c>
      <c r="AD943" t="s">
        <v>17482</v>
      </c>
      <c r="AE943" t="s">
        <v>17483</v>
      </c>
      <c r="AF943" t="s">
        <v>74</v>
      </c>
      <c r="AG943">
        <v>101</v>
      </c>
      <c r="AH943">
        <v>42</v>
      </c>
      <c r="AI943">
        <v>49</v>
      </c>
      <c r="AJ943">
        <v>0</v>
      </c>
      <c r="AK943">
        <v>32</v>
      </c>
      <c r="AL943" t="s">
        <v>1937</v>
      </c>
      <c r="AM943" t="s">
        <v>1938</v>
      </c>
      <c r="AN943" t="s">
        <v>1939</v>
      </c>
      <c r="AO943" t="s">
        <v>17484</v>
      </c>
      <c r="AP943" t="s">
        <v>74</v>
      </c>
      <c r="AQ943" t="s">
        <v>74</v>
      </c>
      <c r="AR943" t="s">
        <v>17473</v>
      </c>
      <c r="AS943" t="s">
        <v>17485</v>
      </c>
      <c r="AT943" t="s">
        <v>17364</v>
      </c>
      <c r="AU943">
        <v>2014</v>
      </c>
      <c r="AV943">
        <v>10</v>
      </c>
      <c r="AW943">
        <v>2</v>
      </c>
      <c r="AX943" t="s">
        <v>74</v>
      </c>
      <c r="AY943" t="s">
        <v>74</v>
      </c>
      <c r="AZ943" t="s">
        <v>74</v>
      </c>
      <c r="BA943" t="s">
        <v>74</v>
      </c>
      <c r="BB943">
        <v>308</v>
      </c>
      <c r="BC943">
        <v>339</v>
      </c>
      <c r="BD943" t="s">
        <v>74</v>
      </c>
      <c r="BE943" t="s">
        <v>17486</v>
      </c>
      <c r="BF943" t="str">
        <f>HYPERLINK("http://dx.doi.org/10.1130/GES00952.1","http://dx.doi.org/10.1130/GES00952.1")</f>
        <v>http://dx.doi.org/10.1130/GES00952.1</v>
      </c>
      <c r="BG943" t="s">
        <v>74</v>
      </c>
      <c r="BH943" t="s">
        <v>74</v>
      </c>
      <c r="BI943">
        <v>32</v>
      </c>
      <c r="BJ943" t="s">
        <v>685</v>
      </c>
      <c r="BK943" t="s">
        <v>102</v>
      </c>
      <c r="BL943" t="s">
        <v>686</v>
      </c>
      <c r="BM943" t="s">
        <v>17487</v>
      </c>
      <c r="BN943" t="s">
        <v>74</v>
      </c>
      <c r="BO943" t="s">
        <v>12122</v>
      </c>
      <c r="BP943" t="s">
        <v>74</v>
      </c>
      <c r="BQ943" t="s">
        <v>74</v>
      </c>
      <c r="BR943" t="s">
        <v>105</v>
      </c>
      <c r="BS943" t="s">
        <v>17488</v>
      </c>
      <c r="BT943" t="str">
        <f>HYPERLINK("https%3A%2F%2Fwww.webofscience.com%2Fwos%2Fwoscc%2Ffull-record%2FWOS:000338649300008","View Full Record in Web of Science")</f>
        <v>View Full Record in Web of Science</v>
      </c>
    </row>
    <row r="944" spans="1:72" x14ac:dyDescent="0.15">
      <c r="A944" t="s">
        <v>72</v>
      </c>
      <c r="B944" t="s">
        <v>17489</v>
      </c>
      <c r="C944" t="s">
        <v>74</v>
      </c>
      <c r="D944" t="s">
        <v>74</v>
      </c>
      <c r="E944" t="s">
        <v>74</v>
      </c>
      <c r="F944" t="s">
        <v>17490</v>
      </c>
      <c r="G944" t="s">
        <v>74</v>
      </c>
      <c r="H944" t="s">
        <v>74</v>
      </c>
      <c r="I944" t="s">
        <v>17491</v>
      </c>
      <c r="J944" t="s">
        <v>6978</v>
      </c>
      <c r="K944" t="s">
        <v>74</v>
      </c>
      <c r="L944" t="s">
        <v>74</v>
      </c>
      <c r="M944" t="s">
        <v>78</v>
      </c>
      <c r="N944" t="s">
        <v>79</v>
      </c>
      <c r="O944" t="s">
        <v>74</v>
      </c>
      <c r="P944" t="s">
        <v>74</v>
      </c>
      <c r="Q944" t="s">
        <v>74</v>
      </c>
      <c r="R944" t="s">
        <v>74</v>
      </c>
      <c r="S944" t="s">
        <v>74</v>
      </c>
      <c r="T944" t="s">
        <v>74</v>
      </c>
      <c r="U944" t="s">
        <v>17492</v>
      </c>
      <c r="V944" t="s">
        <v>17493</v>
      </c>
      <c r="W944" t="s">
        <v>17494</v>
      </c>
      <c r="X944" t="s">
        <v>17495</v>
      </c>
      <c r="Y944" t="s">
        <v>17496</v>
      </c>
      <c r="Z944" t="s">
        <v>17497</v>
      </c>
      <c r="AA944" t="s">
        <v>74</v>
      </c>
      <c r="AB944" t="s">
        <v>17498</v>
      </c>
      <c r="AC944" t="s">
        <v>74</v>
      </c>
      <c r="AD944" t="s">
        <v>74</v>
      </c>
      <c r="AE944" t="s">
        <v>74</v>
      </c>
      <c r="AF944" t="s">
        <v>74</v>
      </c>
      <c r="AG944">
        <v>34</v>
      </c>
      <c r="AH944">
        <v>24</v>
      </c>
      <c r="AI944">
        <v>24</v>
      </c>
      <c r="AJ944">
        <v>0</v>
      </c>
      <c r="AK944">
        <v>9</v>
      </c>
      <c r="AL944" t="s">
        <v>11715</v>
      </c>
      <c r="AM944" t="s">
        <v>654</v>
      </c>
      <c r="AN944" t="s">
        <v>15017</v>
      </c>
      <c r="AO944" t="s">
        <v>6993</v>
      </c>
      <c r="AP944" t="s">
        <v>6994</v>
      </c>
      <c r="AQ944" t="s">
        <v>74</v>
      </c>
      <c r="AR944" t="s">
        <v>6995</v>
      </c>
      <c r="AS944" t="s">
        <v>6996</v>
      </c>
      <c r="AT944" t="s">
        <v>17364</v>
      </c>
      <c r="AU944">
        <v>2014</v>
      </c>
      <c r="AV944">
        <v>64</v>
      </c>
      <c r="AW944" t="s">
        <v>74</v>
      </c>
      <c r="AX944">
        <v>4</v>
      </c>
      <c r="AY944" t="s">
        <v>74</v>
      </c>
      <c r="AZ944" t="s">
        <v>74</v>
      </c>
      <c r="BA944" t="s">
        <v>74</v>
      </c>
      <c r="BB944">
        <v>1406</v>
      </c>
      <c r="BC944">
        <v>1411</v>
      </c>
      <c r="BD944" t="s">
        <v>74</v>
      </c>
      <c r="BE944" t="s">
        <v>17499</v>
      </c>
      <c r="BF944" t="str">
        <f>HYPERLINK("http://dx.doi.org/10.1099/ijs.0.056697-0","http://dx.doi.org/10.1099/ijs.0.056697-0")</f>
        <v>http://dx.doi.org/10.1099/ijs.0.056697-0</v>
      </c>
      <c r="BG944" t="s">
        <v>74</v>
      </c>
      <c r="BH944" t="s">
        <v>74</v>
      </c>
      <c r="BI944">
        <v>6</v>
      </c>
      <c r="BJ944" t="s">
        <v>1012</v>
      </c>
      <c r="BK944" t="s">
        <v>102</v>
      </c>
      <c r="BL944" t="s">
        <v>1012</v>
      </c>
      <c r="BM944" t="s">
        <v>17500</v>
      </c>
      <c r="BN944">
        <v>24449790</v>
      </c>
      <c r="BO944" t="s">
        <v>179</v>
      </c>
      <c r="BP944" t="s">
        <v>74</v>
      </c>
      <c r="BQ944" t="s">
        <v>74</v>
      </c>
      <c r="BR944" t="s">
        <v>105</v>
      </c>
      <c r="BS944" t="s">
        <v>17501</v>
      </c>
      <c r="BT944" t="str">
        <f>HYPERLINK("https%3A%2F%2Fwww.webofscience.com%2Fwos%2Fwoscc%2Ffull-record%2FWOS:000337931000051","View Full Record in Web of Science")</f>
        <v>View Full Record in Web of Science</v>
      </c>
    </row>
    <row r="945" spans="1:72" x14ac:dyDescent="0.15">
      <c r="A945" t="s">
        <v>72</v>
      </c>
      <c r="B945" t="s">
        <v>17502</v>
      </c>
      <c r="C945" t="s">
        <v>74</v>
      </c>
      <c r="D945" t="s">
        <v>74</v>
      </c>
      <c r="E945" t="s">
        <v>74</v>
      </c>
      <c r="F945" t="s">
        <v>17503</v>
      </c>
      <c r="G945" t="s">
        <v>74</v>
      </c>
      <c r="H945" t="s">
        <v>74</v>
      </c>
      <c r="I945" t="s">
        <v>17504</v>
      </c>
      <c r="J945" t="s">
        <v>5141</v>
      </c>
      <c r="K945" t="s">
        <v>74</v>
      </c>
      <c r="L945" t="s">
        <v>74</v>
      </c>
      <c r="M945" t="s">
        <v>78</v>
      </c>
      <c r="N945" t="s">
        <v>79</v>
      </c>
      <c r="O945" t="s">
        <v>74</v>
      </c>
      <c r="P945" t="s">
        <v>74</v>
      </c>
      <c r="Q945" t="s">
        <v>74</v>
      </c>
      <c r="R945" t="s">
        <v>74</v>
      </c>
      <c r="S945" t="s">
        <v>74</v>
      </c>
      <c r="T945" t="s">
        <v>74</v>
      </c>
      <c r="U945" t="s">
        <v>17505</v>
      </c>
      <c r="V945" t="s">
        <v>17506</v>
      </c>
      <c r="W945" t="s">
        <v>17507</v>
      </c>
      <c r="X945" t="s">
        <v>17508</v>
      </c>
      <c r="Y945" t="s">
        <v>17509</v>
      </c>
      <c r="Z945" t="s">
        <v>17510</v>
      </c>
      <c r="AA945" t="s">
        <v>74</v>
      </c>
      <c r="AB945" t="s">
        <v>74</v>
      </c>
      <c r="AC945" t="s">
        <v>17511</v>
      </c>
      <c r="AD945" t="s">
        <v>17512</v>
      </c>
      <c r="AE945" t="s">
        <v>17513</v>
      </c>
      <c r="AF945" t="s">
        <v>74</v>
      </c>
      <c r="AG945">
        <v>86</v>
      </c>
      <c r="AH945">
        <v>15</v>
      </c>
      <c r="AI945">
        <v>17</v>
      </c>
      <c r="AJ945">
        <v>0</v>
      </c>
      <c r="AK945">
        <v>12</v>
      </c>
      <c r="AL945" t="s">
        <v>331</v>
      </c>
      <c r="AM945" t="s">
        <v>332</v>
      </c>
      <c r="AN945" t="s">
        <v>333</v>
      </c>
      <c r="AO945" t="s">
        <v>5149</v>
      </c>
      <c r="AP945" t="s">
        <v>5150</v>
      </c>
      <c r="AQ945" t="s">
        <v>74</v>
      </c>
      <c r="AR945" t="s">
        <v>5151</v>
      </c>
      <c r="AS945" t="s">
        <v>5152</v>
      </c>
      <c r="AT945" t="s">
        <v>17364</v>
      </c>
      <c r="AU945">
        <v>2014</v>
      </c>
      <c r="AV945">
        <v>119</v>
      </c>
      <c r="AW945">
        <v>4</v>
      </c>
      <c r="AX945" t="s">
        <v>74</v>
      </c>
      <c r="AY945" t="s">
        <v>74</v>
      </c>
      <c r="AZ945" t="s">
        <v>74</v>
      </c>
      <c r="BA945" t="s">
        <v>74</v>
      </c>
      <c r="BB945">
        <v>3879</v>
      </c>
      <c r="BC945">
        <v>3896</v>
      </c>
      <c r="BD945" t="s">
        <v>74</v>
      </c>
      <c r="BE945" t="s">
        <v>17514</v>
      </c>
      <c r="BF945" t="str">
        <f>HYPERLINK("http://dx.doi.org/10.1002/2013JB010864","http://dx.doi.org/10.1002/2013JB010864")</f>
        <v>http://dx.doi.org/10.1002/2013JB010864</v>
      </c>
      <c r="BG945" t="s">
        <v>74</v>
      </c>
      <c r="BH945" t="s">
        <v>74</v>
      </c>
      <c r="BI945">
        <v>18</v>
      </c>
      <c r="BJ945" t="s">
        <v>425</v>
      </c>
      <c r="BK945" t="s">
        <v>102</v>
      </c>
      <c r="BL945" t="s">
        <v>425</v>
      </c>
      <c r="BM945" t="s">
        <v>17515</v>
      </c>
      <c r="BN945" t="s">
        <v>74</v>
      </c>
      <c r="BO945" t="s">
        <v>289</v>
      </c>
      <c r="BP945" t="s">
        <v>74</v>
      </c>
      <c r="BQ945" t="s">
        <v>74</v>
      </c>
      <c r="BR945" t="s">
        <v>105</v>
      </c>
      <c r="BS945" t="s">
        <v>17516</v>
      </c>
      <c r="BT945" t="str">
        <f>HYPERLINK("https%3A%2F%2Fwww.webofscience.com%2Fwos%2Fwoscc%2Ffull-record%2FWOS:000337688600065","View Full Record in Web of Science")</f>
        <v>View Full Record in Web of Science</v>
      </c>
    </row>
    <row r="946" spans="1:72" x14ac:dyDescent="0.15">
      <c r="A946" t="s">
        <v>72</v>
      </c>
      <c r="B946" t="s">
        <v>17517</v>
      </c>
      <c r="C946" t="s">
        <v>74</v>
      </c>
      <c r="D946" t="s">
        <v>74</v>
      </c>
      <c r="E946" t="s">
        <v>74</v>
      </c>
      <c r="F946" t="s">
        <v>17518</v>
      </c>
      <c r="G946" t="s">
        <v>74</v>
      </c>
      <c r="H946" t="s">
        <v>74</v>
      </c>
      <c r="I946" t="s">
        <v>17519</v>
      </c>
      <c r="J946" t="s">
        <v>5013</v>
      </c>
      <c r="K946" t="s">
        <v>74</v>
      </c>
      <c r="L946" t="s">
        <v>74</v>
      </c>
      <c r="M946" t="s">
        <v>78</v>
      </c>
      <c r="N946" t="s">
        <v>79</v>
      </c>
      <c r="O946" t="s">
        <v>74</v>
      </c>
      <c r="P946" t="s">
        <v>74</v>
      </c>
      <c r="Q946" t="s">
        <v>74</v>
      </c>
      <c r="R946" t="s">
        <v>74</v>
      </c>
      <c r="S946" t="s">
        <v>74</v>
      </c>
      <c r="T946" t="s">
        <v>17520</v>
      </c>
      <c r="U946" t="s">
        <v>17521</v>
      </c>
      <c r="V946" t="s">
        <v>17522</v>
      </c>
      <c r="W946" t="s">
        <v>17523</v>
      </c>
      <c r="X946" t="s">
        <v>17524</v>
      </c>
      <c r="Y946" t="s">
        <v>17525</v>
      </c>
      <c r="Z946" t="s">
        <v>17526</v>
      </c>
      <c r="AA946" t="s">
        <v>17527</v>
      </c>
      <c r="AB946" t="s">
        <v>17528</v>
      </c>
      <c r="AC946" t="s">
        <v>17529</v>
      </c>
      <c r="AD946" t="s">
        <v>17530</v>
      </c>
      <c r="AE946" t="s">
        <v>17531</v>
      </c>
      <c r="AF946" t="s">
        <v>74</v>
      </c>
      <c r="AG946">
        <v>107</v>
      </c>
      <c r="AH946">
        <v>89</v>
      </c>
      <c r="AI946">
        <v>101</v>
      </c>
      <c r="AJ946">
        <v>0</v>
      </c>
      <c r="AK946">
        <v>12</v>
      </c>
      <c r="AL946" t="s">
        <v>331</v>
      </c>
      <c r="AM946" t="s">
        <v>332</v>
      </c>
      <c r="AN946" t="s">
        <v>333</v>
      </c>
      <c r="AO946" t="s">
        <v>74</v>
      </c>
      <c r="AP946" t="s">
        <v>5026</v>
      </c>
      <c r="AQ946" t="s">
        <v>74</v>
      </c>
      <c r="AR946" t="s">
        <v>5027</v>
      </c>
      <c r="AS946" t="s">
        <v>5028</v>
      </c>
      <c r="AT946" t="s">
        <v>17364</v>
      </c>
      <c r="AU946">
        <v>2014</v>
      </c>
      <c r="AV946">
        <v>15</v>
      </c>
      <c r="AW946">
        <v>4</v>
      </c>
      <c r="AX946" t="s">
        <v>74</v>
      </c>
      <c r="AY946" t="s">
        <v>74</v>
      </c>
      <c r="AZ946" t="s">
        <v>74</v>
      </c>
      <c r="BA946" t="s">
        <v>74</v>
      </c>
      <c r="BB946">
        <v>1629</v>
      </c>
      <c r="BC946">
        <v>1641</v>
      </c>
      <c r="BD946" t="s">
        <v>74</v>
      </c>
      <c r="BE946" t="s">
        <v>17532</v>
      </c>
      <c r="BF946" t="str">
        <f>HYPERLINK("http://dx.doi.org/10.1002/2013GC005176","http://dx.doi.org/10.1002/2013GC005176")</f>
        <v>http://dx.doi.org/10.1002/2013GC005176</v>
      </c>
      <c r="BG946" t="s">
        <v>74</v>
      </c>
      <c r="BH946" t="s">
        <v>74</v>
      </c>
      <c r="BI946">
        <v>13</v>
      </c>
      <c r="BJ946" t="s">
        <v>425</v>
      </c>
      <c r="BK946" t="s">
        <v>102</v>
      </c>
      <c r="BL946" t="s">
        <v>425</v>
      </c>
      <c r="BM946" t="s">
        <v>17533</v>
      </c>
      <c r="BN946" t="s">
        <v>74</v>
      </c>
      <c r="BO946" t="s">
        <v>4213</v>
      </c>
      <c r="BP946" t="s">
        <v>74</v>
      </c>
      <c r="BQ946" t="s">
        <v>74</v>
      </c>
      <c r="BR946" t="s">
        <v>105</v>
      </c>
      <c r="BS946" t="s">
        <v>17534</v>
      </c>
      <c r="BT946" t="str">
        <f>HYPERLINK("https%3A%2F%2Fwww.webofscience.com%2Fwos%2Fwoscc%2Ffull-record%2FWOS:000336493400048","View Full Record in Web of Science")</f>
        <v>View Full Record in Web of Science</v>
      </c>
    </row>
    <row r="947" spans="1:72" x14ac:dyDescent="0.15">
      <c r="A947" t="s">
        <v>72</v>
      </c>
      <c r="B947" t="s">
        <v>17535</v>
      </c>
      <c r="C947" t="s">
        <v>74</v>
      </c>
      <c r="D947" t="s">
        <v>74</v>
      </c>
      <c r="E947" t="s">
        <v>74</v>
      </c>
      <c r="F947" t="s">
        <v>17536</v>
      </c>
      <c r="G947" t="s">
        <v>74</v>
      </c>
      <c r="H947" t="s">
        <v>74</v>
      </c>
      <c r="I947" t="s">
        <v>17537</v>
      </c>
      <c r="J947" t="s">
        <v>4988</v>
      </c>
      <c r="K947" t="s">
        <v>74</v>
      </c>
      <c r="L947" t="s">
        <v>74</v>
      </c>
      <c r="M947" t="s">
        <v>78</v>
      </c>
      <c r="N947" t="s">
        <v>79</v>
      </c>
      <c r="O947" t="s">
        <v>74</v>
      </c>
      <c r="P947" t="s">
        <v>74</v>
      </c>
      <c r="Q947" t="s">
        <v>74</v>
      </c>
      <c r="R947" t="s">
        <v>74</v>
      </c>
      <c r="S947" t="s">
        <v>74</v>
      </c>
      <c r="T947" t="s">
        <v>17538</v>
      </c>
      <c r="U947" t="s">
        <v>17539</v>
      </c>
      <c r="V947" t="s">
        <v>17540</v>
      </c>
      <c r="W947" t="s">
        <v>17541</v>
      </c>
      <c r="X947" t="s">
        <v>17542</v>
      </c>
      <c r="Y947" t="s">
        <v>17543</v>
      </c>
      <c r="Z947" t="s">
        <v>17544</v>
      </c>
      <c r="AA947" t="s">
        <v>17545</v>
      </c>
      <c r="AB947" t="s">
        <v>17546</v>
      </c>
      <c r="AC947" t="s">
        <v>17547</v>
      </c>
      <c r="AD947" t="s">
        <v>17548</v>
      </c>
      <c r="AE947" t="s">
        <v>17549</v>
      </c>
      <c r="AF947" t="s">
        <v>74</v>
      </c>
      <c r="AG947">
        <v>100</v>
      </c>
      <c r="AH947">
        <v>33</v>
      </c>
      <c r="AI947">
        <v>39</v>
      </c>
      <c r="AJ947">
        <v>0</v>
      </c>
      <c r="AK947">
        <v>54</v>
      </c>
      <c r="AL947" t="s">
        <v>331</v>
      </c>
      <c r="AM947" t="s">
        <v>332</v>
      </c>
      <c r="AN947" t="s">
        <v>333</v>
      </c>
      <c r="AO947" t="s">
        <v>5001</v>
      </c>
      <c r="AP947" t="s">
        <v>5002</v>
      </c>
      <c r="AQ947" t="s">
        <v>74</v>
      </c>
      <c r="AR947" t="s">
        <v>5003</v>
      </c>
      <c r="AS947" t="s">
        <v>5004</v>
      </c>
      <c r="AT947" t="s">
        <v>17364</v>
      </c>
      <c r="AU947">
        <v>2014</v>
      </c>
      <c r="AV947">
        <v>28</v>
      </c>
      <c r="AW947">
        <v>4</v>
      </c>
      <c r="AX947" t="s">
        <v>74</v>
      </c>
      <c r="AY947" t="s">
        <v>74</v>
      </c>
      <c r="AZ947" t="s">
        <v>74</v>
      </c>
      <c r="BA947" t="s">
        <v>74</v>
      </c>
      <c r="BB947">
        <v>423</v>
      </c>
      <c r="BC947">
        <v>436</v>
      </c>
      <c r="BD947" t="s">
        <v>74</v>
      </c>
      <c r="BE947" t="s">
        <v>17550</v>
      </c>
      <c r="BF947" t="str">
        <f>HYPERLINK("http://dx.doi.org/10.1002/2013GB004574","http://dx.doi.org/10.1002/2013GB004574")</f>
        <v>http://dx.doi.org/10.1002/2013GB004574</v>
      </c>
      <c r="BG947" t="s">
        <v>74</v>
      </c>
      <c r="BH947" t="s">
        <v>74</v>
      </c>
      <c r="BI947">
        <v>14</v>
      </c>
      <c r="BJ947" t="s">
        <v>5006</v>
      </c>
      <c r="BK947" t="s">
        <v>102</v>
      </c>
      <c r="BL947" t="s">
        <v>5007</v>
      </c>
      <c r="BM947" t="s">
        <v>17551</v>
      </c>
      <c r="BN947" t="s">
        <v>74</v>
      </c>
      <c r="BO947" t="s">
        <v>1053</v>
      </c>
      <c r="BP947" t="s">
        <v>74</v>
      </c>
      <c r="BQ947" t="s">
        <v>74</v>
      </c>
      <c r="BR947" t="s">
        <v>105</v>
      </c>
      <c r="BS947" t="s">
        <v>17552</v>
      </c>
      <c r="BT947" t="str">
        <f>HYPERLINK("https%3A%2F%2Fwww.webofscience.com%2Fwos%2Fwoscc%2Ffull-record%2FWOS:000335809500007","View Full Record in Web of Science")</f>
        <v>View Full Record in Web of Science</v>
      </c>
    </row>
    <row r="948" spans="1:72" x14ac:dyDescent="0.15">
      <c r="A948" t="s">
        <v>72</v>
      </c>
      <c r="B948" t="s">
        <v>17553</v>
      </c>
      <c r="C948" t="s">
        <v>74</v>
      </c>
      <c r="D948" t="s">
        <v>74</v>
      </c>
      <c r="E948" t="s">
        <v>74</v>
      </c>
      <c r="F948" t="s">
        <v>17554</v>
      </c>
      <c r="G948" t="s">
        <v>74</v>
      </c>
      <c r="H948" t="s">
        <v>74</v>
      </c>
      <c r="I948" t="s">
        <v>17555</v>
      </c>
      <c r="J948" t="s">
        <v>158</v>
      </c>
      <c r="K948" t="s">
        <v>74</v>
      </c>
      <c r="L948" t="s">
        <v>74</v>
      </c>
      <c r="M948" t="s">
        <v>78</v>
      </c>
      <c r="N948" t="s">
        <v>79</v>
      </c>
      <c r="O948" t="s">
        <v>74</v>
      </c>
      <c r="P948" t="s">
        <v>74</v>
      </c>
      <c r="Q948" t="s">
        <v>74</v>
      </c>
      <c r="R948" t="s">
        <v>74</v>
      </c>
      <c r="S948" t="s">
        <v>74</v>
      </c>
      <c r="T948" t="s">
        <v>17556</v>
      </c>
      <c r="U948" t="s">
        <v>17557</v>
      </c>
      <c r="V948" t="s">
        <v>17558</v>
      </c>
      <c r="W948" t="s">
        <v>17559</v>
      </c>
      <c r="X948" t="s">
        <v>17560</v>
      </c>
      <c r="Y948" t="s">
        <v>17561</v>
      </c>
      <c r="Z948" t="s">
        <v>17562</v>
      </c>
      <c r="AA948" t="s">
        <v>17563</v>
      </c>
      <c r="AB948" t="s">
        <v>74</v>
      </c>
      <c r="AC948" t="s">
        <v>17564</v>
      </c>
      <c r="AD948" t="s">
        <v>17565</v>
      </c>
      <c r="AE948" t="s">
        <v>17566</v>
      </c>
      <c r="AF948" t="s">
        <v>74</v>
      </c>
      <c r="AG948">
        <v>60</v>
      </c>
      <c r="AH948">
        <v>33</v>
      </c>
      <c r="AI948">
        <v>37</v>
      </c>
      <c r="AJ948">
        <v>1</v>
      </c>
      <c r="AK948">
        <v>13</v>
      </c>
      <c r="AL948" t="s">
        <v>92</v>
      </c>
      <c r="AM948" t="s">
        <v>93</v>
      </c>
      <c r="AN948" t="s">
        <v>94</v>
      </c>
      <c r="AO948" t="s">
        <v>172</v>
      </c>
      <c r="AP948" t="s">
        <v>173</v>
      </c>
      <c r="AQ948" t="s">
        <v>74</v>
      </c>
      <c r="AR948" t="s">
        <v>174</v>
      </c>
      <c r="AS948" t="s">
        <v>175</v>
      </c>
      <c r="AT948" t="s">
        <v>17364</v>
      </c>
      <c r="AU948">
        <v>2014</v>
      </c>
      <c r="AV948">
        <v>34</v>
      </c>
      <c r="AW948">
        <v>5</v>
      </c>
      <c r="AX948" t="s">
        <v>74</v>
      </c>
      <c r="AY948" t="s">
        <v>74</v>
      </c>
      <c r="AZ948" t="s">
        <v>74</v>
      </c>
      <c r="BA948" t="s">
        <v>74</v>
      </c>
      <c r="BB948">
        <v>1676</v>
      </c>
      <c r="BC948">
        <v>1692</v>
      </c>
      <c r="BD948" t="s">
        <v>74</v>
      </c>
      <c r="BE948" t="s">
        <v>17567</v>
      </c>
      <c r="BF948" t="str">
        <f>HYPERLINK("http://dx.doi.org/10.1002/joc.3795","http://dx.doi.org/10.1002/joc.3795")</f>
        <v>http://dx.doi.org/10.1002/joc.3795</v>
      </c>
      <c r="BG948" t="s">
        <v>74</v>
      </c>
      <c r="BH948" t="s">
        <v>74</v>
      </c>
      <c r="BI948">
        <v>17</v>
      </c>
      <c r="BJ948" t="s">
        <v>177</v>
      </c>
      <c r="BK948" t="s">
        <v>102</v>
      </c>
      <c r="BL948" t="s">
        <v>177</v>
      </c>
      <c r="BM948" t="s">
        <v>17568</v>
      </c>
      <c r="BN948" t="s">
        <v>74</v>
      </c>
      <c r="BO948" t="s">
        <v>74</v>
      </c>
      <c r="BP948" t="s">
        <v>74</v>
      </c>
      <c r="BQ948" t="s">
        <v>74</v>
      </c>
      <c r="BR948" t="s">
        <v>105</v>
      </c>
      <c r="BS948" t="s">
        <v>17569</v>
      </c>
      <c r="BT948" t="str">
        <f>HYPERLINK("https%3A%2F%2Fwww.webofscience.com%2Fwos%2Fwoscc%2Ffull-record%2FWOS:000333759100027","View Full Record in Web of Science")</f>
        <v>View Full Record in Web of Science</v>
      </c>
    </row>
    <row r="949" spans="1:72" x14ac:dyDescent="0.15">
      <c r="A949" t="s">
        <v>72</v>
      </c>
      <c r="B949" t="s">
        <v>17570</v>
      </c>
      <c r="C949" t="s">
        <v>74</v>
      </c>
      <c r="D949" t="s">
        <v>74</v>
      </c>
      <c r="E949" t="s">
        <v>74</v>
      </c>
      <c r="F949" t="s">
        <v>17571</v>
      </c>
      <c r="G949" t="s">
        <v>74</v>
      </c>
      <c r="H949" t="s">
        <v>74</v>
      </c>
      <c r="I949" t="s">
        <v>17572</v>
      </c>
      <c r="J949" t="s">
        <v>8577</v>
      </c>
      <c r="K949" t="s">
        <v>74</v>
      </c>
      <c r="L949" t="s">
        <v>74</v>
      </c>
      <c r="M949" t="s">
        <v>78</v>
      </c>
      <c r="N949" t="s">
        <v>79</v>
      </c>
      <c r="O949" t="s">
        <v>74</v>
      </c>
      <c r="P949" t="s">
        <v>74</v>
      </c>
      <c r="Q949" t="s">
        <v>74</v>
      </c>
      <c r="R949" t="s">
        <v>74</v>
      </c>
      <c r="S949" t="s">
        <v>74</v>
      </c>
      <c r="T949" t="s">
        <v>17573</v>
      </c>
      <c r="U949" t="s">
        <v>17574</v>
      </c>
      <c r="V949" t="s">
        <v>17575</v>
      </c>
      <c r="W949" t="s">
        <v>17576</v>
      </c>
      <c r="X949" t="s">
        <v>17577</v>
      </c>
      <c r="Y949" t="s">
        <v>17578</v>
      </c>
      <c r="Z949" t="s">
        <v>17579</v>
      </c>
      <c r="AA949" t="s">
        <v>17580</v>
      </c>
      <c r="AB949" t="s">
        <v>17581</v>
      </c>
      <c r="AC949" t="s">
        <v>17582</v>
      </c>
      <c r="AD949" t="s">
        <v>17583</v>
      </c>
      <c r="AE949" t="s">
        <v>17584</v>
      </c>
      <c r="AF949" t="s">
        <v>74</v>
      </c>
      <c r="AG949">
        <v>48</v>
      </c>
      <c r="AH949">
        <v>17</v>
      </c>
      <c r="AI949">
        <v>22</v>
      </c>
      <c r="AJ949">
        <v>1</v>
      </c>
      <c r="AK949">
        <v>19</v>
      </c>
      <c r="AL949" t="s">
        <v>331</v>
      </c>
      <c r="AM949" t="s">
        <v>332</v>
      </c>
      <c r="AN949" t="s">
        <v>333</v>
      </c>
      <c r="AO949" t="s">
        <v>8589</v>
      </c>
      <c r="AP949" t="s">
        <v>8590</v>
      </c>
      <c r="AQ949" t="s">
        <v>74</v>
      </c>
      <c r="AR949" t="s">
        <v>8591</v>
      </c>
      <c r="AS949" t="s">
        <v>8592</v>
      </c>
      <c r="AT949" t="s">
        <v>17364</v>
      </c>
      <c r="AU949">
        <v>2014</v>
      </c>
      <c r="AV949">
        <v>119</v>
      </c>
      <c r="AW949">
        <v>4</v>
      </c>
      <c r="AX949" t="s">
        <v>74</v>
      </c>
      <c r="AY949" t="s">
        <v>74</v>
      </c>
      <c r="AZ949" t="s">
        <v>74</v>
      </c>
      <c r="BA949" t="s">
        <v>74</v>
      </c>
      <c r="BB949">
        <v>731</v>
      </c>
      <c r="BC949">
        <v>744</v>
      </c>
      <c r="BD949" t="s">
        <v>74</v>
      </c>
      <c r="BE949" t="s">
        <v>17585</v>
      </c>
      <c r="BF949" t="str">
        <f>HYPERLINK("http://dx.doi.org/10.1002/2013JF002849","http://dx.doi.org/10.1002/2013JF002849")</f>
        <v>http://dx.doi.org/10.1002/2013JF002849</v>
      </c>
      <c r="BG949" t="s">
        <v>74</v>
      </c>
      <c r="BH949" t="s">
        <v>74</v>
      </c>
      <c r="BI949">
        <v>14</v>
      </c>
      <c r="BJ949" t="s">
        <v>685</v>
      </c>
      <c r="BK949" t="s">
        <v>102</v>
      </c>
      <c r="BL949" t="s">
        <v>686</v>
      </c>
      <c r="BM949" t="s">
        <v>17586</v>
      </c>
      <c r="BN949" t="s">
        <v>74</v>
      </c>
      <c r="BO949" t="s">
        <v>2037</v>
      </c>
      <c r="BP949" t="s">
        <v>74</v>
      </c>
      <c r="BQ949" t="s">
        <v>74</v>
      </c>
      <c r="BR949" t="s">
        <v>105</v>
      </c>
      <c r="BS949" t="s">
        <v>17587</v>
      </c>
      <c r="BT949" t="str">
        <f>HYPERLINK("https%3A%2F%2Fwww.webofscience.com%2Fwos%2Fwoscc%2Ffull-record%2FWOS:000336487100003","View Full Record in Web of Science")</f>
        <v>View Full Record in Web of Science</v>
      </c>
    </row>
    <row r="950" spans="1:72" x14ac:dyDescent="0.15">
      <c r="A950" t="s">
        <v>72</v>
      </c>
      <c r="B950" t="s">
        <v>17588</v>
      </c>
      <c r="C950" t="s">
        <v>74</v>
      </c>
      <c r="D950" t="s">
        <v>74</v>
      </c>
      <c r="E950" t="s">
        <v>74</v>
      </c>
      <c r="F950" t="s">
        <v>17589</v>
      </c>
      <c r="G950" t="s">
        <v>74</v>
      </c>
      <c r="H950" t="s">
        <v>74</v>
      </c>
      <c r="I950" t="s">
        <v>17590</v>
      </c>
      <c r="J950" t="s">
        <v>1951</v>
      </c>
      <c r="K950" t="s">
        <v>74</v>
      </c>
      <c r="L950" t="s">
        <v>74</v>
      </c>
      <c r="M950" t="s">
        <v>78</v>
      </c>
      <c r="N950" t="s">
        <v>79</v>
      </c>
      <c r="O950" t="s">
        <v>74</v>
      </c>
      <c r="P950" t="s">
        <v>74</v>
      </c>
      <c r="Q950" t="s">
        <v>74</v>
      </c>
      <c r="R950" t="s">
        <v>74</v>
      </c>
      <c r="S950" t="s">
        <v>74</v>
      </c>
      <c r="T950" t="s">
        <v>17591</v>
      </c>
      <c r="U950" t="s">
        <v>17592</v>
      </c>
      <c r="V950" t="s">
        <v>17593</v>
      </c>
      <c r="W950" t="s">
        <v>17594</v>
      </c>
      <c r="X950" t="s">
        <v>17595</v>
      </c>
      <c r="Y950" t="s">
        <v>17596</v>
      </c>
      <c r="Z950" t="s">
        <v>17597</v>
      </c>
      <c r="AA950" t="s">
        <v>17598</v>
      </c>
      <c r="AB950" t="s">
        <v>17599</v>
      </c>
      <c r="AC950" t="s">
        <v>17600</v>
      </c>
      <c r="AD950" t="s">
        <v>17601</v>
      </c>
      <c r="AE950" t="s">
        <v>17602</v>
      </c>
      <c r="AF950" t="s">
        <v>74</v>
      </c>
      <c r="AG950">
        <v>46</v>
      </c>
      <c r="AH950">
        <v>20</v>
      </c>
      <c r="AI950">
        <v>20</v>
      </c>
      <c r="AJ950">
        <v>0</v>
      </c>
      <c r="AK950">
        <v>34</v>
      </c>
      <c r="AL950" t="s">
        <v>331</v>
      </c>
      <c r="AM950" t="s">
        <v>332</v>
      </c>
      <c r="AN950" t="s">
        <v>333</v>
      </c>
      <c r="AO950" t="s">
        <v>1963</v>
      </c>
      <c r="AP950" t="s">
        <v>1964</v>
      </c>
      <c r="AQ950" t="s">
        <v>74</v>
      </c>
      <c r="AR950" t="s">
        <v>1965</v>
      </c>
      <c r="AS950" t="s">
        <v>1966</v>
      </c>
      <c r="AT950" t="s">
        <v>17364</v>
      </c>
      <c r="AU950">
        <v>2014</v>
      </c>
      <c r="AV950">
        <v>119</v>
      </c>
      <c r="AW950">
        <v>4</v>
      </c>
      <c r="AX950" t="s">
        <v>74</v>
      </c>
      <c r="AY950" t="s">
        <v>74</v>
      </c>
      <c r="AZ950" t="s">
        <v>74</v>
      </c>
      <c r="BA950" t="s">
        <v>74</v>
      </c>
      <c r="BB950">
        <v>2227</v>
      </c>
      <c r="BC950">
        <v>2237</v>
      </c>
      <c r="BD950" t="s">
        <v>74</v>
      </c>
      <c r="BE950" t="s">
        <v>17603</v>
      </c>
      <c r="BF950" t="str">
        <f>HYPERLINK("http://dx.doi.org/10.1002/2013JC009305","http://dx.doi.org/10.1002/2013JC009305")</f>
        <v>http://dx.doi.org/10.1002/2013JC009305</v>
      </c>
      <c r="BG950" t="s">
        <v>74</v>
      </c>
      <c r="BH950" t="s">
        <v>74</v>
      </c>
      <c r="BI950">
        <v>11</v>
      </c>
      <c r="BJ950" t="s">
        <v>152</v>
      </c>
      <c r="BK950" t="s">
        <v>102</v>
      </c>
      <c r="BL950" t="s">
        <v>152</v>
      </c>
      <c r="BM950" t="s">
        <v>17604</v>
      </c>
      <c r="BN950" t="s">
        <v>74</v>
      </c>
      <c r="BO950" t="s">
        <v>1274</v>
      </c>
      <c r="BP950" t="s">
        <v>74</v>
      </c>
      <c r="BQ950" t="s">
        <v>74</v>
      </c>
      <c r="BR950" t="s">
        <v>105</v>
      </c>
      <c r="BS950" t="s">
        <v>17605</v>
      </c>
      <c r="BT950" t="str">
        <f>HYPERLINK("https%3A%2F%2Fwww.webofscience.com%2Fwos%2Fwoscc%2Ffull-record%2FWOS:000336213200007","View Full Record in Web of Science")</f>
        <v>View Full Record in Web of Science</v>
      </c>
    </row>
    <row r="951" spans="1:72" x14ac:dyDescent="0.15">
      <c r="A951" t="s">
        <v>72</v>
      </c>
      <c r="B951" t="s">
        <v>17606</v>
      </c>
      <c r="C951" t="s">
        <v>74</v>
      </c>
      <c r="D951" t="s">
        <v>74</v>
      </c>
      <c r="E951" t="s">
        <v>74</v>
      </c>
      <c r="F951" t="s">
        <v>17607</v>
      </c>
      <c r="G951" t="s">
        <v>74</v>
      </c>
      <c r="H951" t="s">
        <v>74</v>
      </c>
      <c r="I951" t="s">
        <v>17608</v>
      </c>
      <c r="J951" t="s">
        <v>1951</v>
      </c>
      <c r="K951" t="s">
        <v>74</v>
      </c>
      <c r="L951" t="s">
        <v>74</v>
      </c>
      <c r="M951" t="s">
        <v>78</v>
      </c>
      <c r="N951" t="s">
        <v>79</v>
      </c>
      <c r="O951" t="s">
        <v>74</v>
      </c>
      <c r="P951" t="s">
        <v>74</v>
      </c>
      <c r="Q951" t="s">
        <v>74</v>
      </c>
      <c r="R951" t="s">
        <v>74</v>
      </c>
      <c r="S951" t="s">
        <v>74</v>
      </c>
      <c r="T951" t="s">
        <v>17609</v>
      </c>
      <c r="U951" t="s">
        <v>17610</v>
      </c>
      <c r="V951" t="s">
        <v>17611</v>
      </c>
      <c r="W951" t="s">
        <v>17612</v>
      </c>
      <c r="X951" t="s">
        <v>17613</v>
      </c>
      <c r="Y951" t="s">
        <v>17614</v>
      </c>
      <c r="Z951" t="s">
        <v>17615</v>
      </c>
      <c r="AA951" t="s">
        <v>17616</v>
      </c>
      <c r="AB951" t="s">
        <v>17617</v>
      </c>
      <c r="AC951" t="s">
        <v>17618</v>
      </c>
      <c r="AD951" t="s">
        <v>17619</v>
      </c>
      <c r="AE951" t="s">
        <v>17620</v>
      </c>
      <c r="AF951" t="s">
        <v>74</v>
      </c>
      <c r="AG951">
        <v>38</v>
      </c>
      <c r="AH951">
        <v>13</v>
      </c>
      <c r="AI951">
        <v>13</v>
      </c>
      <c r="AJ951">
        <v>0</v>
      </c>
      <c r="AK951">
        <v>13</v>
      </c>
      <c r="AL951" t="s">
        <v>331</v>
      </c>
      <c r="AM951" t="s">
        <v>332</v>
      </c>
      <c r="AN951" t="s">
        <v>333</v>
      </c>
      <c r="AO951" t="s">
        <v>1963</v>
      </c>
      <c r="AP951" t="s">
        <v>1964</v>
      </c>
      <c r="AQ951" t="s">
        <v>74</v>
      </c>
      <c r="AR951" t="s">
        <v>1965</v>
      </c>
      <c r="AS951" t="s">
        <v>1966</v>
      </c>
      <c r="AT951" t="s">
        <v>17364</v>
      </c>
      <c r="AU951">
        <v>2014</v>
      </c>
      <c r="AV951">
        <v>119</v>
      </c>
      <c r="AW951">
        <v>4</v>
      </c>
      <c r="AX951" t="s">
        <v>74</v>
      </c>
      <c r="AY951" t="s">
        <v>74</v>
      </c>
      <c r="AZ951" t="s">
        <v>74</v>
      </c>
      <c r="BA951" t="s">
        <v>74</v>
      </c>
      <c r="BB951">
        <v>2344</v>
      </c>
      <c r="BC951">
        <v>2362</v>
      </c>
      <c r="BD951" t="s">
        <v>74</v>
      </c>
      <c r="BE951" t="s">
        <v>17621</v>
      </c>
      <c r="BF951" t="str">
        <f>HYPERLINK("http://dx.doi.org/10.1002/2013JC009070","http://dx.doi.org/10.1002/2013JC009070")</f>
        <v>http://dx.doi.org/10.1002/2013JC009070</v>
      </c>
      <c r="BG951" t="s">
        <v>74</v>
      </c>
      <c r="BH951" t="s">
        <v>74</v>
      </c>
      <c r="BI951">
        <v>19</v>
      </c>
      <c r="BJ951" t="s">
        <v>152</v>
      </c>
      <c r="BK951" t="s">
        <v>102</v>
      </c>
      <c r="BL951" t="s">
        <v>152</v>
      </c>
      <c r="BM951" t="s">
        <v>17604</v>
      </c>
      <c r="BN951" t="s">
        <v>74</v>
      </c>
      <c r="BO951" t="s">
        <v>4603</v>
      </c>
      <c r="BP951" t="s">
        <v>74</v>
      </c>
      <c r="BQ951" t="s">
        <v>74</v>
      </c>
      <c r="BR951" t="s">
        <v>105</v>
      </c>
      <c r="BS951" t="s">
        <v>17622</v>
      </c>
      <c r="BT951" t="str">
        <f>HYPERLINK("https%3A%2F%2Fwww.webofscience.com%2Fwos%2Fwoscc%2Ffull-record%2FWOS:000336213200013","View Full Record in Web of Science")</f>
        <v>View Full Record in Web of Science</v>
      </c>
    </row>
    <row r="952" spans="1:72" x14ac:dyDescent="0.15">
      <c r="A952" t="s">
        <v>72</v>
      </c>
      <c r="B952" t="s">
        <v>17623</v>
      </c>
      <c r="C952" t="s">
        <v>74</v>
      </c>
      <c r="D952" t="s">
        <v>74</v>
      </c>
      <c r="E952" t="s">
        <v>74</v>
      </c>
      <c r="F952" t="s">
        <v>17624</v>
      </c>
      <c r="G952" t="s">
        <v>74</v>
      </c>
      <c r="H952" t="s">
        <v>74</v>
      </c>
      <c r="I952" t="s">
        <v>17625</v>
      </c>
      <c r="J952" t="s">
        <v>1951</v>
      </c>
      <c r="K952" t="s">
        <v>74</v>
      </c>
      <c r="L952" t="s">
        <v>74</v>
      </c>
      <c r="M952" t="s">
        <v>78</v>
      </c>
      <c r="N952" t="s">
        <v>79</v>
      </c>
      <c r="O952" t="s">
        <v>74</v>
      </c>
      <c r="P952" t="s">
        <v>74</v>
      </c>
      <c r="Q952" t="s">
        <v>74</v>
      </c>
      <c r="R952" t="s">
        <v>74</v>
      </c>
      <c r="S952" t="s">
        <v>74</v>
      </c>
      <c r="T952" t="s">
        <v>17626</v>
      </c>
      <c r="U952" t="s">
        <v>17627</v>
      </c>
      <c r="V952" t="s">
        <v>17628</v>
      </c>
      <c r="W952" t="s">
        <v>17629</v>
      </c>
      <c r="X952" t="s">
        <v>17630</v>
      </c>
      <c r="Y952" t="s">
        <v>17631</v>
      </c>
      <c r="Z952" t="s">
        <v>17632</v>
      </c>
      <c r="AA952" t="s">
        <v>74</v>
      </c>
      <c r="AB952" t="s">
        <v>74</v>
      </c>
      <c r="AC952" t="s">
        <v>17633</v>
      </c>
      <c r="AD952" t="s">
        <v>17634</v>
      </c>
      <c r="AE952" t="s">
        <v>17635</v>
      </c>
      <c r="AF952" t="s">
        <v>74</v>
      </c>
      <c r="AG952">
        <v>52</v>
      </c>
      <c r="AH952">
        <v>22</v>
      </c>
      <c r="AI952">
        <v>26</v>
      </c>
      <c r="AJ952">
        <v>0</v>
      </c>
      <c r="AK952">
        <v>50</v>
      </c>
      <c r="AL952" t="s">
        <v>331</v>
      </c>
      <c r="AM952" t="s">
        <v>332</v>
      </c>
      <c r="AN952" t="s">
        <v>333</v>
      </c>
      <c r="AO952" t="s">
        <v>1963</v>
      </c>
      <c r="AP952" t="s">
        <v>1964</v>
      </c>
      <c r="AQ952" t="s">
        <v>74</v>
      </c>
      <c r="AR952" t="s">
        <v>1965</v>
      </c>
      <c r="AS952" t="s">
        <v>1966</v>
      </c>
      <c r="AT952" t="s">
        <v>17364</v>
      </c>
      <c r="AU952">
        <v>2014</v>
      </c>
      <c r="AV952">
        <v>119</v>
      </c>
      <c r="AW952">
        <v>4</v>
      </c>
      <c r="AX952" t="s">
        <v>74</v>
      </c>
      <c r="AY952" t="s">
        <v>74</v>
      </c>
      <c r="AZ952" t="s">
        <v>74</v>
      </c>
      <c r="BA952" t="s">
        <v>74</v>
      </c>
      <c r="BB952">
        <v>2518</v>
      </c>
      <c r="BC952">
        <v>2538</v>
      </c>
      <c r="BD952" t="s">
        <v>74</v>
      </c>
      <c r="BE952" t="s">
        <v>17636</v>
      </c>
      <c r="BF952" t="str">
        <f>HYPERLINK("http://dx.doi.org/10.1002/2013JC009156","http://dx.doi.org/10.1002/2013JC009156")</f>
        <v>http://dx.doi.org/10.1002/2013JC009156</v>
      </c>
      <c r="BG952" t="s">
        <v>74</v>
      </c>
      <c r="BH952" t="s">
        <v>74</v>
      </c>
      <c r="BI952">
        <v>21</v>
      </c>
      <c r="BJ952" t="s">
        <v>152</v>
      </c>
      <c r="BK952" t="s">
        <v>102</v>
      </c>
      <c r="BL952" t="s">
        <v>152</v>
      </c>
      <c r="BM952" t="s">
        <v>17604</v>
      </c>
      <c r="BN952" t="s">
        <v>74</v>
      </c>
      <c r="BO952" t="s">
        <v>74</v>
      </c>
      <c r="BP952" t="s">
        <v>74</v>
      </c>
      <c r="BQ952" t="s">
        <v>74</v>
      </c>
      <c r="BR952" t="s">
        <v>105</v>
      </c>
      <c r="BS952" t="s">
        <v>17637</v>
      </c>
      <c r="BT952" t="str">
        <f>HYPERLINK("https%3A%2F%2Fwww.webofscience.com%2Fwos%2Fwoscc%2Ffull-record%2FWOS:000336213200022","View Full Record in Web of Science")</f>
        <v>View Full Record in Web of Science</v>
      </c>
    </row>
    <row r="953" spans="1:72" x14ac:dyDescent="0.15">
      <c r="A953" t="s">
        <v>72</v>
      </c>
      <c r="B953" t="s">
        <v>17638</v>
      </c>
      <c r="C953" t="s">
        <v>74</v>
      </c>
      <c r="D953" t="s">
        <v>74</v>
      </c>
      <c r="E953" t="s">
        <v>74</v>
      </c>
      <c r="F953" t="s">
        <v>17639</v>
      </c>
      <c r="G953" t="s">
        <v>74</v>
      </c>
      <c r="H953" t="s">
        <v>74</v>
      </c>
      <c r="I953" t="s">
        <v>17640</v>
      </c>
      <c r="J953" t="s">
        <v>1951</v>
      </c>
      <c r="K953" t="s">
        <v>74</v>
      </c>
      <c r="L953" t="s">
        <v>74</v>
      </c>
      <c r="M953" t="s">
        <v>78</v>
      </c>
      <c r="N953" t="s">
        <v>79</v>
      </c>
      <c r="O953" t="s">
        <v>74</v>
      </c>
      <c r="P953" t="s">
        <v>74</v>
      </c>
      <c r="Q953" t="s">
        <v>74</v>
      </c>
      <c r="R953" t="s">
        <v>74</v>
      </c>
      <c r="S953" t="s">
        <v>74</v>
      </c>
      <c r="T953" t="s">
        <v>17641</v>
      </c>
      <c r="U953" t="s">
        <v>17642</v>
      </c>
      <c r="V953" t="s">
        <v>17643</v>
      </c>
      <c r="W953" t="s">
        <v>17644</v>
      </c>
      <c r="X953" t="s">
        <v>8171</v>
      </c>
      <c r="Y953" t="s">
        <v>17645</v>
      </c>
      <c r="Z953" t="s">
        <v>17646</v>
      </c>
      <c r="AA953" t="s">
        <v>8174</v>
      </c>
      <c r="AB953" t="s">
        <v>8175</v>
      </c>
      <c r="AC953" t="s">
        <v>17647</v>
      </c>
      <c r="AD953" t="s">
        <v>17648</v>
      </c>
      <c r="AE953" t="s">
        <v>17649</v>
      </c>
      <c r="AF953" t="s">
        <v>74</v>
      </c>
      <c r="AG953">
        <v>41</v>
      </c>
      <c r="AH953">
        <v>23</v>
      </c>
      <c r="AI953">
        <v>24</v>
      </c>
      <c r="AJ953">
        <v>1</v>
      </c>
      <c r="AK953">
        <v>31</v>
      </c>
      <c r="AL953" t="s">
        <v>331</v>
      </c>
      <c r="AM953" t="s">
        <v>332</v>
      </c>
      <c r="AN953" t="s">
        <v>333</v>
      </c>
      <c r="AO953" t="s">
        <v>1963</v>
      </c>
      <c r="AP953" t="s">
        <v>1964</v>
      </c>
      <c r="AQ953" t="s">
        <v>74</v>
      </c>
      <c r="AR953" t="s">
        <v>1965</v>
      </c>
      <c r="AS953" t="s">
        <v>1966</v>
      </c>
      <c r="AT953" t="s">
        <v>17364</v>
      </c>
      <c r="AU953">
        <v>2014</v>
      </c>
      <c r="AV953">
        <v>119</v>
      </c>
      <c r="AW953">
        <v>4</v>
      </c>
      <c r="AX953" t="s">
        <v>74</v>
      </c>
      <c r="AY953" t="s">
        <v>74</v>
      </c>
      <c r="AZ953" t="s">
        <v>74</v>
      </c>
      <c r="BA953" t="s">
        <v>74</v>
      </c>
      <c r="BB953">
        <v>2658</v>
      </c>
      <c r="BC953">
        <v>2678</v>
      </c>
      <c r="BD953" t="s">
        <v>74</v>
      </c>
      <c r="BE953" t="s">
        <v>17650</v>
      </c>
      <c r="BF953" t="str">
        <f>HYPERLINK("http://dx.doi.org/10.1002/2013JC009688","http://dx.doi.org/10.1002/2013JC009688")</f>
        <v>http://dx.doi.org/10.1002/2013JC009688</v>
      </c>
      <c r="BG953" t="s">
        <v>74</v>
      </c>
      <c r="BH953" t="s">
        <v>74</v>
      </c>
      <c r="BI953">
        <v>21</v>
      </c>
      <c r="BJ953" t="s">
        <v>152</v>
      </c>
      <c r="BK953" t="s">
        <v>102</v>
      </c>
      <c r="BL953" t="s">
        <v>152</v>
      </c>
      <c r="BM953" t="s">
        <v>17604</v>
      </c>
      <c r="BN953" t="s">
        <v>74</v>
      </c>
      <c r="BO953" t="s">
        <v>262</v>
      </c>
      <c r="BP953" t="s">
        <v>74</v>
      </c>
      <c r="BQ953" t="s">
        <v>74</v>
      </c>
      <c r="BR953" t="s">
        <v>105</v>
      </c>
      <c r="BS953" t="s">
        <v>17651</v>
      </c>
      <c r="BT953" t="str">
        <f>HYPERLINK("https%3A%2F%2Fwww.webofscience.com%2Fwos%2Fwoscc%2Ffull-record%2FWOS:000336213200030","View Full Record in Web of Science")</f>
        <v>View Full Record in Web of Science</v>
      </c>
    </row>
    <row r="954" spans="1:72" x14ac:dyDescent="0.15">
      <c r="A954" t="s">
        <v>72</v>
      </c>
      <c r="B954" t="s">
        <v>17652</v>
      </c>
      <c r="C954" t="s">
        <v>74</v>
      </c>
      <c r="D954" t="s">
        <v>74</v>
      </c>
      <c r="E954" t="s">
        <v>74</v>
      </c>
      <c r="F954" t="s">
        <v>17653</v>
      </c>
      <c r="G954" t="s">
        <v>74</v>
      </c>
      <c r="H954" t="s">
        <v>74</v>
      </c>
      <c r="I954" t="s">
        <v>17654</v>
      </c>
      <c r="J954" t="s">
        <v>318</v>
      </c>
      <c r="K954" t="s">
        <v>74</v>
      </c>
      <c r="L954" t="s">
        <v>74</v>
      </c>
      <c r="M954" t="s">
        <v>78</v>
      </c>
      <c r="N954" t="s">
        <v>79</v>
      </c>
      <c r="O954" t="s">
        <v>74</v>
      </c>
      <c r="P954" t="s">
        <v>74</v>
      </c>
      <c r="Q954" t="s">
        <v>74</v>
      </c>
      <c r="R954" t="s">
        <v>74</v>
      </c>
      <c r="S954" t="s">
        <v>74</v>
      </c>
      <c r="T954" t="s">
        <v>17655</v>
      </c>
      <c r="U954" t="s">
        <v>17656</v>
      </c>
      <c r="V954" t="s">
        <v>17657</v>
      </c>
      <c r="W954" t="s">
        <v>17658</v>
      </c>
      <c r="X954" t="s">
        <v>17659</v>
      </c>
      <c r="Y954" t="s">
        <v>17660</v>
      </c>
      <c r="Z954" t="s">
        <v>17661</v>
      </c>
      <c r="AA954" t="s">
        <v>17662</v>
      </c>
      <c r="AB954" t="s">
        <v>17663</v>
      </c>
      <c r="AC954" t="s">
        <v>17664</v>
      </c>
      <c r="AD954" t="s">
        <v>17665</v>
      </c>
      <c r="AE954" t="s">
        <v>17666</v>
      </c>
      <c r="AF954" t="s">
        <v>74</v>
      </c>
      <c r="AG954">
        <v>32</v>
      </c>
      <c r="AH954">
        <v>12</v>
      </c>
      <c r="AI954">
        <v>14</v>
      </c>
      <c r="AJ954">
        <v>1</v>
      </c>
      <c r="AK954">
        <v>16</v>
      </c>
      <c r="AL954" t="s">
        <v>331</v>
      </c>
      <c r="AM954" t="s">
        <v>332</v>
      </c>
      <c r="AN954" t="s">
        <v>333</v>
      </c>
      <c r="AO954" t="s">
        <v>334</v>
      </c>
      <c r="AP954" t="s">
        <v>335</v>
      </c>
      <c r="AQ954" t="s">
        <v>74</v>
      </c>
      <c r="AR954" t="s">
        <v>336</v>
      </c>
      <c r="AS954" t="s">
        <v>337</v>
      </c>
      <c r="AT954" t="s">
        <v>17364</v>
      </c>
      <c r="AU954">
        <v>2014</v>
      </c>
      <c r="AV954">
        <v>119</v>
      </c>
      <c r="AW954">
        <v>4</v>
      </c>
      <c r="AX954" t="s">
        <v>74</v>
      </c>
      <c r="AY954" t="s">
        <v>74</v>
      </c>
      <c r="AZ954" t="s">
        <v>74</v>
      </c>
      <c r="BA954" t="s">
        <v>74</v>
      </c>
      <c r="BB954">
        <v>3002</v>
      </c>
      <c r="BC954">
        <v>3015</v>
      </c>
      <c r="BD954" t="s">
        <v>74</v>
      </c>
      <c r="BE954" t="s">
        <v>17667</v>
      </c>
      <c r="BF954" t="str">
        <f>HYPERLINK("http://dx.doi.org/10.1002/2013JA019477","http://dx.doi.org/10.1002/2013JA019477")</f>
        <v>http://dx.doi.org/10.1002/2013JA019477</v>
      </c>
      <c r="BG954" t="s">
        <v>74</v>
      </c>
      <c r="BH954" t="s">
        <v>74</v>
      </c>
      <c r="BI954">
        <v>14</v>
      </c>
      <c r="BJ954" t="s">
        <v>339</v>
      </c>
      <c r="BK954" t="s">
        <v>102</v>
      </c>
      <c r="BL954" t="s">
        <v>339</v>
      </c>
      <c r="BM954" t="s">
        <v>17668</v>
      </c>
      <c r="BN954" t="s">
        <v>74</v>
      </c>
      <c r="BO954" t="s">
        <v>1274</v>
      </c>
      <c r="BP954" t="s">
        <v>74</v>
      </c>
      <c r="BQ954" t="s">
        <v>74</v>
      </c>
      <c r="BR954" t="s">
        <v>105</v>
      </c>
      <c r="BS954" t="s">
        <v>17669</v>
      </c>
      <c r="BT954" t="str">
        <f>HYPERLINK("https%3A%2F%2Fwww.webofscience.com%2Fwos%2Fwoscc%2Ffull-record%2FWOS:000336218600041","View Full Record in Web of Science")</f>
        <v>View Full Record in Web of Science</v>
      </c>
    </row>
    <row r="955" spans="1:72" x14ac:dyDescent="0.15">
      <c r="A955" t="s">
        <v>72</v>
      </c>
      <c r="B955" t="s">
        <v>17670</v>
      </c>
      <c r="C955" t="s">
        <v>74</v>
      </c>
      <c r="D955" t="s">
        <v>74</v>
      </c>
      <c r="E955" t="s">
        <v>74</v>
      </c>
      <c r="F955" t="s">
        <v>17671</v>
      </c>
      <c r="G955" t="s">
        <v>74</v>
      </c>
      <c r="H955" t="s">
        <v>74</v>
      </c>
      <c r="I955" t="s">
        <v>17672</v>
      </c>
      <c r="J955" t="s">
        <v>318</v>
      </c>
      <c r="K955" t="s">
        <v>74</v>
      </c>
      <c r="L955" t="s">
        <v>74</v>
      </c>
      <c r="M955" t="s">
        <v>78</v>
      </c>
      <c r="N955" t="s">
        <v>79</v>
      </c>
      <c r="O955" t="s">
        <v>74</v>
      </c>
      <c r="P955" t="s">
        <v>74</v>
      </c>
      <c r="Q955" t="s">
        <v>74</v>
      </c>
      <c r="R955" t="s">
        <v>74</v>
      </c>
      <c r="S955" t="s">
        <v>74</v>
      </c>
      <c r="T955" t="s">
        <v>17673</v>
      </c>
      <c r="U955" t="s">
        <v>17674</v>
      </c>
      <c r="V955" t="s">
        <v>17675</v>
      </c>
      <c r="W955" t="s">
        <v>17676</v>
      </c>
      <c r="X955" t="s">
        <v>17677</v>
      </c>
      <c r="Y955" t="s">
        <v>17678</v>
      </c>
      <c r="Z955" t="s">
        <v>17679</v>
      </c>
      <c r="AA955" t="s">
        <v>17680</v>
      </c>
      <c r="AB955" t="s">
        <v>17681</v>
      </c>
      <c r="AC955" t="s">
        <v>17682</v>
      </c>
      <c r="AD955" t="s">
        <v>17683</v>
      </c>
      <c r="AE955" t="s">
        <v>17684</v>
      </c>
      <c r="AF955" t="s">
        <v>74</v>
      </c>
      <c r="AG955">
        <v>28</v>
      </c>
      <c r="AH955">
        <v>13</v>
      </c>
      <c r="AI955">
        <v>13</v>
      </c>
      <c r="AJ955">
        <v>1</v>
      </c>
      <c r="AK955">
        <v>8</v>
      </c>
      <c r="AL955" t="s">
        <v>331</v>
      </c>
      <c r="AM955" t="s">
        <v>332</v>
      </c>
      <c r="AN955" t="s">
        <v>333</v>
      </c>
      <c r="AO955" t="s">
        <v>334</v>
      </c>
      <c r="AP955" t="s">
        <v>335</v>
      </c>
      <c r="AQ955" t="s">
        <v>74</v>
      </c>
      <c r="AR955" t="s">
        <v>336</v>
      </c>
      <c r="AS955" t="s">
        <v>337</v>
      </c>
      <c r="AT955" t="s">
        <v>17364</v>
      </c>
      <c r="AU955">
        <v>2014</v>
      </c>
      <c r="AV955">
        <v>119</v>
      </c>
      <c r="AW955">
        <v>4</v>
      </c>
      <c r="AX955" t="s">
        <v>74</v>
      </c>
      <c r="AY955" t="s">
        <v>74</v>
      </c>
      <c r="AZ955" t="s">
        <v>74</v>
      </c>
      <c r="BA955" t="s">
        <v>74</v>
      </c>
      <c r="BB955">
        <v>3029</v>
      </c>
      <c r="BC955">
        <v>3035</v>
      </c>
      <c r="BD955" t="s">
        <v>74</v>
      </c>
      <c r="BE955" t="s">
        <v>17685</v>
      </c>
      <c r="BF955" t="str">
        <f>HYPERLINK("http://dx.doi.org/10.1002/2013JA019716","http://dx.doi.org/10.1002/2013JA019716")</f>
        <v>http://dx.doi.org/10.1002/2013JA019716</v>
      </c>
      <c r="BG955" t="s">
        <v>74</v>
      </c>
      <c r="BH955" t="s">
        <v>74</v>
      </c>
      <c r="BI955">
        <v>7</v>
      </c>
      <c r="BJ955" t="s">
        <v>339</v>
      </c>
      <c r="BK955" t="s">
        <v>102</v>
      </c>
      <c r="BL955" t="s">
        <v>339</v>
      </c>
      <c r="BM955" t="s">
        <v>17668</v>
      </c>
      <c r="BN955" t="s">
        <v>74</v>
      </c>
      <c r="BO955" t="s">
        <v>74</v>
      </c>
      <c r="BP955" t="s">
        <v>74</v>
      </c>
      <c r="BQ955" t="s">
        <v>74</v>
      </c>
      <c r="BR955" t="s">
        <v>105</v>
      </c>
      <c r="BS955" t="s">
        <v>17686</v>
      </c>
      <c r="BT955" t="str">
        <f>HYPERLINK("https%3A%2F%2Fwww.webofscience.com%2Fwos%2Fwoscc%2Ffull-record%2FWOS:000336218600043","View Full Record in Web of Science")</f>
        <v>View Full Record in Web of Science</v>
      </c>
    </row>
    <row r="956" spans="1:72" x14ac:dyDescent="0.15">
      <c r="A956" t="s">
        <v>72</v>
      </c>
      <c r="B956" t="s">
        <v>17687</v>
      </c>
      <c r="C956" t="s">
        <v>74</v>
      </c>
      <c r="D956" t="s">
        <v>74</v>
      </c>
      <c r="E956" t="s">
        <v>74</v>
      </c>
      <c r="F956" t="s">
        <v>17688</v>
      </c>
      <c r="G956" t="s">
        <v>74</v>
      </c>
      <c r="H956" t="s">
        <v>74</v>
      </c>
      <c r="I956" t="s">
        <v>17689</v>
      </c>
      <c r="J956" t="s">
        <v>3350</v>
      </c>
      <c r="K956" t="s">
        <v>74</v>
      </c>
      <c r="L956" t="s">
        <v>74</v>
      </c>
      <c r="M956" t="s">
        <v>78</v>
      </c>
      <c r="N956" t="s">
        <v>79</v>
      </c>
      <c r="O956" t="s">
        <v>74</v>
      </c>
      <c r="P956" t="s">
        <v>74</v>
      </c>
      <c r="Q956" t="s">
        <v>74</v>
      </c>
      <c r="R956" t="s">
        <v>74</v>
      </c>
      <c r="S956" t="s">
        <v>74</v>
      </c>
      <c r="T956" t="s">
        <v>17690</v>
      </c>
      <c r="U956" t="s">
        <v>74</v>
      </c>
      <c r="V956" t="s">
        <v>17691</v>
      </c>
      <c r="W956" t="s">
        <v>17692</v>
      </c>
      <c r="X956" t="s">
        <v>17693</v>
      </c>
      <c r="Y956" t="s">
        <v>17694</v>
      </c>
      <c r="Z956" t="s">
        <v>17695</v>
      </c>
      <c r="AA956" t="s">
        <v>17696</v>
      </c>
      <c r="AB956" t="s">
        <v>17697</v>
      </c>
      <c r="AC956" t="s">
        <v>17698</v>
      </c>
      <c r="AD956" t="s">
        <v>17699</v>
      </c>
      <c r="AE956" t="s">
        <v>17700</v>
      </c>
      <c r="AF956" t="s">
        <v>74</v>
      </c>
      <c r="AG956">
        <v>24</v>
      </c>
      <c r="AH956">
        <v>41</v>
      </c>
      <c r="AI956">
        <v>51</v>
      </c>
      <c r="AJ956">
        <v>0</v>
      </c>
      <c r="AK956">
        <v>20</v>
      </c>
      <c r="AL956" t="s">
        <v>1070</v>
      </c>
      <c r="AM956" t="s">
        <v>654</v>
      </c>
      <c r="AN956" t="s">
        <v>1071</v>
      </c>
      <c r="AO956" t="s">
        <v>3363</v>
      </c>
      <c r="AP956" t="s">
        <v>3364</v>
      </c>
      <c r="AQ956" t="s">
        <v>74</v>
      </c>
      <c r="AR956" t="s">
        <v>3365</v>
      </c>
      <c r="AS956" t="s">
        <v>3366</v>
      </c>
      <c r="AT956" t="s">
        <v>17701</v>
      </c>
      <c r="AU956">
        <v>2014</v>
      </c>
      <c r="AV956">
        <v>10</v>
      </c>
      <c r="AW956">
        <v>4</v>
      </c>
      <c r="AX956" t="s">
        <v>74</v>
      </c>
      <c r="AY956" t="s">
        <v>74</v>
      </c>
      <c r="AZ956" t="s">
        <v>74</v>
      </c>
      <c r="BA956" t="s">
        <v>74</v>
      </c>
      <c r="BB956" t="s">
        <v>74</v>
      </c>
      <c r="BC956" t="s">
        <v>74</v>
      </c>
      <c r="BD956" t="s">
        <v>74</v>
      </c>
      <c r="BE956" t="s">
        <v>17702</v>
      </c>
      <c r="BF956" t="str">
        <f>HYPERLINK("http://dx.doi.org/10.1098/rsbl.2014.0175","http://dx.doi.org/10.1098/rsbl.2014.0175")</f>
        <v>http://dx.doi.org/10.1098/rsbl.2014.0175</v>
      </c>
      <c r="BG956" t="s">
        <v>74</v>
      </c>
      <c r="BH956" t="s">
        <v>74</v>
      </c>
      <c r="BI956">
        <v>5</v>
      </c>
      <c r="BJ956" t="s">
        <v>3368</v>
      </c>
      <c r="BK956" t="s">
        <v>102</v>
      </c>
      <c r="BL956" t="s">
        <v>3369</v>
      </c>
      <c r="BM956" t="s">
        <v>17703</v>
      </c>
      <c r="BN956">
        <v>24759372</v>
      </c>
      <c r="BO956" t="s">
        <v>2647</v>
      </c>
      <c r="BP956" t="s">
        <v>74</v>
      </c>
      <c r="BQ956" t="s">
        <v>74</v>
      </c>
      <c r="BR956" t="s">
        <v>105</v>
      </c>
      <c r="BS956" t="s">
        <v>17704</v>
      </c>
      <c r="BT956" t="str">
        <f>HYPERLINK("https%3A%2F%2Fwww.webofscience.com%2Fwos%2Fwoscc%2Ffull-record%2FWOS:000335813100017","View Full Record in Web of Science")</f>
        <v>View Full Record in Web of Science</v>
      </c>
    </row>
    <row r="957" spans="1:72" x14ac:dyDescent="0.15">
      <c r="A957" t="s">
        <v>72</v>
      </c>
      <c r="B957" t="s">
        <v>17705</v>
      </c>
      <c r="C957" t="s">
        <v>74</v>
      </c>
      <c r="D957" t="s">
        <v>74</v>
      </c>
      <c r="E957" t="s">
        <v>74</v>
      </c>
      <c r="F957" t="s">
        <v>17706</v>
      </c>
      <c r="G957" t="s">
        <v>74</v>
      </c>
      <c r="H957" t="s">
        <v>74</v>
      </c>
      <c r="I957" t="s">
        <v>17707</v>
      </c>
      <c r="J957" t="s">
        <v>8702</v>
      </c>
      <c r="K957" t="s">
        <v>74</v>
      </c>
      <c r="L957" t="s">
        <v>74</v>
      </c>
      <c r="M957" t="s">
        <v>78</v>
      </c>
      <c r="N957" t="s">
        <v>79</v>
      </c>
      <c r="O957" t="s">
        <v>74</v>
      </c>
      <c r="P957" t="s">
        <v>74</v>
      </c>
      <c r="Q957" t="s">
        <v>74</v>
      </c>
      <c r="R957" t="s">
        <v>74</v>
      </c>
      <c r="S957" t="s">
        <v>74</v>
      </c>
      <c r="T957" t="s">
        <v>74</v>
      </c>
      <c r="U957" t="s">
        <v>74</v>
      </c>
      <c r="V957" t="s">
        <v>17708</v>
      </c>
      <c r="W957" t="s">
        <v>17709</v>
      </c>
      <c r="X957" t="s">
        <v>74</v>
      </c>
      <c r="Y957" t="s">
        <v>17710</v>
      </c>
      <c r="Z957" t="s">
        <v>17711</v>
      </c>
      <c r="AA957" t="s">
        <v>74</v>
      </c>
      <c r="AB957" t="s">
        <v>74</v>
      </c>
      <c r="AC957" t="s">
        <v>74</v>
      </c>
      <c r="AD957" t="s">
        <v>74</v>
      </c>
      <c r="AE957" t="s">
        <v>74</v>
      </c>
      <c r="AF957" t="s">
        <v>74</v>
      </c>
      <c r="AG957">
        <v>7</v>
      </c>
      <c r="AH957">
        <v>0</v>
      </c>
      <c r="AI957">
        <v>0</v>
      </c>
      <c r="AJ957">
        <v>1</v>
      </c>
      <c r="AK957">
        <v>3</v>
      </c>
      <c r="AL957" t="s">
        <v>2306</v>
      </c>
      <c r="AM957" t="s">
        <v>576</v>
      </c>
      <c r="AN957" t="s">
        <v>2307</v>
      </c>
      <c r="AO957" t="s">
        <v>8712</v>
      </c>
      <c r="AP957" t="s">
        <v>8713</v>
      </c>
      <c r="AQ957" t="s">
        <v>74</v>
      </c>
      <c r="AR957" t="s">
        <v>8714</v>
      </c>
      <c r="AS957" t="s">
        <v>8715</v>
      </c>
      <c r="AT957" t="s">
        <v>17364</v>
      </c>
      <c r="AU957">
        <v>2014</v>
      </c>
      <c r="AV957">
        <v>455</v>
      </c>
      <c r="AW957">
        <v>2</v>
      </c>
      <c r="AX957" t="s">
        <v>74</v>
      </c>
      <c r="AY957" t="s">
        <v>74</v>
      </c>
      <c r="AZ957" t="s">
        <v>74</v>
      </c>
      <c r="BA957" t="s">
        <v>74</v>
      </c>
      <c r="BB957">
        <v>368</v>
      </c>
      <c r="BC957">
        <v>369</v>
      </c>
      <c r="BD957" t="s">
        <v>74</v>
      </c>
      <c r="BE957" t="s">
        <v>17712</v>
      </c>
      <c r="BF957" t="str">
        <f>HYPERLINK("http://dx.doi.org/10.1134/S1028334X14040023","http://dx.doi.org/10.1134/S1028334X14040023")</f>
        <v>http://dx.doi.org/10.1134/S1028334X14040023</v>
      </c>
      <c r="BG957" t="s">
        <v>74</v>
      </c>
      <c r="BH957" t="s">
        <v>74</v>
      </c>
      <c r="BI957">
        <v>2</v>
      </c>
      <c r="BJ957" t="s">
        <v>685</v>
      </c>
      <c r="BK957" t="s">
        <v>102</v>
      </c>
      <c r="BL957" t="s">
        <v>686</v>
      </c>
      <c r="BM957" t="s">
        <v>17713</v>
      </c>
      <c r="BN957" t="s">
        <v>74</v>
      </c>
      <c r="BO957" t="s">
        <v>74</v>
      </c>
      <c r="BP957" t="s">
        <v>74</v>
      </c>
      <c r="BQ957" t="s">
        <v>74</v>
      </c>
      <c r="BR957" t="s">
        <v>105</v>
      </c>
      <c r="BS957" t="s">
        <v>17714</v>
      </c>
      <c r="BT957" t="str">
        <f>HYPERLINK("https%3A%2F%2Fwww.webofscience.com%2Fwos%2Fwoscc%2Ffull-record%2FWOS:000335769200002","View Full Record in Web of Science")</f>
        <v>View Full Record in Web of Science</v>
      </c>
    </row>
    <row r="958" spans="1:72" x14ac:dyDescent="0.15">
      <c r="A958" t="s">
        <v>72</v>
      </c>
      <c r="B958" t="s">
        <v>17715</v>
      </c>
      <c r="C958" t="s">
        <v>74</v>
      </c>
      <c r="D958" t="s">
        <v>74</v>
      </c>
      <c r="E958" t="s">
        <v>74</v>
      </c>
      <c r="F958" t="s">
        <v>17716</v>
      </c>
      <c r="G958" t="s">
        <v>74</v>
      </c>
      <c r="H958" t="s">
        <v>74</v>
      </c>
      <c r="I958" t="s">
        <v>17717</v>
      </c>
      <c r="J958" t="s">
        <v>17718</v>
      </c>
      <c r="K958" t="s">
        <v>74</v>
      </c>
      <c r="L958" t="s">
        <v>74</v>
      </c>
      <c r="M958" t="s">
        <v>78</v>
      </c>
      <c r="N958" t="s">
        <v>79</v>
      </c>
      <c r="O958" t="s">
        <v>74</v>
      </c>
      <c r="P958" t="s">
        <v>74</v>
      </c>
      <c r="Q958" t="s">
        <v>74</v>
      </c>
      <c r="R958" t="s">
        <v>74</v>
      </c>
      <c r="S958" t="s">
        <v>74</v>
      </c>
      <c r="T958" t="s">
        <v>74</v>
      </c>
      <c r="U958" t="s">
        <v>74</v>
      </c>
      <c r="V958" t="s">
        <v>17719</v>
      </c>
      <c r="W958" t="s">
        <v>17720</v>
      </c>
      <c r="X958" t="s">
        <v>16867</v>
      </c>
      <c r="Y958" t="s">
        <v>17721</v>
      </c>
      <c r="Z958" t="s">
        <v>17722</v>
      </c>
      <c r="AA958" t="s">
        <v>74</v>
      </c>
      <c r="AB958" t="s">
        <v>17723</v>
      </c>
      <c r="AC958" t="s">
        <v>17724</v>
      </c>
      <c r="AD958" t="s">
        <v>17725</v>
      </c>
      <c r="AE958" t="s">
        <v>17726</v>
      </c>
      <c r="AF958" t="s">
        <v>74</v>
      </c>
      <c r="AG958">
        <v>9</v>
      </c>
      <c r="AH958">
        <v>4</v>
      </c>
      <c r="AI958">
        <v>5</v>
      </c>
      <c r="AJ958">
        <v>0</v>
      </c>
      <c r="AK958">
        <v>2</v>
      </c>
      <c r="AL958" t="s">
        <v>8645</v>
      </c>
      <c r="AM958" t="s">
        <v>526</v>
      </c>
      <c r="AN958" t="s">
        <v>10607</v>
      </c>
      <c r="AO958" t="s">
        <v>17727</v>
      </c>
      <c r="AP958" t="s">
        <v>17728</v>
      </c>
      <c r="AQ958" t="s">
        <v>74</v>
      </c>
      <c r="AR958" t="s">
        <v>17729</v>
      </c>
      <c r="AS958" t="s">
        <v>17730</v>
      </c>
      <c r="AT958" t="s">
        <v>17364</v>
      </c>
      <c r="AU958">
        <v>2014</v>
      </c>
      <c r="AV958">
        <v>85</v>
      </c>
      <c r="AW958">
        <v>4</v>
      </c>
      <c r="AX958" t="s">
        <v>74</v>
      </c>
      <c r="AY958" t="s">
        <v>74</v>
      </c>
      <c r="AZ958" t="s">
        <v>74</v>
      </c>
      <c r="BA958" t="s">
        <v>74</v>
      </c>
      <c r="BB958" t="s">
        <v>74</v>
      </c>
      <c r="BC958" t="s">
        <v>74</v>
      </c>
      <c r="BD958">
        <v>45117</v>
      </c>
      <c r="BE958" t="s">
        <v>17731</v>
      </c>
      <c r="BF958" t="str">
        <f>HYPERLINK("http://dx.doi.org/10.1063/1.4871555","http://dx.doi.org/10.1063/1.4871555")</f>
        <v>http://dx.doi.org/10.1063/1.4871555</v>
      </c>
      <c r="BG958" t="s">
        <v>74</v>
      </c>
      <c r="BH958" t="s">
        <v>74</v>
      </c>
      <c r="BI958">
        <v>7</v>
      </c>
      <c r="BJ958" t="s">
        <v>17732</v>
      </c>
      <c r="BK958" t="s">
        <v>102</v>
      </c>
      <c r="BL958" t="s">
        <v>17733</v>
      </c>
      <c r="BM958" t="s">
        <v>17734</v>
      </c>
      <c r="BN958">
        <v>24784669</v>
      </c>
      <c r="BO958" t="s">
        <v>289</v>
      </c>
      <c r="BP958" t="s">
        <v>74</v>
      </c>
      <c r="BQ958" t="s">
        <v>74</v>
      </c>
      <c r="BR958" t="s">
        <v>105</v>
      </c>
      <c r="BS958" t="s">
        <v>17735</v>
      </c>
      <c r="BT958" t="str">
        <f>HYPERLINK("https%3A%2F%2Fwww.webofscience.com%2Fwos%2Fwoscc%2Ffull-record%2FWOS:000335920600083","View Full Record in Web of Science")</f>
        <v>View Full Record in Web of Science</v>
      </c>
    </row>
    <row r="959" spans="1:72" x14ac:dyDescent="0.15">
      <c r="A959" t="s">
        <v>72</v>
      </c>
      <c r="B959" t="s">
        <v>17736</v>
      </c>
      <c r="C959" t="s">
        <v>74</v>
      </c>
      <c r="D959" t="s">
        <v>74</v>
      </c>
      <c r="E959" t="s">
        <v>74</v>
      </c>
      <c r="F959" t="s">
        <v>17737</v>
      </c>
      <c r="G959" t="s">
        <v>74</v>
      </c>
      <c r="H959" t="s">
        <v>74</v>
      </c>
      <c r="I959" t="s">
        <v>17738</v>
      </c>
      <c r="J959" t="s">
        <v>17739</v>
      </c>
      <c r="K959" t="s">
        <v>74</v>
      </c>
      <c r="L959" t="s">
        <v>74</v>
      </c>
      <c r="M959" t="s">
        <v>78</v>
      </c>
      <c r="N959" t="s">
        <v>79</v>
      </c>
      <c r="O959" t="s">
        <v>74</v>
      </c>
      <c r="P959" t="s">
        <v>74</v>
      </c>
      <c r="Q959" t="s">
        <v>74</v>
      </c>
      <c r="R959" t="s">
        <v>74</v>
      </c>
      <c r="S959" t="s">
        <v>74</v>
      </c>
      <c r="T959" t="s">
        <v>17740</v>
      </c>
      <c r="U959" t="s">
        <v>17741</v>
      </c>
      <c r="V959" t="s">
        <v>17742</v>
      </c>
      <c r="W959" t="s">
        <v>17743</v>
      </c>
      <c r="X959" t="s">
        <v>17744</v>
      </c>
      <c r="Y959" t="s">
        <v>17745</v>
      </c>
      <c r="Z959" t="s">
        <v>17746</v>
      </c>
      <c r="AA959" t="s">
        <v>74</v>
      </c>
      <c r="AB959" t="s">
        <v>17747</v>
      </c>
      <c r="AC959" t="s">
        <v>17748</v>
      </c>
      <c r="AD959" t="s">
        <v>17748</v>
      </c>
      <c r="AE959" t="s">
        <v>17749</v>
      </c>
      <c r="AF959" t="s">
        <v>74</v>
      </c>
      <c r="AG959">
        <v>36</v>
      </c>
      <c r="AH959">
        <v>8</v>
      </c>
      <c r="AI959">
        <v>8</v>
      </c>
      <c r="AJ959">
        <v>0</v>
      </c>
      <c r="AK959">
        <v>4</v>
      </c>
      <c r="AL959" t="s">
        <v>1117</v>
      </c>
      <c r="AM959" t="s">
        <v>1118</v>
      </c>
      <c r="AN959" t="s">
        <v>1119</v>
      </c>
      <c r="AO959" t="s">
        <v>17750</v>
      </c>
      <c r="AP959" t="s">
        <v>17751</v>
      </c>
      <c r="AQ959" t="s">
        <v>74</v>
      </c>
      <c r="AR959" t="s">
        <v>17752</v>
      </c>
      <c r="AS959" t="s">
        <v>17753</v>
      </c>
      <c r="AT959" t="s">
        <v>17364</v>
      </c>
      <c r="AU959">
        <v>2014</v>
      </c>
      <c r="AV959">
        <v>123</v>
      </c>
      <c r="AW959">
        <v>3</v>
      </c>
      <c r="AX959" t="s">
        <v>74</v>
      </c>
      <c r="AY959" t="s">
        <v>74</v>
      </c>
      <c r="AZ959" t="s">
        <v>74</v>
      </c>
      <c r="BA959" t="s">
        <v>74</v>
      </c>
      <c r="BB959">
        <v>593</v>
      </c>
      <c r="BC959">
        <v>602</v>
      </c>
      <c r="BD959" t="s">
        <v>74</v>
      </c>
      <c r="BE959" t="s">
        <v>17754</v>
      </c>
      <c r="BF959" t="str">
        <f>HYPERLINK("http://dx.doi.org/10.1007/s12040-014-0412-5","http://dx.doi.org/10.1007/s12040-014-0412-5")</f>
        <v>http://dx.doi.org/10.1007/s12040-014-0412-5</v>
      </c>
      <c r="BG959" t="s">
        <v>74</v>
      </c>
      <c r="BH959" t="s">
        <v>74</v>
      </c>
      <c r="BI959">
        <v>10</v>
      </c>
      <c r="BJ959" t="s">
        <v>17755</v>
      </c>
      <c r="BK959" t="s">
        <v>102</v>
      </c>
      <c r="BL959" t="s">
        <v>17756</v>
      </c>
      <c r="BM959" t="s">
        <v>17757</v>
      </c>
      <c r="BN959" t="s">
        <v>74</v>
      </c>
      <c r="BO959" t="s">
        <v>179</v>
      </c>
      <c r="BP959" t="s">
        <v>74</v>
      </c>
      <c r="BQ959" t="s">
        <v>74</v>
      </c>
      <c r="BR959" t="s">
        <v>105</v>
      </c>
      <c r="BS959" t="s">
        <v>17758</v>
      </c>
      <c r="BT959" t="str">
        <f>HYPERLINK("https%3A%2F%2Fwww.webofscience.com%2Fwos%2Fwoscc%2Ffull-record%2FWOS:000335622000012","View Full Record in Web of Science")</f>
        <v>View Full Record in Web of Science</v>
      </c>
    </row>
    <row r="960" spans="1:72" x14ac:dyDescent="0.15">
      <c r="A960" t="s">
        <v>72</v>
      </c>
      <c r="B960" t="s">
        <v>17759</v>
      </c>
      <c r="C960" t="s">
        <v>74</v>
      </c>
      <c r="D960" t="s">
        <v>74</v>
      </c>
      <c r="E960" t="s">
        <v>74</v>
      </c>
      <c r="F960" t="s">
        <v>17760</v>
      </c>
      <c r="G960" t="s">
        <v>74</v>
      </c>
      <c r="H960" t="s">
        <v>74</v>
      </c>
      <c r="I960" t="s">
        <v>17761</v>
      </c>
      <c r="J960" t="s">
        <v>1434</v>
      </c>
      <c r="K960" t="s">
        <v>74</v>
      </c>
      <c r="L960" t="s">
        <v>74</v>
      </c>
      <c r="M960" t="s">
        <v>78</v>
      </c>
      <c r="N960" t="s">
        <v>79</v>
      </c>
      <c r="O960" t="s">
        <v>74</v>
      </c>
      <c r="P960" t="s">
        <v>74</v>
      </c>
      <c r="Q960" t="s">
        <v>74</v>
      </c>
      <c r="R960" t="s">
        <v>74</v>
      </c>
      <c r="S960" t="s">
        <v>74</v>
      </c>
      <c r="T960" t="s">
        <v>17762</v>
      </c>
      <c r="U960" t="s">
        <v>17763</v>
      </c>
      <c r="V960" t="s">
        <v>17764</v>
      </c>
      <c r="W960" t="s">
        <v>17765</v>
      </c>
      <c r="X960" t="s">
        <v>17766</v>
      </c>
      <c r="Y960" t="s">
        <v>17767</v>
      </c>
      <c r="Z960" t="s">
        <v>17768</v>
      </c>
      <c r="AA960" t="s">
        <v>74</v>
      </c>
      <c r="AB960" t="s">
        <v>17769</v>
      </c>
      <c r="AC960" t="s">
        <v>17770</v>
      </c>
      <c r="AD960" t="s">
        <v>17771</v>
      </c>
      <c r="AE960" t="s">
        <v>17772</v>
      </c>
      <c r="AF960" t="s">
        <v>74</v>
      </c>
      <c r="AG960">
        <v>77</v>
      </c>
      <c r="AH960">
        <v>32</v>
      </c>
      <c r="AI960">
        <v>33</v>
      </c>
      <c r="AJ960">
        <v>0</v>
      </c>
      <c r="AK960">
        <v>15</v>
      </c>
      <c r="AL960" t="s">
        <v>123</v>
      </c>
      <c r="AM960" t="s">
        <v>124</v>
      </c>
      <c r="AN960" t="s">
        <v>125</v>
      </c>
      <c r="AO960" t="s">
        <v>1447</v>
      </c>
      <c r="AP960" t="s">
        <v>1448</v>
      </c>
      <c r="AQ960" t="s">
        <v>74</v>
      </c>
      <c r="AR960" t="s">
        <v>1449</v>
      </c>
      <c r="AS960" t="s">
        <v>1450</v>
      </c>
      <c r="AT960" t="s">
        <v>17701</v>
      </c>
      <c r="AU960">
        <v>2014</v>
      </c>
      <c r="AV960">
        <v>275</v>
      </c>
      <c r="AW960" t="s">
        <v>74</v>
      </c>
      <c r="AX960" t="s">
        <v>74</v>
      </c>
      <c r="AY960" t="s">
        <v>74</v>
      </c>
      <c r="AZ960" t="s">
        <v>74</v>
      </c>
      <c r="BA960" t="s">
        <v>74</v>
      </c>
      <c r="BB960">
        <v>61</v>
      </c>
      <c r="BC960">
        <v>70</v>
      </c>
      <c r="BD960" t="s">
        <v>74</v>
      </c>
      <c r="BE960" t="s">
        <v>17773</v>
      </c>
      <c r="BF960" t="str">
        <f>HYPERLINK("http://dx.doi.org/10.1016/j.jvolgeores.2014.02.013","http://dx.doi.org/10.1016/j.jvolgeores.2014.02.013")</f>
        <v>http://dx.doi.org/10.1016/j.jvolgeores.2014.02.013</v>
      </c>
      <c r="BG960" t="s">
        <v>74</v>
      </c>
      <c r="BH960" t="s">
        <v>74</v>
      </c>
      <c r="BI960">
        <v>10</v>
      </c>
      <c r="BJ960" t="s">
        <v>685</v>
      </c>
      <c r="BK960" t="s">
        <v>102</v>
      </c>
      <c r="BL960" t="s">
        <v>686</v>
      </c>
      <c r="BM960" t="s">
        <v>17774</v>
      </c>
      <c r="BN960" t="s">
        <v>74</v>
      </c>
      <c r="BO960" t="s">
        <v>1274</v>
      </c>
      <c r="BP960" t="s">
        <v>74</v>
      </c>
      <c r="BQ960" t="s">
        <v>74</v>
      </c>
      <c r="BR960" t="s">
        <v>105</v>
      </c>
      <c r="BS960" t="s">
        <v>17775</v>
      </c>
      <c r="BT960" t="str">
        <f>HYPERLINK("https%3A%2F%2Fwww.webofscience.com%2Fwos%2Fwoscc%2Ffull-record%2FWOS:000335628700006","View Full Record in Web of Science")</f>
        <v>View Full Record in Web of Science</v>
      </c>
    </row>
    <row r="961" spans="1:72" x14ac:dyDescent="0.15">
      <c r="A961" t="s">
        <v>72</v>
      </c>
      <c r="B961" t="s">
        <v>17776</v>
      </c>
      <c r="C961" t="s">
        <v>74</v>
      </c>
      <c r="D961" t="s">
        <v>74</v>
      </c>
      <c r="E961" t="s">
        <v>74</v>
      </c>
      <c r="F961" t="s">
        <v>17777</v>
      </c>
      <c r="G961" t="s">
        <v>74</v>
      </c>
      <c r="H961" t="s">
        <v>74</v>
      </c>
      <c r="I961" t="s">
        <v>17778</v>
      </c>
      <c r="J961" t="s">
        <v>211</v>
      </c>
      <c r="K961" t="s">
        <v>74</v>
      </c>
      <c r="L961" t="s">
        <v>74</v>
      </c>
      <c r="M961" t="s">
        <v>78</v>
      </c>
      <c r="N961" t="s">
        <v>79</v>
      </c>
      <c r="O961" t="s">
        <v>74</v>
      </c>
      <c r="P961" t="s">
        <v>74</v>
      </c>
      <c r="Q961" t="s">
        <v>74</v>
      </c>
      <c r="R961" t="s">
        <v>74</v>
      </c>
      <c r="S961" t="s">
        <v>74</v>
      </c>
      <c r="T961" t="s">
        <v>17779</v>
      </c>
      <c r="U961" t="s">
        <v>17780</v>
      </c>
      <c r="V961" t="s">
        <v>17781</v>
      </c>
      <c r="W961" t="s">
        <v>17782</v>
      </c>
      <c r="X961" t="s">
        <v>17783</v>
      </c>
      <c r="Y961" t="s">
        <v>17784</v>
      </c>
      <c r="Z961" t="s">
        <v>218</v>
      </c>
      <c r="AA961" t="s">
        <v>17785</v>
      </c>
      <c r="AB961" t="s">
        <v>17786</v>
      </c>
      <c r="AC961" t="s">
        <v>17787</v>
      </c>
      <c r="AD961" t="s">
        <v>17788</v>
      </c>
      <c r="AE961" t="s">
        <v>17789</v>
      </c>
      <c r="AF961" t="s">
        <v>74</v>
      </c>
      <c r="AG961">
        <v>48</v>
      </c>
      <c r="AH961">
        <v>8</v>
      </c>
      <c r="AI961">
        <v>11</v>
      </c>
      <c r="AJ961">
        <v>0</v>
      </c>
      <c r="AK961">
        <v>36</v>
      </c>
      <c r="AL961" t="s">
        <v>224</v>
      </c>
      <c r="AM961" t="s">
        <v>225</v>
      </c>
      <c r="AN961" t="s">
        <v>226</v>
      </c>
      <c r="AO961" t="s">
        <v>227</v>
      </c>
      <c r="AP961" t="s">
        <v>228</v>
      </c>
      <c r="AQ961" t="s">
        <v>74</v>
      </c>
      <c r="AR961" t="s">
        <v>229</v>
      </c>
      <c r="AS961" t="s">
        <v>230</v>
      </c>
      <c r="AT961" t="s">
        <v>17364</v>
      </c>
      <c r="AU961">
        <v>2014</v>
      </c>
      <c r="AV961">
        <v>26</v>
      </c>
      <c r="AW961">
        <v>2</v>
      </c>
      <c r="AX961" t="s">
        <v>74</v>
      </c>
      <c r="AY961" t="s">
        <v>74</v>
      </c>
      <c r="AZ961" t="s">
        <v>74</v>
      </c>
      <c r="BA961" t="s">
        <v>74</v>
      </c>
      <c r="BB961">
        <v>1133</v>
      </c>
      <c r="BC961">
        <v>1139</v>
      </c>
      <c r="BD961" t="s">
        <v>74</v>
      </c>
      <c r="BE961" t="s">
        <v>17790</v>
      </c>
      <c r="BF961" t="str">
        <f>HYPERLINK("http://dx.doi.org/10.1007/s10811-013-0150-0","http://dx.doi.org/10.1007/s10811-013-0150-0")</f>
        <v>http://dx.doi.org/10.1007/s10811-013-0150-0</v>
      </c>
      <c r="BG961" t="s">
        <v>74</v>
      </c>
      <c r="BH961" t="s">
        <v>74</v>
      </c>
      <c r="BI961">
        <v>7</v>
      </c>
      <c r="BJ961" t="s">
        <v>232</v>
      </c>
      <c r="BK961" t="s">
        <v>102</v>
      </c>
      <c r="BL961" t="s">
        <v>232</v>
      </c>
      <c r="BM961" t="s">
        <v>17791</v>
      </c>
      <c r="BN961" t="s">
        <v>74</v>
      </c>
      <c r="BO961" t="s">
        <v>74</v>
      </c>
      <c r="BP961" t="s">
        <v>74</v>
      </c>
      <c r="BQ961" t="s">
        <v>74</v>
      </c>
      <c r="BR961" t="s">
        <v>105</v>
      </c>
      <c r="BS961" t="s">
        <v>17792</v>
      </c>
      <c r="BT961" t="str">
        <f>HYPERLINK("https%3A%2F%2Fwww.webofscience.com%2Fwos%2Fwoscc%2Ffull-record%2FWOS:000334498200050","View Full Record in Web of Science")</f>
        <v>View Full Record in Web of Science</v>
      </c>
    </row>
    <row r="962" spans="1:72" x14ac:dyDescent="0.15">
      <c r="A962" t="s">
        <v>72</v>
      </c>
      <c r="B962" t="s">
        <v>17793</v>
      </c>
      <c r="C962" t="s">
        <v>74</v>
      </c>
      <c r="D962" t="s">
        <v>74</v>
      </c>
      <c r="E962" t="s">
        <v>74</v>
      </c>
      <c r="F962" t="s">
        <v>17794</v>
      </c>
      <c r="G962" t="s">
        <v>74</v>
      </c>
      <c r="H962" t="s">
        <v>74</v>
      </c>
      <c r="I962" t="s">
        <v>17795</v>
      </c>
      <c r="J962" t="s">
        <v>8997</v>
      </c>
      <c r="K962" t="s">
        <v>74</v>
      </c>
      <c r="L962" t="s">
        <v>74</v>
      </c>
      <c r="M962" t="s">
        <v>78</v>
      </c>
      <c r="N962" t="s">
        <v>79</v>
      </c>
      <c r="O962" t="s">
        <v>74</v>
      </c>
      <c r="P962" t="s">
        <v>74</v>
      </c>
      <c r="Q962" t="s">
        <v>74</v>
      </c>
      <c r="R962" t="s">
        <v>74</v>
      </c>
      <c r="S962" t="s">
        <v>74</v>
      </c>
      <c r="T962" t="s">
        <v>74</v>
      </c>
      <c r="U962" t="s">
        <v>17796</v>
      </c>
      <c r="V962" t="s">
        <v>17797</v>
      </c>
      <c r="W962" t="s">
        <v>17798</v>
      </c>
      <c r="X962" t="s">
        <v>17799</v>
      </c>
      <c r="Y962" t="s">
        <v>17800</v>
      </c>
      <c r="Z962" t="s">
        <v>17801</v>
      </c>
      <c r="AA962" t="s">
        <v>17802</v>
      </c>
      <c r="AB962" t="s">
        <v>17803</v>
      </c>
      <c r="AC962" t="s">
        <v>74</v>
      </c>
      <c r="AD962" t="s">
        <v>74</v>
      </c>
      <c r="AE962" t="s">
        <v>74</v>
      </c>
      <c r="AF962" t="s">
        <v>74</v>
      </c>
      <c r="AG962">
        <v>46</v>
      </c>
      <c r="AH962">
        <v>0</v>
      </c>
      <c r="AI962">
        <v>0</v>
      </c>
      <c r="AJ962">
        <v>0</v>
      </c>
      <c r="AK962">
        <v>3</v>
      </c>
      <c r="AL962" t="s">
        <v>9007</v>
      </c>
      <c r="AM962" t="s">
        <v>8271</v>
      </c>
      <c r="AN962" t="s">
        <v>9008</v>
      </c>
      <c r="AO962" t="s">
        <v>9009</v>
      </c>
      <c r="AP962" t="s">
        <v>74</v>
      </c>
      <c r="AQ962" t="s">
        <v>74</v>
      </c>
      <c r="AR962" t="s">
        <v>9010</v>
      </c>
      <c r="AS962" t="s">
        <v>9011</v>
      </c>
      <c r="AT962" t="s">
        <v>17364</v>
      </c>
      <c r="AU962">
        <v>2014</v>
      </c>
      <c r="AV962">
        <v>44</v>
      </c>
      <c r="AW962">
        <v>2</v>
      </c>
      <c r="AX962" t="s">
        <v>74</v>
      </c>
      <c r="AY962" t="s">
        <v>74</v>
      </c>
      <c r="AZ962" t="s">
        <v>74</v>
      </c>
      <c r="BA962" t="s">
        <v>74</v>
      </c>
      <c r="BB962">
        <v>177</v>
      </c>
      <c r="BC962">
        <v>186</v>
      </c>
      <c r="BD962" t="s">
        <v>74</v>
      </c>
      <c r="BE962" t="s">
        <v>17804</v>
      </c>
      <c r="BF962" t="str">
        <f>HYPERLINK("http://dx.doi.org/10.2113/gsjfr.44.2.177","http://dx.doi.org/10.2113/gsjfr.44.2.177")</f>
        <v>http://dx.doi.org/10.2113/gsjfr.44.2.177</v>
      </c>
      <c r="BG962" t="s">
        <v>74</v>
      </c>
      <c r="BH962" t="s">
        <v>74</v>
      </c>
      <c r="BI962">
        <v>10</v>
      </c>
      <c r="BJ962" t="s">
        <v>2604</v>
      </c>
      <c r="BK962" t="s">
        <v>102</v>
      </c>
      <c r="BL962" t="s">
        <v>2604</v>
      </c>
      <c r="BM962" t="s">
        <v>17805</v>
      </c>
      <c r="BN962" t="s">
        <v>74</v>
      </c>
      <c r="BO962" t="s">
        <v>74</v>
      </c>
      <c r="BP962" t="s">
        <v>74</v>
      </c>
      <c r="BQ962" t="s">
        <v>74</v>
      </c>
      <c r="BR962" t="s">
        <v>105</v>
      </c>
      <c r="BS962" t="s">
        <v>17806</v>
      </c>
      <c r="BT962" t="str">
        <f>HYPERLINK("https%3A%2F%2Fwww.webofscience.com%2Fwos%2Fwoscc%2Ffull-record%2FWOS:000335208600007","View Full Record in Web of Science")</f>
        <v>View Full Record in Web of Science</v>
      </c>
    </row>
    <row r="963" spans="1:72" x14ac:dyDescent="0.15">
      <c r="A963" t="s">
        <v>72</v>
      </c>
      <c r="B963" t="s">
        <v>17807</v>
      </c>
      <c r="C963" t="s">
        <v>74</v>
      </c>
      <c r="D963" t="s">
        <v>74</v>
      </c>
      <c r="E963" t="s">
        <v>74</v>
      </c>
      <c r="F963" t="s">
        <v>17808</v>
      </c>
      <c r="G963" t="s">
        <v>74</v>
      </c>
      <c r="H963" t="s">
        <v>74</v>
      </c>
      <c r="I963" t="s">
        <v>17809</v>
      </c>
      <c r="J963" t="s">
        <v>17810</v>
      </c>
      <c r="K963" t="s">
        <v>74</v>
      </c>
      <c r="L963" t="s">
        <v>74</v>
      </c>
      <c r="M963" t="s">
        <v>78</v>
      </c>
      <c r="N963" t="s">
        <v>79</v>
      </c>
      <c r="O963" t="s">
        <v>74</v>
      </c>
      <c r="P963" t="s">
        <v>74</v>
      </c>
      <c r="Q963" t="s">
        <v>74</v>
      </c>
      <c r="R963" t="s">
        <v>74</v>
      </c>
      <c r="S963" t="s">
        <v>74</v>
      </c>
      <c r="T963" t="s">
        <v>17811</v>
      </c>
      <c r="U963" t="s">
        <v>17812</v>
      </c>
      <c r="V963" t="s">
        <v>17813</v>
      </c>
      <c r="W963" t="s">
        <v>17814</v>
      </c>
      <c r="X963" t="s">
        <v>17815</v>
      </c>
      <c r="Y963" t="s">
        <v>17816</v>
      </c>
      <c r="Z963" t="s">
        <v>17817</v>
      </c>
      <c r="AA963" t="s">
        <v>74</v>
      </c>
      <c r="AB963" t="s">
        <v>74</v>
      </c>
      <c r="AC963" t="s">
        <v>17818</v>
      </c>
      <c r="AD963" t="s">
        <v>17819</v>
      </c>
      <c r="AE963" t="s">
        <v>17820</v>
      </c>
      <c r="AF963" t="s">
        <v>74</v>
      </c>
      <c r="AG963">
        <v>69</v>
      </c>
      <c r="AH963">
        <v>29</v>
      </c>
      <c r="AI963">
        <v>40</v>
      </c>
      <c r="AJ963">
        <v>2</v>
      </c>
      <c r="AK963">
        <v>24</v>
      </c>
      <c r="AL963" t="s">
        <v>753</v>
      </c>
      <c r="AM963" t="s">
        <v>124</v>
      </c>
      <c r="AN963" t="s">
        <v>754</v>
      </c>
      <c r="AO963" t="s">
        <v>17821</v>
      </c>
      <c r="AP963" t="s">
        <v>17822</v>
      </c>
      <c r="AQ963" t="s">
        <v>74</v>
      </c>
      <c r="AR963" t="s">
        <v>17810</v>
      </c>
      <c r="AS963" t="s">
        <v>17823</v>
      </c>
      <c r="AT963" t="s">
        <v>17364</v>
      </c>
      <c r="AU963">
        <v>2014</v>
      </c>
      <c r="AV963">
        <v>192</v>
      </c>
      <c r="AW963" t="s">
        <v>74</v>
      </c>
      <c r="AX963" t="s">
        <v>74</v>
      </c>
      <c r="AY963" t="s">
        <v>74</v>
      </c>
      <c r="AZ963" t="s">
        <v>74</v>
      </c>
      <c r="BA963" t="s">
        <v>74</v>
      </c>
      <c r="BB963">
        <v>102</v>
      </c>
      <c r="BC963">
        <v>115</v>
      </c>
      <c r="BD963" t="s">
        <v>74</v>
      </c>
      <c r="BE963" t="s">
        <v>17824</v>
      </c>
      <c r="BF963" t="str">
        <f>HYPERLINK("http://dx.doi.org/10.1016/j.lithos.2014.01.013","http://dx.doi.org/10.1016/j.lithos.2014.01.013")</f>
        <v>http://dx.doi.org/10.1016/j.lithos.2014.01.013</v>
      </c>
      <c r="BG963" t="s">
        <v>74</v>
      </c>
      <c r="BH963" t="s">
        <v>74</v>
      </c>
      <c r="BI963">
        <v>14</v>
      </c>
      <c r="BJ963" t="s">
        <v>17825</v>
      </c>
      <c r="BK963" t="s">
        <v>102</v>
      </c>
      <c r="BL963" t="s">
        <v>17825</v>
      </c>
      <c r="BM963" t="s">
        <v>17826</v>
      </c>
      <c r="BN963" t="s">
        <v>74</v>
      </c>
      <c r="BO963" t="s">
        <v>74</v>
      </c>
      <c r="BP963" t="s">
        <v>74</v>
      </c>
      <c r="BQ963" t="s">
        <v>74</v>
      </c>
      <c r="BR963" t="s">
        <v>105</v>
      </c>
      <c r="BS963" t="s">
        <v>17827</v>
      </c>
      <c r="BT963" t="str">
        <f>HYPERLINK("https%3A%2F%2Fwww.webofscience.com%2Fwos%2Fwoscc%2Ffull-record%2FWOS:000335102100007","View Full Record in Web of Science")</f>
        <v>View Full Record in Web of Science</v>
      </c>
    </row>
    <row r="964" spans="1:72" x14ac:dyDescent="0.15">
      <c r="A964" t="s">
        <v>72</v>
      </c>
      <c r="B964" t="s">
        <v>17828</v>
      </c>
      <c r="C964" t="s">
        <v>74</v>
      </c>
      <c r="D964" t="s">
        <v>74</v>
      </c>
      <c r="E964" t="s">
        <v>74</v>
      </c>
      <c r="F964" t="s">
        <v>17829</v>
      </c>
      <c r="G964" t="s">
        <v>74</v>
      </c>
      <c r="H964" t="s">
        <v>74</v>
      </c>
      <c r="I964" t="s">
        <v>17830</v>
      </c>
      <c r="J964" t="s">
        <v>2245</v>
      </c>
      <c r="K964" t="s">
        <v>74</v>
      </c>
      <c r="L964" t="s">
        <v>74</v>
      </c>
      <c r="M964" t="s">
        <v>78</v>
      </c>
      <c r="N964" t="s">
        <v>79</v>
      </c>
      <c r="O964" t="s">
        <v>74</v>
      </c>
      <c r="P964" t="s">
        <v>74</v>
      </c>
      <c r="Q964" t="s">
        <v>74</v>
      </c>
      <c r="R964" t="s">
        <v>74</v>
      </c>
      <c r="S964" t="s">
        <v>74</v>
      </c>
      <c r="T964" t="s">
        <v>17831</v>
      </c>
      <c r="U964" t="s">
        <v>17832</v>
      </c>
      <c r="V964" t="s">
        <v>17833</v>
      </c>
      <c r="W964" t="s">
        <v>17834</v>
      </c>
      <c r="X964" t="s">
        <v>17835</v>
      </c>
      <c r="Y964" t="s">
        <v>17836</v>
      </c>
      <c r="Z964" t="s">
        <v>17837</v>
      </c>
      <c r="AA964" t="s">
        <v>17838</v>
      </c>
      <c r="AB964" t="s">
        <v>17839</v>
      </c>
      <c r="AC964" t="s">
        <v>17840</v>
      </c>
      <c r="AD964" t="s">
        <v>17841</v>
      </c>
      <c r="AE964" t="s">
        <v>17842</v>
      </c>
      <c r="AF964" t="s">
        <v>74</v>
      </c>
      <c r="AG964">
        <v>20</v>
      </c>
      <c r="AH964">
        <v>10</v>
      </c>
      <c r="AI964">
        <v>11</v>
      </c>
      <c r="AJ964">
        <v>0</v>
      </c>
      <c r="AK964">
        <v>11</v>
      </c>
      <c r="AL964" t="s">
        <v>17843</v>
      </c>
      <c r="AM964" t="s">
        <v>17844</v>
      </c>
      <c r="AN964" t="s">
        <v>17845</v>
      </c>
      <c r="AO964" t="s">
        <v>2261</v>
      </c>
      <c r="AP964" t="s">
        <v>2262</v>
      </c>
      <c r="AQ964" t="s">
        <v>74</v>
      </c>
      <c r="AR964" t="s">
        <v>2263</v>
      </c>
      <c r="AS964" t="s">
        <v>2264</v>
      </c>
      <c r="AT964" t="s">
        <v>17364</v>
      </c>
      <c r="AU964">
        <v>2014</v>
      </c>
      <c r="AV964">
        <v>9</v>
      </c>
      <c r="AW964">
        <v>4</v>
      </c>
      <c r="AX964" t="s">
        <v>74</v>
      </c>
      <c r="AY964" t="s">
        <v>74</v>
      </c>
      <c r="AZ964" t="s">
        <v>74</v>
      </c>
      <c r="BA964" t="s">
        <v>74</v>
      </c>
      <c r="BB964">
        <v>469</v>
      </c>
      <c r="BC964">
        <v>470</v>
      </c>
      <c r="BD964" t="s">
        <v>74</v>
      </c>
      <c r="BE964" t="s">
        <v>74</v>
      </c>
      <c r="BF964" t="s">
        <v>74</v>
      </c>
      <c r="BG964" t="s">
        <v>74</v>
      </c>
      <c r="BH964" t="s">
        <v>74</v>
      </c>
      <c r="BI964">
        <v>2</v>
      </c>
      <c r="BJ964" t="s">
        <v>2265</v>
      </c>
      <c r="BK964" t="s">
        <v>102</v>
      </c>
      <c r="BL964" t="s">
        <v>2266</v>
      </c>
      <c r="BM964" t="s">
        <v>17846</v>
      </c>
      <c r="BN964">
        <v>24868857</v>
      </c>
      <c r="BO964" t="s">
        <v>74</v>
      </c>
      <c r="BP964" t="s">
        <v>74</v>
      </c>
      <c r="BQ964" t="s">
        <v>74</v>
      </c>
      <c r="BR964" t="s">
        <v>105</v>
      </c>
      <c r="BS964" t="s">
        <v>17847</v>
      </c>
      <c r="BT964" t="str">
        <f>HYPERLINK("https%3A%2F%2Fwww.webofscience.com%2Fwos%2Fwoscc%2Ffull-record%2FWOS:000335083500008","View Full Record in Web of Science")</f>
        <v>View Full Record in Web of Science</v>
      </c>
    </row>
    <row r="965" spans="1:72" x14ac:dyDescent="0.15">
      <c r="A965" t="s">
        <v>72</v>
      </c>
      <c r="B965" t="s">
        <v>17848</v>
      </c>
      <c r="C965" t="s">
        <v>74</v>
      </c>
      <c r="D965" t="s">
        <v>74</v>
      </c>
      <c r="E965" t="s">
        <v>74</v>
      </c>
      <c r="F965" t="s">
        <v>17849</v>
      </c>
      <c r="G965" t="s">
        <v>74</v>
      </c>
      <c r="H965" t="s">
        <v>74</v>
      </c>
      <c r="I965" t="s">
        <v>17850</v>
      </c>
      <c r="J965" t="s">
        <v>1386</v>
      </c>
      <c r="K965" t="s">
        <v>74</v>
      </c>
      <c r="L965" t="s">
        <v>74</v>
      </c>
      <c r="M965" t="s">
        <v>78</v>
      </c>
      <c r="N965" t="s">
        <v>79</v>
      </c>
      <c r="O965" t="s">
        <v>74</v>
      </c>
      <c r="P965" t="s">
        <v>74</v>
      </c>
      <c r="Q965" t="s">
        <v>74</v>
      </c>
      <c r="R965" t="s">
        <v>74</v>
      </c>
      <c r="S965" t="s">
        <v>74</v>
      </c>
      <c r="T965" t="s">
        <v>17851</v>
      </c>
      <c r="U965" t="s">
        <v>17852</v>
      </c>
      <c r="V965" t="s">
        <v>17853</v>
      </c>
      <c r="W965" t="s">
        <v>17854</v>
      </c>
      <c r="X965" t="s">
        <v>2873</v>
      </c>
      <c r="Y965" t="s">
        <v>17855</v>
      </c>
      <c r="Z965" t="s">
        <v>17856</v>
      </c>
      <c r="AA965" t="s">
        <v>74</v>
      </c>
      <c r="AB965" t="s">
        <v>17857</v>
      </c>
      <c r="AC965" t="s">
        <v>74</v>
      </c>
      <c r="AD965" t="s">
        <v>74</v>
      </c>
      <c r="AE965" t="s">
        <v>74</v>
      </c>
      <c r="AF965" t="s">
        <v>74</v>
      </c>
      <c r="AG965">
        <v>87</v>
      </c>
      <c r="AH965">
        <v>52</v>
      </c>
      <c r="AI965">
        <v>57</v>
      </c>
      <c r="AJ965">
        <v>0</v>
      </c>
      <c r="AK965">
        <v>37</v>
      </c>
      <c r="AL965" t="s">
        <v>753</v>
      </c>
      <c r="AM965" t="s">
        <v>124</v>
      </c>
      <c r="AN965" t="s">
        <v>754</v>
      </c>
      <c r="AO965" t="s">
        <v>1397</v>
      </c>
      <c r="AP965" t="s">
        <v>1398</v>
      </c>
      <c r="AQ965" t="s">
        <v>74</v>
      </c>
      <c r="AR965" t="s">
        <v>1399</v>
      </c>
      <c r="AS965" t="s">
        <v>1400</v>
      </c>
      <c r="AT965" t="s">
        <v>17701</v>
      </c>
      <c r="AU965">
        <v>2014</v>
      </c>
      <c r="AV965">
        <v>399</v>
      </c>
      <c r="AW965" t="s">
        <v>74</v>
      </c>
      <c r="AX965" t="s">
        <v>74</v>
      </c>
      <c r="AY965" t="s">
        <v>74</v>
      </c>
      <c r="AZ965" t="s">
        <v>74</v>
      </c>
      <c r="BA965" t="s">
        <v>74</v>
      </c>
      <c r="BB965">
        <v>260</v>
      </c>
      <c r="BC965">
        <v>283</v>
      </c>
      <c r="BD965" t="s">
        <v>74</v>
      </c>
      <c r="BE965" t="s">
        <v>17858</v>
      </c>
      <c r="BF965" t="str">
        <f>HYPERLINK("http://dx.doi.org/10.1016/j.palaeo.2014.01.019","http://dx.doi.org/10.1016/j.palaeo.2014.01.019")</f>
        <v>http://dx.doi.org/10.1016/j.palaeo.2014.01.019</v>
      </c>
      <c r="BG965" t="s">
        <v>74</v>
      </c>
      <c r="BH965" t="s">
        <v>74</v>
      </c>
      <c r="BI965">
        <v>24</v>
      </c>
      <c r="BJ965" t="s">
        <v>1402</v>
      </c>
      <c r="BK965" t="s">
        <v>102</v>
      </c>
      <c r="BL965" t="s">
        <v>1403</v>
      </c>
      <c r="BM965" t="s">
        <v>17859</v>
      </c>
      <c r="BN965" t="s">
        <v>74</v>
      </c>
      <c r="BO965" t="s">
        <v>74</v>
      </c>
      <c r="BP965" t="s">
        <v>74</v>
      </c>
      <c r="BQ965" t="s">
        <v>74</v>
      </c>
      <c r="BR965" t="s">
        <v>105</v>
      </c>
      <c r="BS965" t="s">
        <v>17860</v>
      </c>
      <c r="BT965" t="str">
        <f>HYPERLINK("https%3A%2F%2Fwww.webofscience.com%2Fwos%2Fwoscc%2Ffull-record%2FWOS:000334978400021","View Full Record in Web of Science")</f>
        <v>View Full Record in Web of Science</v>
      </c>
    </row>
    <row r="966" spans="1:72" x14ac:dyDescent="0.15">
      <c r="A966" t="s">
        <v>72</v>
      </c>
      <c r="B966" t="s">
        <v>17861</v>
      </c>
      <c r="C966" t="s">
        <v>74</v>
      </c>
      <c r="D966" t="s">
        <v>74</v>
      </c>
      <c r="E966" t="s">
        <v>74</v>
      </c>
      <c r="F966" t="s">
        <v>17862</v>
      </c>
      <c r="G966" t="s">
        <v>74</v>
      </c>
      <c r="H966" t="s">
        <v>74</v>
      </c>
      <c r="I966" t="s">
        <v>17863</v>
      </c>
      <c r="J966" t="s">
        <v>6702</v>
      </c>
      <c r="K966" t="s">
        <v>74</v>
      </c>
      <c r="L966" t="s">
        <v>74</v>
      </c>
      <c r="M966" t="s">
        <v>78</v>
      </c>
      <c r="N966" t="s">
        <v>79</v>
      </c>
      <c r="O966" t="s">
        <v>74</v>
      </c>
      <c r="P966" t="s">
        <v>74</v>
      </c>
      <c r="Q966" t="s">
        <v>74</v>
      </c>
      <c r="R966" t="s">
        <v>74</v>
      </c>
      <c r="S966" t="s">
        <v>74</v>
      </c>
      <c r="T966" t="s">
        <v>17864</v>
      </c>
      <c r="U966" t="s">
        <v>17865</v>
      </c>
      <c r="V966" t="s">
        <v>17866</v>
      </c>
      <c r="W966" t="s">
        <v>17867</v>
      </c>
      <c r="X966" t="s">
        <v>17868</v>
      </c>
      <c r="Y966" t="s">
        <v>17869</v>
      </c>
      <c r="Z966" t="s">
        <v>9343</v>
      </c>
      <c r="AA966" t="s">
        <v>17870</v>
      </c>
      <c r="AB966" t="s">
        <v>17871</v>
      </c>
      <c r="AC966" t="s">
        <v>17872</v>
      </c>
      <c r="AD966" t="s">
        <v>17873</v>
      </c>
      <c r="AE966" t="s">
        <v>17874</v>
      </c>
      <c r="AF966" t="s">
        <v>74</v>
      </c>
      <c r="AG966">
        <v>61</v>
      </c>
      <c r="AH966">
        <v>99</v>
      </c>
      <c r="AI966">
        <v>103</v>
      </c>
      <c r="AJ966">
        <v>1</v>
      </c>
      <c r="AK966">
        <v>65</v>
      </c>
      <c r="AL966" t="s">
        <v>171</v>
      </c>
      <c r="AM966" t="s">
        <v>93</v>
      </c>
      <c r="AN966" t="s">
        <v>94</v>
      </c>
      <c r="AO966" t="s">
        <v>6715</v>
      </c>
      <c r="AP966" t="s">
        <v>6716</v>
      </c>
      <c r="AQ966" t="s">
        <v>74</v>
      </c>
      <c r="AR966" t="s">
        <v>6702</v>
      </c>
      <c r="AS966" t="s">
        <v>5627</v>
      </c>
      <c r="AT966" t="s">
        <v>17364</v>
      </c>
      <c r="AU966">
        <v>2014</v>
      </c>
      <c r="AV966">
        <v>95</v>
      </c>
      <c r="AW966">
        <v>4</v>
      </c>
      <c r="AX966" t="s">
        <v>74</v>
      </c>
      <c r="AY966" t="s">
        <v>74</v>
      </c>
      <c r="AZ966" t="s">
        <v>74</v>
      </c>
      <c r="BA966" t="s">
        <v>74</v>
      </c>
      <c r="BB966">
        <v>1075</v>
      </c>
      <c r="BC966">
        <v>1086</v>
      </c>
      <c r="BD966" t="s">
        <v>74</v>
      </c>
      <c r="BE966" t="s">
        <v>17875</v>
      </c>
      <c r="BF966" t="str">
        <f>HYPERLINK("http://dx.doi.org/10.1890/13-1229.1","http://dx.doi.org/10.1890/13-1229.1")</f>
        <v>http://dx.doi.org/10.1890/13-1229.1</v>
      </c>
      <c r="BG966" t="s">
        <v>74</v>
      </c>
      <c r="BH966" t="s">
        <v>74</v>
      </c>
      <c r="BI966">
        <v>12</v>
      </c>
      <c r="BJ966" t="s">
        <v>5627</v>
      </c>
      <c r="BK966" t="s">
        <v>102</v>
      </c>
      <c r="BL966" t="s">
        <v>2553</v>
      </c>
      <c r="BM966" t="s">
        <v>17876</v>
      </c>
      <c r="BN966">
        <v>24933825</v>
      </c>
      <c r="BO966" t="s">
        <v>262</v>
      </c>
      <c r="BP966" t="s">
        <v>74</v>
      </c>
      <c r="BQ966" t="s">
        <v>74</v>
      </c>
      <c r="BR966" t="s">
        <v>105</v>
      </c>
      <c r="BS966" t="s">
        <v>17877</v>
      </c>
      <c r="BT966" t="str">
        <f>HYPERLINK("https%3A%2F%2Fwww.webofscience.com%2Fwos%2Fwoscc%2Ffull-record%2FWOS:000334573600025","View Full Record in Web of Science")</f>
        <v>View Full Record in Web of Science</v>
      </c>
    </row>
    <row r="967" spans="1:72" x14ac:dyDescent="0.15">
      <c r="A967" t="s">
        <v>72</v>
      </c>
      <c r="B967" t="s">
        <v>17878</v>
      </c>
      <c r="C967" t="s">
        <v>74</v>
      </c>
      <c r="D967" t="s">
        <v>74</v>
      </c>
      <c r="E967" t="s">
        <v>74</v>
      </c>
      <c r="F967" t="s">
        <v>17879</v>
      </c>
      <c r="G967" t="s">
        <v>74</v>
      </c>
      <c r="H967" t="s">
        <v>74</v>
      </c>
      <c r="I967" t="s">
        <v>17880</v>
      </c>
      <c r="J967" t="s">
        <v>17881</v>
      </c>
      <c r="K967" t="s">
        <v>74</v>
      </c>
      <c r="L967" t="s">
        <v>74</v>
      </c>
      <c r="M967" t="s">
        <v>78</v>
      </c>
      <c r="N967" t="s">
        <v>79</v>
      </c>
      <c r="O967" t="s">
        <v>74</v>
      </c>
      <c r="P967" t="s">
        <v>74</v>
      </c>
      <c r="Q967" t="s">
        <v>74</v>
      </c>
      <c r="R967" t="s">
        <v>74</v>
      </c>
      <c r="S967" t="s">
        <v>74</v>
      </c>
      <c r="T967" t="s">
        <v>17882</v>
      </c>
      <c r="U967" t="s">
        <v>17883</v>
      </c>
      <c r="V967" t="s">
        <v>17884</v>
      </c>
      <c r="W967" t="s">
        <v>17885</v>
      </c>
      <c r="X967" t="s">
        <v>17886</v>
      </c>
      <c r="Y967" t="s">
        <v>17887</v>
      </c>
      <c r="Z967" t="s">
        <v>17888</v>
      </c>
      <c r="AA967" t="s">
        <v>74</v>
      </c>
      <c r="AB967" t="s">
        <v>17889</v>
      </c>
      <c r="AC967" t="s">
        <v>17890</v>
      </c>
      <c r="AD967" t="s">
        <v>17891</v>
      </c>
      <c r="AE967" t="s">
        <v>17892</v>
      </c>
      <c r="AF967" t="s">
        <v>74</v>
      </c>
      <c r="AG967">
        <v>29</v>
      </c>
      <c r="AH967">
        <v>10</v>
      </c>
      <c r="AI967">
        <v>10</v>
      </c>
      <c r="AJ967">
        <v>0</v>
      </c>
      <c r="AK967">
        <v>9</v>
      </c>
      <c r="AL967" t="s">
        <v>601</v>
      </c>
      <c r="AM967" t="s">
        <v>251</v>
      </c>
      <c r="AN967" t="s">
        <v>602</v>
      </c>
      <c r="AO967" t="s">
        <v>17893</v>
      </c>
      <c r="AP967" t="s">
        <v>17894</v>
      </c>
      <c r="AQ967" t="s">
        <v>74</v>
      </c>
      <c r="AR967" t="s">
        <v>17895</v>
      </c>
      <c r="AS967" t="s">
        <v>17896</v>
      </c>
      <c r="AT967" t="s">
        <v>17364</v>
      </c>
      <c r="AU967">
        <v>2014</v>
      </c>
      <c r="AV967">
        <v>130</v>
      </c>
      <c r="AW967" t="s">
        <v>74</v>
      </c>
      <c r="AX967" t="s">
        <v>74</v>
      </c>
      <c r="AY967" t="s">
        <v>74</v>
      </c>
      <c r="AZ967" t="s">
        <v>74</v>
      </c>
      <c r="BA967" t="s">
        <v>74</v>
      </c>
      <c r="BB967">
        <v>72</v>
      </c>
      <c r="BC967">
        <v>77</v>
      </c>
      <c r="BD967" t="s">
        <v>74</v>
      </c>
      <c r="BE967" t="s">
        <v>17897</v>
      </c>
      <c r="BF967" t="str">
        <f>HYPERLINK("http://dx.doi.org/10.1016/j.jenvrad.2014.01.006","http://dx.doi.org/10.1016/j.jenvrad.2014.01.006")</f>
        <v>http://dx.doi.org/10.1016/j.jenvrad.2014.01.006</v>
      </c>
      <c r="BG967" t="s">
        <v>74</v>
      </c>
      <c r="BH967" t="s">
        <v>74</v>
      </c>
      <c r="BI967">
        <v>6</v>
      </c>
      <c r="BJ967" t="s">
        <v>4397</v>
      </c>
      <c r="BK967" t="s">
        <v>102</v>
      </c>
      <c r="BL967" t="s">
        <v>2553</v>
      </c>
      <c r="BM967" t="s">
        <v>17898</v>
      </c>
      <c r="BN967">
        <v>24487256</v>
      </c>
      <c r="BO967" t="s">
        <v>1274</v>
      </c>
      <c r="BP967" t="s">
        <v>74</v>
      </c>
      <c r="BQ967" t="s">
        <v>74</v>
      </c>
      <c r="BR967" t="s">
        <v>105</v>
      </c>
      <c r="BS967" t="s">
        <v>17899</v>
      </c>
      <c r="BT967" t="str">
        <f>HYPERLINK("https%3A%2F%2Fwww.webofscience.com%2Fwos%2Fwoscc%2Ffull-record%2FWOS:000334484400010","View Full Record in Web of Science")</f>
        <v>View Full Record in Web of Science</v>
      </c>
    </row>
    <row r="968" spans="1:72" x14ac:dyDescent="0.15">
      <c r="A968" t="s">
        <v>72</v>
      </c>
      <c r="B968" t="s">
        <v>17900</v>
      </c>
      <c r="C968" t="s">
        <v>74</v>
      </c>
      <c r="D968" t="s">
        <v>74</v>
      </c>
      <c r="E968" t="s">
        <v>74</v>
      </c>
      <c r="F968" t="s">
        <v>17901</v>
      </c>
      <c r="G968" t="s">
        <v>74</v>
      </c>
      <c r="H968" t="s">
        <v>74</v>
      </c>
      <c r="I968" t="s">
        <v>17902</v>
      </c>
      <c r="J968" t="s">
        <v>914</v>
      </c>
      <c r="K968" t="s">
        <v>74</v>
      </c>
      <c r="L968" t="s">
        <v>74</v>
      </c>
      <c r="M968" t="s">
        <v>78</v>
      </c>
      <c r="N968" t="s">
        <v>79</v>
      </c>
      <c r="O968" t="s">
        <v>74</v>
      </c>
      <c r="P968" t="s">
        <v>74</v>
      </c>
      <c r="Q968" t="s">
        <v>74</v>
      </c>
      <c r="R968" t="s">
        <v>74</v>
      </c>
      <c r="S968" t="s">
        <v>74</v>
      </c>
      <c r="T968" t="s">
        <v>17903</v>
      </c>
      <c r="U968" t="s">
        <v>17904</v>
      </c>
      <c r="V968" t="s">
        <v>17905</v>
      </c>
      <c r="W968" t="s">
        <v>17906</v>
      </c>
      <c r="X968" t="s">
        <v>14041</v>
      </c>
      <c r="Y968" t="s">
        <v>17907</v>
      </c>
      <c r="Z968" t="s">
        <v>17908</v>
      </c>
      <c r="AA968" t="s">
        <v>17909</v>
      </c>
      <c r="AB968" t="s">
        <v>17910</v>
      </c>
      <c r="AC968" t="s">
        <v>17911</v>
      </c>
      <c r="AD968" t="s">
        <v>17912</v>
      </c>
      <c r="AE968" t="s">
        <v>17913</v>
      </c>
      <c r="AF968" t="s">
        <v>74</v>
      </c>
      <c r="AG968">
        <v>37</v>
      </c>
      <c r="AH968">
        <v>3</v>
      </c>
      <c r="AI968">
        <v>4</v>
      </c>
      <c r="AJ968">
        <v>0</v>
      </c>
      <c r="AK968">
        <v>35</v>
      </c>
      <c r="AL968" t="s">
        <v>753</v>
      </c>
      <c r="AM968" t="s">
        <v>124</v>
      </c>
      <c r="AN968" t="s">
        <v>754</v>
      </c>
      <c r="AO968" t="s">
        <v>927</v>
      </c>
      <c r="AP968" t="s">
        <v>928</v>
      </c>
      <c r="AQ968" t="s">
        <v>74</v>
      </c>
      <c r="AR968" t="s">
        <v>929</v>
      </c>
      <c r="AS968" t="s">
        <v>930</v>
      </c>
      <c r="AT968" t="s">
        <v>17364</v>
      </c>
      <c r="AU968">
        <v>2014</v>
      </c>
      <c r="AV968">
        <v>453</v>
      </c>
      <c r="AW968" t="s">
        <v>74</v>
      </c>
      <c r="AX968" t="s">
        <v>74</v>
      </c>
      <c r="AY968" t="s">
        <v>74</v>
      </c>
      <c r="AZ968" t="s">
        <v>74</v>
      </c>
      <c r="BA968" t="s">
        <v>74</v>
      </c>
      <c r="BB968">
        <v>1</v>
      </c>
      <c r="BC968">
        <v>12</v>
      </c>
      <c r="BD968" t="s">
        <v>74</v>
      </c>
      <c r="BE968" t="s">
        <v>17914</v>
      </c>
      <c r="BF968" t="str">
        <f>HYPERLINK("http://dx.doi.org/10.1016/j.jembe.2013.12.019","http://dx.doi.org/10.1016/j.jembe.2013.12.019")</f>
        <v>http://dx.doi.org/10.1016/j.jembe.2013.12.019</v>
      </c>
      <c r="BG968" t="s">
        <v>74</v>
      </c>
      <c r="BH968" t="s">
        <v>74</v>
      </c>
      <c r="BI968">
        <v>12</v>
      </c>
      <c r="BJ968" t="s">
        <v>932</v>
      </c>
      <c r="BK968" t="s">
        <v>102</v>
      </c>
      <c r="BL968" t="s">
        <v>933</v>
      </c>
      <c r="BM968" t="s">
        <v>17915</v>
      </c>
      <c r="BN968" t="s">
        <v>74</v>
      </c>
      <c r="BO968" t="s">
        <v>74</v>
      </c>
      <c r="BP968" t="s">
        <v>74</v>
      </c>
      <c r="BQ968" t="s">
        <v>74</v>
      </c>
      <c r="BR968" t="s">
        <v>105</v>
      </c>
      <c r="BS968" t="s">
        <v>17916</v>
      </c>
      <c r="BT968" t="str">
        <f>HYPERLINK("https%3A%2F%2Fwww.webofscience.com%2Fwos%2Fwoscc%2Ffull-record%2FWOS:000334476900001","View Full Record in Web of Science")</f>
        <v>View Full Record in Web of Science</v>
      </c>
    </row>
    <row r="969" spans="1:72" x14ac:dyDescent="0.15">
      <c r="A969" t="s">
        <v>72</v>
      </c>
      <c r="B969" t="s">
        <v>17917</v>
      </c>
      <c r="C969" t="s">
        <v>74</v>
      </c>
      <c r="D969" t="s">
        <v>74</v>
      </c>
      <c r="E969" t="s">
        <v>74</v>
      </c>
      <c r="F969" t="s">
        <v>17918</v>
      </c>
      <c r="G969" t="s">
        <v>74</v>
      </c>
      <c r="H969" t="s">
        <v>74</v>
      </c>
      <c r="I969" t="s">
        <v>17919</v>
      </c>
      <c r="J969" t="s">
        <v>7127</v>
      </c>
      <c r="K969" t="s">
        <v>74</v>
      </c>
      <c r="L969" t="s">
        <v>74</v>
      </c>
      <c r="M969" t="s">
        <v>78</v>
      </c>
      <c r="N969" t="s">
        <v>79</v>
      </c>
      <c r="O969" t="s">
        <v>74</v>
      </c>
      <c r="P969" t="s">
        <v>74</v>
      </c>
      <c r="Q969" t="s">
        <v>74</v>
      </c>
      <c r="R969" t="s">
        <v>74</v>
      </c>
      <c r="S969" t="s">
        <v>74</v>
      </c>
      <c r="T969" t="s">
        <v>17920</v>
      </c>
      <c r="U969" t="s">
        <v>17921</v>
      </c>
      <c r="V969" t="s">
        <v>17922</v>
      </c>
      <c r="W969" t="s">
        <v>17923</v>
      </c>
      <c r="X969" t="s">
        <v>17924</v>
      </c>
      <c r="Y969" t="s">
        <v>17925</v>
      </c>
      <c r="Z969" t="s">
        <v>17926</v>
      </c>
      <c r="AA969" t="s">
        <v>17927</v>
      </c>
      <c r="AB969" t="s">
        <v>17928</v>
      </c>
      <c r="AC969" t="s">
        <v>17929</v>
      </c>
      <c r="AD969" t="s">
        <v>17930</v>
      </c>
      <c r="AE969" t="s">
        <v>17931</v>
      </c>
      <c r="AF969" t="s">
        <v>74</v>
      </c>
      <c r="AG969">
        <v>56</v>
      </c>
      <c r="AH969">
        <v>50</v>
      </c>
      <c r="AI969">
        <v>52</v>
      </c>
      <c r="AJ969">
        <v>2</v>
      </c>
      <c r="AK969">
        <v>62</v>
      </c>
      <c r="AL969" t="s">
        <v>250</v>
      </c>
      <c r="AM969" t="s">
        <v>251</v>
      </c>
      <c r="AN969" t="s">
        <v>252</v>
      </c>
      <c r="AO969" t="s">
        <v>7138</v>
      </c>
      <c r="AP969" t="s">
        <v>74</v>
      </c>
      <c r="AQ969" t="s">
        <v>74</v>
      </c>
      <c r="AR969" t="s">
        <v>7139</v>
      </c>
      <c r="AS969" t="s">
        <v>7140</v>
      </c>
      <c r="AT969" t="s">
        <v>17364</v>
      </c>
      <c r="AU969">
        <v>2014</v>
      </c>
      <c r="AV969">
        <v>41</v>
      </c>
      <c r="AW969" t="s">
        <v>74</v>
      </c>
      <c r="AX969" t="s">
        <v>74</v>
      </c>
      <c r="AY969" t="s">
        <v>74</v>
      </c>
      <c r="AZ969" t="s">
        <v>74</v>
      </c>
      <c r="BA969" t="s">
        <v>74</v>
      </c>
      <c r="BB969">
        <v>104</v>
      </c>
      <c r="BC969">
        <v>111</v>
      </c>
      <c r="BD969" t="s">
        <v>74</v>
      </c>
      <c r="BE969" t="s">
        <v>17932</v>
      </c>
      <c r="BF969" t="str">
        <f>HYPERLINK("http://dx.doi.org/10.1016/j.jtherbio.2014.02.013","http://dx.doi.org/10.1016/j.jtherbio.2014.02.013")</f>
        <v>http://dx.doi.org/10.1016/j.jtherbio.2014.02.013</v>
      </c>
      <c r="BG969" t="s">
        <v>74</v>
      </c>
      <c r="BH969" t="s">
        <v>74</v>
      </c>
      <c r="BI969">
        <v>8</v>
      </c>
      <c r="BJ969" t="s">
        <v>7142</v>
      </c>
      <c r="BK969" t="s">
        <v>102</v>
      </c>
      <c r="BL969" t="s">
        <v>7143</v>
      </c>
      <c r="BM969" t="s">
        <v>17933</v>
      </c>
      <c r="BN969">
        <v>24679979</v>
      </c>
      <c r="BO969" t="s">
        <v>74</v>
      </c>
      <c r="BP969" t="s">
        <v>74</v>
      </c>
      <c r="BQ969" t="s">
        <v>74</v>
      </c>
      <c r="BR969" t="s">
        <v>105</v>
      </c>
      <c r="BS969" t="s">
        <v>17934</v>
      </c>
      <c r="BT969" t="str">
        <f>HYPERLINK("https%3A%2F%2Fwww.webofscience.com%2Fwos%2Fwoscc%2Ffull-record%2FWOS:000335112700015","View Full Record in Web of Science")</f>
        <v>View Full Record in Web of Science</v>
      </c>
    </row>
    <row r="970" spans="1:72" x14ac:dyDescent="0.15">
      <c r="A970" t="s">
        <v>72</v>
      </c>
      <c r="B970" t="s">
        <v>17935</v>
      </c>
      <c r="C970" t="s">
        <v>74</v>
      </c>
      <c r="D970" t="s">
        <v>74</v>
      </c>
      <c r="E970" t="s">
        <v>74</v>
      </c>
      <c r="F970" t="s">
        <v>17936</v>
      </c>
      <c r="G970" t="s">
        <v>74</v>
      </c>
      <c r="H970" t="s">
        <v>74</v>
      </c>
      <c r="I970" t="s">
        <v>17937</v>
      </c>
      <c r="J970" t="s">
        <v>5178</v>
      </c>
      <c r="K970" t="s">
        <v>74</v>
      </c>
      <c r="L970" t="s">
        <v>74</v>
      </c>
      <c r="M970" t="s">
        <v>850</v>
      </c>
      <c r="N970" t="s">
        <v>79</v>
      </c>
      <c r="O970" t="s">
        <v>74</v>
      </c>
      <c r="P970" t="s">
        <v>74</v>
      </c>
      <c r="Q970" t="s">
        <v>74</v>
      </c>
      <c r="R970" t="s">
        <v>74</v>
      </c>
      <c r="S970" t="s">
        <v>74</v>
      </c>
      <c r="T970" t="s">
        <v>17938</v>
      </c>
      <c r="U970" t="s">
        <v>17939</v>
      </c>
      <c r="V970" t="s">
        <v>17940</v>
      </c>
      <c r="W970" t="s">
        <v>17941</v>
      </c>
      <c r="X970" t="s">
        <v>17942</v>
      </c>
      <c r="Y970" t="s">
        <v>17943</v>
      </c>
      <c r="Z970" t="s">
        <v>17944</v>
      </c>
      <c r="AA970" t="s">
        <v>17945</v>
      </c>
      <c r="AB970" t="s">
        <v>17946</v>
      </c>
      <c r="AC970" t="s">
        <v>74</v>
      </c>
      <c r="AD970" t="s">
        <v>74</v>
      </c>
      <c r="AE970" t="s">
        <v>74</v>
      </c>
      <c r="AF970" t="s">
        <v>74</v>
      </c>
      <c r="AG970">
        <v>39</v>
      </c>
      <c r="AH970">
        <v>2</v>
      </c>
      <c r="AI970">
        <v>2</v>
      </c>
      <c r="AJ970">
        <v>1</v>
      </c>
      <c r="AK970">
        <v>44</v>
      </c>
      <c r="AL970" t="s">
        <v>5188</v>
      </c>
      <c r="AM970" t="s">
        <v>858</v>
      </c>
      <c r="AN970" t="s">
        <v>5189</v>
      </c>
      <c r="AO970" t="s">
        <v>5190</v>
      </c>
      <c r="AP970" t="s">
        <v>5191</v>
      </c>
      <c r="AQ970" t="s">
        <v>74</v>
      </c>
      <c r="AR970" t="s">
        <v>5192</v>
      </c>
      <c r="AS970" t="s">
        <v>5193</v>
      </c>
      <c r="AT970" t="s">
        <v>17364</v>
      </c>
      <c r="AU970">
        <v>2014</v>
      </c>
      <c r="AV970">
        <v>49</v>
      </c>
      <c r="AW970">
        <v>1</v>
      </c>
      <c r="AX970" t="s">
        <v>74</v>
      </c>
      <c r="AY970" t="s">
        <v>74</v>
      </c>
      <c r="AZ970" t="s">
        <v>74</v>
      </c>
      <c r="BA970" t="s">
        <v>74</v>
      </c>
      <c r="BB970">
        <v>147</v>
      </c>
      <c r="BC970">
        <v>155</v>
      </c>
      <c r="BD970" t="s">
        <v>74</v>
      </c>
      <c r="BE970" t="s">
        <v>17947</v>
      </c>
      <c r="BF970" t="str">
        <f>HYPERLINK("http://dx.doi.org/10.4067/S0718-19572014000100017","http://dx.doi.org/10.4067/S0718-19572014000100017")</f>
        <v>http://dx.doi.org/10.4067/S0718-19572014000100017</v>
      </c>
      <c r="BG970" t="s">
        <v>74</v>
      </c>
      <c r="BH970" t="s">
        <v>74</v>
      </c>
      <c r="BI970">
        <v>9</v>
      </c>
      <c r="BJ970" t="s">
        <v>2511</v>
      </c>
      <c r="BK970" t="s">
        <v>102</v>
      </c>
      <c r="BL970" t="s">
        <v>2511</v>
      </c>
      <c r="BM970" t="s">
        <v>17948</v>
      </c>
      <c r="BN970" t="s">
        <v>74</v>
      </c>
      <c r="BO970" t="s">
        <v>1898</v>
      </c>
      <c r="BP970" t="s">
        <v>74</v>
      </c>
      <c r="BQ970" t="s">
        <v>74</v>
      </c>
      <c r="BR970" t="s">
        <v>105</v>
      </c>
      <c r="BS970" t="s">
        <v>17949</v>
      </c>
      <c r="BT970" t="str">
        <f>HYPERLINK("https%3A%2F%2Fwww.webofscience.com%2Fwos%2Fwoscc%2Ffull-record%2FWOS:000335226000017","View Full Record in Web of Science")</f>
        <v>View Full Record in Web of Science</v>
      </c>
    </row>
    <row r="971" spans="1:72" x14ac:dyDescent="0.15">
      <c r="A971" t="s">
        <v>72</v>
      </c>
      <c r="B971" t="s">
        <v>17950</v>
      </c>
      <c r="C971" t="s">
        <v>74</v>
      </c>
      <c r="D971" t="s">
        <v>74</v>
      </c>
      <c r="E971" t="s">
        <v>74</v>
      </c>
      <c r="F971" t="s">
        <v>17951</v>
      </c>
      <c r="G971" t="s">
        <v>74</v>
      </c>
      <c r="H971" t="s">
        <v>74</v>
      </c>
      <c r="I971" t="s">
        <v>17952</v>
      </c>
      <c r="J971" t="s">
        <v>17953</v>
      </c>
      <c r="K971" t="s">
        <v>74</v>
      </c>
      <c r="L971" t="s">
        <v>74</v>
      </c>
      <c r="M971" t="s">
        <v>78</v>
      </c>
      <c r="N971" t="s">
        <v>79</v>
      </c>
      <c r="O971" t="s">
        <v>74</v>
      </c>
      <c r="P971" t="s">
        <v>74</v>
      </c>
      <c r="Q971" t="s">
        <v>74</v>
      </c>
      <c r="R971" t="s">
        <v>74</v>
      </c>
      <c r="S971" t="s">
        <v>74</v>
      </c>
      <c r="T971" t="s">
        <v>17954</v>
      </c>
      <c r="U971" t="s">
        <v>17955</v>
      </c>
      <c r="V971" t="s">
        <v>17956</v>
      </c>
      <c r="W971" t="s">
        <v>17957</v>
      </c>
      <c r="X971" t="s">
        <v>17958</v>
      </c>
      <c r="Y971" t="s">
        <v>17959</v>
      </c>
      <c r="Z971" t="s">
        <v>17960</v>
      </c>
      <c r="AA971" t="s">
        <v>17961</v>
      </c>
      <c r="AB971" t="s">
        <v>74</v>
      </c>
      <c r="AC971" t="s">
        <v>17962</v>
      </c>
      <c r="AD971" t="s">
        <v>17963</v>
      </c>
      <c r="AE971" t="s">
        <v>17964</v>
      </c>
      <c r="AF971" t="s">
        <v>74</v>
      </c>
      <c r="AG971">
        <v>18</v>
      </c>
      <c r="AH971">
        <v>2</v>
      </c>
      <c r="AI971">
        <v>2</v>
      </c>
      <c r="AJ971">
        <v>0</v>
      </c>
      <c r="AK971">
        <v>16</v>
      </c>
      <c r="AL971" t="s">
        <v>5574</v>
      </c>
      <c r="AM971" t="s">
        <v>5575</v>
      </c>
      <c r="AN971" t="s">
        <v>5576</v>
      </c>
      <c r="AO971" t="s">
        <v>17965</v>
      </c>
      <c r="AP971" t="s">
        <v>17966</v>
      </c>
      <c r="AQ971" t="s">
        <v>74</v>
      </c>
      <c r="AR971" t="s">
        <v>17967</v>
      </c>
      <c r="AS971" t="s">
        <v>17968</v>
      </c>
      <c r="AT971" t="s">
        <v>17364</v>
      </c>
      <c r="AU971">
        <v>2014</v>
      </c>
      <c r="AV971">
        <v>57</v>
      </c>
      <c r="AW971">
        <v>4</v>
      </c>
      <c r="AX971" t="s">
        <v>74</v>
      </c>
      <c r="AY971" t="s">
        <v>74</v>
      </c>
      <c r="AZ971" t="s">
        <v>74</v>
      </c>
      <c r="BA971" t="s">
        <v>74</v>
      </c>
      <c r="BB971">
        <v>838</v>
      </c>
      <c r="BC971">
        <v>846</v>
      </c>
      <c r="BD971" t="s">
        <v>74</v>
      </c>
      <c r="BE971" t="s">
        <v>17969</v>
      </c>
      <c r="BF971" t="str">
        <f>HYPERLINK("http://dx.doi.org/10.1007/s11431-014-5501-9","http://dx.doi.org/10.1007/s11431-014-5501-9")</f>
        <v>http://dx.doi.org/10.1007/s11431-014-5501-9</v>
      </c>
      <c r="BG971" t="s">
        <v>74</v>
      </c>
      <c r="BH971" t="s">
        <v>74</v>
      </c>
      <c r="BI971">
        <v>9</v>
      </c>
      <c r="BJ971" t="s">
        <v>17970</v>
      </c>
      <c r="BK971" t="s">
        <v>102</v>
      </c>
      <c r="BL971" t="s">
        <v>17971</v>
      </c>
      <c r="BM971" t="s">
        <v>17972</v>
      </c>
      <c r="BN971" t="s">
        <v>74</v>
      </c>
      <c r="BO971" t="s">
        <v>74</v>
      </c>
      <c r="BP971" t="s">
        <v>74</v>
      </c>
      <c r="BQ971" t="s">
        <v>74</v>
      </c>
      <c r="BR971" t="s">
        <v>105</v>
      </c>
      <c r="BS971" t="s">
        <v>17973</v>
      </c>
      <c r="BT971" t="str">
        <f>HYPERLINK("https%3A%2F%2Fwww.webofscience.com%2Fwos%2Fwoscc%2Ffull-record%2FWOS:000334400500024","View Full Record in Web of Science")</f>
        <v>View Full Record in Web of Science</v>
      </c>
    </row>
    <row r="972" spans="1:72" x14ac:dyDescent="0.15">
      <c r="A972" t="s">
        <v>72</v>
      </c>
      <c r="B972" t="s">
        <v>17974</v>
      </c>
      <c r="C972" t="s">
        <v>74</v>
      </c>
      <c r="D972" t="s">
        <v>74</v>
      </c>
      <c r="E972" t="s">
        <v>74</v>
      </c>
      <c r="F972" t="s">
        <v>17975</v>
      </c>
      <c r="G972" t="s">
        <v>74</v>
      </c>
      <c r="H972" t="s">
        <v>74</v>
      </c>
      <c r="I972" t="s">
        <v>17976</v>
      </c>
      <c r="J972" t="s">
        <v>17977</v>
      </c>
      <c r="K972" t="s">
        <v>74</v>
      </c>
      <c r="L972" t="s">
        <v>74</v>
      </c>
      <c r="M972" t="s">
        <v>78</v>
      </c>
      <c r="N972" t="s">
        <v>79</v>
      </c>
      <c r="O972" t="s">
        <v>74</v>
      </c>
      <c r="P972" t="s">
        <v>74</v>
      </c>
      <c r="Q972" t="s">
        <v>74</v>
      </c>
      <c r="R972" t="s">
        <v>74</v>
      </c>
      <c r="S972" t="s">
        <v>74</v>
      </c>
      <c r="T972" t="s">
        <v>17978</v>
      </c>
      <c r="U972" t="s">
        <v>17979</v>
      </c>
      <c r="V972" t="s">
        <v>17980</v>
      </c>
      <c r="W972" t="s">
        <v>17981</v>
      </c>
      <c r="X972" t="s">
        <v>3970</v>
      </c>
      <c r="Y972" t="s">
        <v>17982</v>
      </c>
      <c r="Z972" t="s">
        <v>17983</v>
      </c>
      <c r="AA972" t="s">
        <v>74</v>
      </c>
      <c r="AB972" t="s">
        <v>74</v>
      </c>
      <c r="AC972" t="s">
        <v>17984</v>
      </c>
      <c r="AD972" t="s">
        <v>17984</v>
      </c>
      <c r="AE972" t="s">
        <v>17985</v>
      </c>
      <c r="AF972" t="s">
        <v>74</v>
      </c>
      <c r="AG972">
        <v>27</v>
      </c>
      <c r="AH972">
        <v>1</v>
      </c>
      <c r="AI972">
        <v>1</v>
      </c>
      <c r="AJ972">
        <v>0</v>
      </c>
      <c r="AK972">
        <v>6</v>
      </c>
      <c r="AL972" t="s">
        <v>171</v>
      </c>
      <c r="AM972" t="s">
        <v>93</v>
      </c>
      <c r="AN972" t="s">
        <v>94</v>
      </c>
      <c r="AO972" t="s">
        <v>17986</v>
      </c>
      <c r="AP972" t="s">
        <v>17987</v>
      </c>
      <c r="AQ972" t="s">
        <v>74</v>
      </c>
      <c r="AR972" t="s">
        <v>17988</v>
      </c>
      <c r="AS972" t="s">
        <v>17989</v>
      </c>
      <c r="AT972" t="s">
        <v>17364</v>
      </c>
      <c r="AU972">
        <v>2014</v>
      </c>
      <c r="AV972">
        <v>24</v>
      </c>
      <c r="AW972">
        <v>2</v>
      </c>
      <c r="AX972" t="s">
        <v>74</v>
      </c>
      <c r="AY972" t="s">
        <v>74</v>
      </c>
      <c r="AZ972" t="s">
        <v>74</v>
      </c>
      <c r="BA972" t="s">
        <v>74</v>
      </c>
      <c r="BB972">
        <v>179</v>
      </c>
      <c r="BC972">
        <v>191</v>
      </c>
      <c r="BD972" t="s">
        <v>74</v>
      </c>
      <c r="BE972" t="s">
        <v>17990</v>
      </c>
      <c r="BF972" t="str">
        <f>HYPERLINK("http://dx.doi.org/10.1002/aqc.2373","http://dx.doi.org/10.1002/aqc.2373")</f>
        <v>http://dx.doi.org/10.1002/aqc.2373</v>
      </c>
      <c r="BG972" t="s">
        <v>74</v>
      </c>
      <c r="BH972" t="s">
        <v>74</v>
      </c>
      <c r="BI972">
        <v>13</v>
      </c>
      <c r="BJ972" t="s">
        <v>17991</v>
      </c>
      <c r="BK972" t="s">
        <v>102</v>
      </c>
      <c r="BL972" t="s">
        <v>17992</v>
      </c>
      <c r="BM972" t="s">
        <v>17993</v>
      </c>
      <c r="BN972" t="s">
        <v>74</v>
      </c>
      <c r="BO972" t="s">
        <v>74</v>
      </c>
      <c r="BP972" t="s">
        <v>74</v>
      </c>
      <c r="BQ972" t="s">
        <v>74</v>
      </c>
      <c r="BR972" t="s">
        <v>105</v>
      </c>
      <c r="BS972" t="s">
        <v>17994</v>
      </c>
      <c r="BT972" t="str">
        <f>HYPERLINK("https%3A%2F%2Fwww.webofscience.com%2Fwos%2Fwoscc%2Ffull-record%2FWOS:000333931400005","View Full Record in Web of Science")</f>
        <v>View Full Record in Web of Science</v>
      </c>
    </row>
    <row r="973" spans="1:72" x14ac:dyDescent="0.15">
      <c r="A973" t="s">
        <v>72</v>
      </c>
      <c r="B973" t="s">
        <v>17995</v>
      </c>
      <c r="C973" t="s">
        <v>74</v>
      </c>
      <c r="D973" t="s">
        <v>74</v>
      </c>
      <c r="E973" t="s">
        <v>74</v>
      </c>
      <c r="F973" t="s">
        <v>17996</v>
      </c>
      <c r="G973" t="s">
        <v>74</v>
      </c>
      <c r="H973" t="s">
        <v>74</v>
      </c>
      <c r="I973" t="s">
        <v>17997</v>
      </c>
      <c r="J973" t="s">
        <v>5586</v>
      </c>
      <c r="K973" t="s">
        <v>74</v>
      </c>
      <c r="L973" t="s">
        <v>74</v>
      </c>
      <c r="M973" t="s">
        <v>78</v>
      </c>
      <c r="N973" t="s">
        <v>79</v>
      </c>
      <c r="O973" t="s">
        <v>74</v>
      </c>
      <c r="P973" t="s">
        <v>74</v>
      </c>
      <c r="Q973" t="s">
        <v>74</v>
      </c>
      <c r="R973" t="s">
        <v>74</v>
      </c>
      <c r="S973" t="s">
        <v>74</v>
      </c>
      <c r="T973" t="s">
        <v>17998</v>
      </c>
      <c r="U973" t="s">
        <v>17999</v>
      </c>
      <c r="V973" t="s">
        <v>18000</v>
      </c>
      <c r="W973" t="s">
        <v>18001</v>
      </c>
      <c r="X973" t="s">
        <v>18002</v>
      </c>
      <c r="Y973" t="s">
        <v>18003</v>
      </c>
      <c r="Z973" t="s">
        <v>18004</v>
      </c>
      <c r="AA973" t="s">
        <v>18005</v>
      </c>
      <c r="AB973" t="s">
        <v>18006</v>
      </c>
      <c r="AC973" t="s">
        <v>18007</v>
      </c>
      <c r="AD973" t="s">
        <v>18007</v>
      </c>
      <c r="AE973" t="s">
        <v>18008</v>
      </c>
      <c r="AF973" t="s">
        <v>74</v>
      </c>
      <c r="AG973">
        <v>16</v>
      </c>
      <c r="AH973">
        <v>12</v>
      </c>
      <c r="AI973">
        <v>15</v>
      </c>
      <c r="AJ973">
        <v>0</v>
      </c>
      <c r="AK973">
        <v>17</v>
      </c>
      <c r="AL973" t="s">
        <v>627</v>
      </c>
      <c r="AM973" t="s">
        <v>628</v>
      </c>
      <c r="AN973" t="s">
        <v>629</v>
      </c>
      <c r="AO973" t="s">
        <v>5599</v>
      </c>
      <c r="AP973" t="s">
        <v>5600</v>
      </c>
      <c r="AQ973" t="s">
        <v>74</v>
      </c>
      <c r="AR973" t="s">
        <v>5586</v>
      </c>
      <c r="AS973" t="s">
        <v>5601</v>
      </c>
      <c r="AT973" t="s">
        <v>17364</v>
      </c>
      <c r="AU973">
        <v>2014</v>
      </c>
      <c r="AV973">
        <v>68</v>
      </c>
      <c r="AW973">
        <v>2</v>
      </c>
      <c r="AX973" t="s">
        <v>74</v>
      </c>
      <c r="AY973" t="s">
        <v>74</v>
      </c>
      <c r="AZ973" t="s">
        <v>74</v>
      </c>
      <c r="BA973" t="s">
        <v>74</v>
      </c>
      <c r="BB973">
        <v>303</v>
      </c>
      <c r="BC973">
        <v>305</v>
      </c>
      <c r="BD973" t="s">
        <v>74</v>
      </c>
      <c r="BE973" t="s">
        <v>18009</v>
      </c>
      <c r="BF973" t="str">
        <f>HYPERLINK("http://dx.doi.org/10.1016/j.cryobiol.2013.12.008","http://dx.doi.org/10.1016/j.cryobiol.2013.12.008")</f>
        <v>http://dx.doi.org/10.1016/j.cryobiol.2013.12.008</v>
      </c>
      <c r="BG973" t="s">
        <v>74</v>
      </c>
      <c r="BH973" t="s">
        <v>74</v>
      </c>
      <c r="BI973">
        <v>3</v>
      </c>
      <c r="BJ973" t="s">
        <v>5603</v>
      </c>
      <c r="BK973" t="s">
        <v>102</v>
      </c>
      <c r="BL973" t="s">
        <v>5604</v>
      </c>
      <c r="BM973" t="s">
        <v>18010</v>
      </c>
      <c r="BN973">
        <v>24389109</v>
      </c>
      <c r="BO973" t="s">
        <v>74</v>
      </c>
      <c r="BP973" t="s">
        <v>74</v>
      </c>
      <c r="BQ973" t="s">
        <v>74</v>
      </c>
      <c r="BR973" t="s">
        <v>105</v>
      </c>
      <c r="BS973" t="s">
        <v>18011</v>
      </c>
      <c r="BT973" t="str">
        <f>HYPERLINK("https%3A%2F%2Fwww.webofscience.com%2Fwos%2Fwoscc%2Ffull-record%2FWOS:000334145900019","View Full Record in Web of Science")</f>
        <v>View Full Record in Web of Science</v>
      </c>
    </row>
    <row r="974" spans="1:72" x14ac:dyDescent="0.15">
      <c r="A974" t="s">
        <v>72</v>
      </c>
      <c r="B974" t="s">
        <v>18012</v>
      </c>
      <c r="C974" t="s">
        <v>74</v>
      </c>
      <c r="D974" t="s">
        <v>74</v>
      </c>
      <c r="E974" t="s">
        <v>74</v>
      </c>
      <c r="F974" t="s">
        <v>18013</v>
      </c>
      <c r="G974" t="s">
        <v>74</v>
      </c>
      <c r="H974" t="s">
        <v>74</v>
      </c>
      <c r="I974" t="s">
        <v>18014</v>
      </c>
      <c r="J974" t="s">
        <v>2947</v>
      </c>
      <c r="K974" t="s">
        <v>74</v>
      </c>
      <c r="L974" t="s">
        <v>74</v>
      </c>
      <c r="M974" t="s">
        <v>78</v>
      </c>
      <c r="N974" t="s">
        <v>79</v>
      </c>
      <c r="O974" t="s">
        <v>74</v>
      </c>
      <c r="P974" t="s">
        <v>74</v>
      </c>
      <c r="Q974" t="s">
        <v>74</v>
      </c>
      <c r="R974" t="s">
        <v>74</v>
      </c>
      <c r="S974" t="s">
        <v>74</v>
      </c>
      <c r="T974" t="s">
        <v>18015</v>
      </c>
      <c r="U974" t="s">
        <v>18016</v>
      </c>
      <c r="V974" t="s">
        <v>18017</v>
      </c>
      <c r="W974" t="s">
        <v>18018</v>
      </c>
      <c r="X974" t="s">
        <v>18019</v>
      </c>
      <c r="Y974" t="s">
        <v>18020</v>
      </c>
      <c r="Z974" t="s">
        <v>18021</v>
      </c>
      <c r="AA974" t="s">
        <v>18022</v>
      </c>
      <c r="AB974" t="s">
        <v>18023</v>
      </c>
      <c r="AC974" t="s">
        <v>18024</v>
      </c>
      <c r="AD974" t="s">
        <v>18025</v>
      </c>
      <c r="AE974" t="s">
        <v>18026</v>
      </c>
      <c r="AF974" t="s">
        <v>74</v>
      </c>
      <c r="AG974">
        <v>64</v>
      </c>
      <c r="AH974">
        <v>10</v>
      </c>
      <c r="AI974">
        <v>10</v>
      </c>
      <c r="AJ974">
        <v>1</v>
      </c>
      <c r="AK974">
        <v>11</v>
      </c>
      <c r="AL974" t="s">
        <v>250</v>
      </c>
      <c r="AM974" t="s">
        <v>251</v>
      </c>
      <c r="AN974" t="s">
        <v>252</v>
      </c>
      <c r="AO974" t="s">
        <v>2956</v>
      </c>
      <c r="AP974" t="s">
        <v>2957</v>
      </c>
      <c r="AQ974" t="s">
        <v>74</v>
      </c>
      <c r="AR974" t="s">
        <v>2958</v>
      </c>
      <c r="AS974" t="s">
        <v>2959</v>
      </c>
      <c r="AT974" t="s">
        <v>17364</v>
      </c>
      <c r="AU974">
        <v>2014</v>
      </c>
      <c r="AV974">
        <v>86</v>
      </c>
      <c r="AW974" t="s">
        <v>74</v>
      </c>
      <c r="AX974" t="s">
        <v>74</v>
      </c>
      <c r="AY974" t="s">
        <v>74</v>
      </c>
      <c r="AZ974" t="s">
        <v>74</v>
      </c>
      <c r="BA974" t="s">
        <v>74</v>
      </c>
      <c r="BB974">
        <v>1</v>
      </c>
      <c r="BC974">
        <v>20</v>
      </c>
      <c r="BD974" t="s">
        <v>74</v>
      </c>
      <c r="BE974" t="s">
        <v>18027</v>
      </c>
      <c r="BF974" t="str">
        <f>HYPERLINK("http://dx.doi.org/10.1016/j.dsr.2013.12.008","http://dx.doi.org/10.1016/j.dsr.2013.12.008")</f>
        <v>http://dx.doi.org/10.1016/j.dsr.2013.12.008</v>
      </c>
      <c r="BG974" t="s">
        <v>74</v>
      </c>
      <c r="BH974" t="s">
        <v>74</v>
      </c>
      <c r="BI974">
        <v>20</v>
      </c>
      <c r="BJ974" t="s">
        <v>152</v>
      </c>
      <c r="BK974" t="s">
        <v>102</v>
      </c>
      <c r="BL974" t="s">
        <v>152</v>
      </c>
      <c r="BM974" t="s">
        <v>18028</v>
      </c>
      <c r="BN974" t="s">
        <v>74</v>
      </c>
      <c r="BO974" t="s">
        <v>289</v>
      </c>
      <c r="BP974" t="s">
        <v>74</v>
      </c>
      <c r="BQ974" t="s">
        <v>74</v>
      </c>
      <c r="BR974" t="s">
        <v>105</v>
      </c>
      <c r="BS974" t="s">
        <v>18029</v>
      </c>
      <c r="BT974" t="str">
        <f>HYPERLINK("https%3A%2F%2Fwww.webofscience.com%2Fwos%2Fwoscc%2Ffull-record%2FWOS:000334256500001","View Full Record in Web of Science")</f>
        <v>View Full Record in Web of Science</v>
      </c>
    </row>
    <row r="975" spans="1:72" x14ac:dyDescent="0.15">
      <c r="A975" t="s">
        <v>72</v>
      </c>
      <c r="B975" t="s">
        <v>18030</v>
      </c>
      <c r="C975" t="s">
        <v>74</v>
      </c>
      <c r="D975" t="s">
        <v>74</v>
      </c>
      <c r="E975" t="s">
        <v>74</v>
      </c>
      <c r="F975" t="s">
        <v>18031</v>
      </c>
      <c r="G975" t="s">
        <v>74</v>
      </c>
      <c r="H975" t="s">
        <v>74</v>
      </c>
      <c r="I975" t="s">
        <v>18032</v>
      </c>
      <c r="J975" t="s">
        <v>18033</v>
      </c>
      <c r="K975" t="s">
        <v>74</v>
      </c>
      <c r="L975" t="s">
        <v>74</v>
      </c>
      <c r="M975" t="s">
        <v>78</v>
      </c>
      <c r="N975" t="s">
        <v>79</v>
      </c>
      <c r="O975" t="s">
        <v>74</v>
      </c>
      <c r="P975" t="s">
        <v>74</v>
      </c>
      <c r="Q975" t="s">
        <v>74</v>
      </c>
      <c r="R975" t="s">
        <v>74</v>
      </c>
      <c r="S975" t="s">
        <v>74</v>
      </c>
      <c r="T975" t="s">
        <v>18034</v>
      </c>
      <c r="U975" t="s">
        <v>18035</v>
      </c>
      <c r="V975" t="s">
        <v>18036</v>
      </c>
      <c r="W975" t="s">
        <v>18037</v>
      </c>
      <c r="X975" t="s">
        <v>18038</v>
      </c>
      <c r="Y975" t="s">
        <v>18039</v>
      </c>
      <c r="Z975" t="s">
        <v>18040</v>
      </c>
      <c r="AA975" t="s">
        <v>18041</v>
      </c>
      <c r="AB975" t="s">
        <v>74</v>
      </c>
      <c r="AC975" t="s">
        <v>18042</v>
      </c>
      <c r="AD975" t="s">
        <v>18043</v>
      </c>
      <c r="AE975" t="s">
        <v>18044</v>
      </c>
      <c r="AF975" t="s">
        <v>74</v>
      </c>
      <c r="AG975">
        <v>69</v>
      </c>
      <c r="AH975">
        <v>9</v>
      </c>
      <c r="AI975">
        <v>10</v>
      </c>
      <c r="AJ975">
        <v>3</v>
      </c>
      <c r="AK975">
        <v>64</v>
      </c>
      <c r="AL975" t="s">
        <v>18045</v>
      </c>
      <c r="AM975" t="s">
        <v>18046</v>
      </c>
      <c r="AN975" t="s">
        <v>18047</v>
      </c>
      <c r="AO975" t="s">
        <v>18048</v>
      </c>
      <c r="AP975" t="s">
        <v>18049</v>
      </c>
      <c r="AQ975" t="s">
        <v>74</v>
      </c>
      <c r="AR975" t="s">
        <v>18050</v>
      </c>
      <c r="AS975" t="s">
        <v>18051</v>
      </c>
      <c r="AT975" t="s">
        <v>17364</v>
      </c>
      <c r="AU975">
        <v>2014</v>
      </c>
      <c r="AV975">
        <v>25</v>
      </c>
      <c r="AW975">
        <v>2</v>
      </c>
      <c r="AX975" t="s">
        <v>74</v>
      </c>
      <c r="AY975" t="s">
        <v>74</v>
      </c>
      <c r="AZ975" t="s">
        <v>74</v>
      </c>
      <c r="BA975" t="s">
        <v>74</v>
      </c>
      <c r="BB975">
        <v>357</v>
      </c>
      <c r="BC975">
        <v>365</v>
      </c>
      <c r="BD975" t="s">
        <v>74</v>
      </c>
      <c r="BE975" t="s">
        <v>18052</v>
      </c>
      <c r="BF975" t="str">
        <f>HYPERLINK("http://dx.doi.org/10.1007/s12583-014-0416-8","http://dx.doi.org/10.1007/s12583-014-0416-8")</f>
        <v>http://dx.doi.org/10.1007/s12583-014-0416-8</v>
      </c>
      <c r="BG975" t="s">
        <v>74</v>
      </c>
      <c r="BH975" t="s">
        <v>74</v>
      </c>
      <c r="BI975">
        <v>9</v>
      </c>
      <c r="BJ975" t="s">
        <v>685</v>
      </c>
      <c r="BK975" t="s">
        <v>102</v>
      </c>
      <c r="BL975" t="s">
        <v>686</v>
      </c>
      <c r="BM975" t="s">
        <v>18053</v>
      </c>
      <c r="BN975" t="s">
        <v>74</v>
      </c>
      <c r="BO975" t="s">
        <v>74</v>
      </c>
      <c r="BP975" t="s">
        <v>74</v>
      </c>
      <c r="BQ975" t="s">
        <v>74</v>
      </c>
      <c r="BR975" t="s">
        <v>105</v>
      </c>
      <c r="BS975" t="s">
        <v>18054</v>
      </c>
      <c r="BT975" t="str">
        <f>HYPERLINK("https%3A%2F%2Fwww.webofscience.com%2Fwos%2Fwoscc%2Ffull-record%2FWOS:000334093100014","View Full Record in Web of Science")</f>
        <v>View Full Record in Web of Science</v>
      </c>
    </row>
    <row r="976" spans="1:72" x14ac:dyDescent="0.15">
      <c r="A976" t="s">
        <v>72</v>
      </c>
      <c r="B976" t="s">
        <v>18055</v>
      </c>
      <c r="C976" t="s">
        <v>74</v>
      </c>
      <c r="D976" t="s">
        <v>74</v>
      </c>
      <c r="E976" t="s">
        <v>74</v>
      </c>
      <c r="F976" t="s">
        <v>18056</v>
      </c>
      <c r="G976" t="s">
        <v>74</v>
      </c>
      <c r="H976" t="s">
        <v>74</v>
      </c>
      <c r="I976" t="s">
        <v>18057</v>
      </c>
      <c r="J976" t="s">
        <v>18033</v>
      </c>
      <c r="K976" t="s">
        <v>74</v>
      </c>
      <c r="L976" t="s">
        <v>74</v>
      </c>
      <c r="M976" t="s">
        <v>78</v>
      </c>
      <c r="N976" t="s">
        <v>79</v>
      </c>
      <c r="O976" t="s">
        <v>74</v>
      </c>
      <c r="P976" t="s">
        <v>74</v>
      </c>
      <c r="Q976" t="s">
        <v>74</v>
      </c>
      <c r="R976" t="s">
        <v>74</v>
      </c>
      <c r="S976" t="s">
        <v>74</v>
      </c>
      <c r="T976" t="s">
        <v>18058</v>
      </c>
      <c r="U976" t="s">
        <v>18059</v>
      </c>
      <c r="V976" t="s">
        <v>18060</v>
      </c>
      <c r="W976" t="s">
        <v>18061</v>
      </c>
      <c r="X976" t="s">
        <v>1109</v>
      </c>
      <c r="Y976" t="s">
        <v>12043</v>
      </c>
      <c r="Z976" t="s">
        <v>7811</v>
      </c>
      <c r="AA976" t="s">
        <v>74</v>
      </c>
      <c r="AB976" t="s">
        <v>74</v>
      </c>
      <c r="AC976" t="s">
        <v>18062</v>
      </c>
      <c r="AD976" t="s">
        <v>18062</v>
      </c>
      <c r="AE976" t="s">
        <v>18063</v>
      </c>
      <c r="AF976" t="s">
        <v>74</v>
      </c>
      <c r="AG976">
        <v>34</v>
      </c>
      <c r="AH976">
        <v>5</v>
      </c>
      <c r="AI976">
        <v>5</v>
      </c>
      <c r="AJ976">
        <v>0</v>
      </c>
      <c r="AK976">
        <v>20</v>
      </c>
      <c r="AL976" t="s">
        <v>18045</v>
      </c>
      <c r="AM976" t="s">
        <v>18046</v>
      </c>
      <c r="AN976" t="s">
        <v>18047</v>
      </c>
      <c r="AO976" t="s">
        <v>18048</v>
      </c>
      <c r="AP976" t="s">
        <v>18049</v>
      </c>
      <c r="AQ976" t="s">
        <v>74</v>
      </c>
      <c r="AR976" t="s">
        <v>18050</v>
      </c>
      <c r="AS976" t="s">
        <v>18051</v>
      </c>
      <c r="AT976" t="s">
        <v>17364</v>
      </c>
      <c r="AU976">
        <v>2014</v>
      </c>
      <c r="AV976">
        <v>25</v>
      </c>
      <c r="AW976">
        <v>2</v>
      </c>
      <c r="AX976" t="s">
        <v>74</v>
      </c>
      <c r="AY976" t="s">
        <v>74</v>
      </c>
      <c r="AZ976" t="s">
        <v>74</v>
      </c>
      <c r="BA976" t="s">
        <v>74</v>
      </c>
      <c r="BB976">
        <v>366</v>
      </c>
      <c r="BC976">
        <v>370</v>
      </c>
      <c r="BD976" t="s">
        <v>74</v>
      </c>
      <c r="BE976" t="s">
        <v>18064</v>
      </c>
      <c r="BF976" t="str">
        <f>HYPERLINK("http://dx.doi.org/10.1007/s12583-014-0415-9","http://dx.doi.org/10.1007/s12583-014-0415-9")</f>
        <v>http://dx.doi.org/10.1007/s12583-014-0415-9</v>
      </c>
      <c r="BG976" t="s">
        <v>74</v>
      </c>
      <c r="BH976" t="s">
        <v>74</v>
      </c>
      <c r="BI976">
        <v>5</v>
      </c>
      <c r="BJ976" t="s">
        <v>685</v>
      </c>
      <c r="BK976" t="s">
        <v>102</v>
      </c>
      <c r="BL976" t="s">
        <v>686</v>
      </c>
      <c r="BM976" t="s">
        <v>18053</v>
      </c>
      <c r="BN976" t="s">
        <v>74</v>
      </c>
      <c r="BO976" t="s">
        <v>74</v>
      </c>
      <c r="BP976" t="s">
        <v>74</v>
      </c>
      <c r="BQ976" t="s">
        <v>74</v>
      </c>
      <c r="BR976" t="s">
        <v>105</v>
      </c>
      <c r="BS976" t="s">
        <v>18065</v>
      </c>
      <c r="BT976" t="str">
        <f>HYPERLINK("https%3A%2F%2Fwww.webofscience.com%2Fwos%2Fwoscc%2Ffull-record%2FWOS:000334093100015","View Full Record in Web of Science")</f>
        <v>View Full Record in Web of Science</v>
      </c>
    </row>
    <row r="977" spans="1:72" x14ac:dyDescent="0.15">
      <c r="A977" t="s">
        <v>72</v>
      </c>
      <c r="B977" t="s">
        <v>18066</v>
      </c>
      <c r="C977" t="s">
        <v>74</v>
      </c>
      <c r="D977" t="s">
        <v>74</v>
      </c>
      <c r="E977" t="s">
        <v>74</v>
      </c>
      <c r="F977" t="s">
        <v>18067</v>
      </c>
      <c r="G977" t="s">
        <v>74</v>
      </c>
      <c r="H977" t="s">
        <v>74</v>
      </c>
      <c r="I977" t="s">
        <v>18068</v>
      </c>
      <c r="J977" t="s">
        <v>668</v>
      </c>
      <c r="K977" t="s">
        <v>74</v>
      </c>
      <c r="L977" t="s">
        <v>74</v>
      </c>
      <c r="M977" t="s">
        <v>78</v>
      </c>
      <c r="N977" t="s">
        <v>1130</v>
      </c>
      <c r="O977" t="s">
        <v>74</v>
      </c>
      <c r="P977" t="s">
        <v>74</v>
      </c>
      <c r="Q977" t="s">
        <v>74</v>
      </c>
      <c r="R977" t="s">
        <v>74</v>
      </c>
      <c r="S977" t="s">
        <v>74</v>
      </c>
      <c r="T977" t="s">
        <v>74</v>
      </c>
      <c r="U977" t="s">
        <v>1671</v>
      </c>
      <c r="V977" t="s">
        <v>74</v>
      </c>
      <c r="W977" t="s">
        <v>18069</v>
      </c>
      <c r="X977" t="s">
        <v>5239</v>
      </c>
      <c r="Y977" t="s">
        <v>18070</v>
      </c>
      <c r="Z977" t="s">
        <v>18071</v>
      </c>
      <c r="AA977" t="s">
        <v>18072</v>
      </c>
      <c r="AB977" t="s">
        <v>74</v>
      </c>
      <c r="AC977" t="s">
        <v>74</v>
      </c>
      <c r="AD977" t="s">
        <v>74</v>
      </c>
      <c r="AE977" t="s">
        <v>74</v>
      </c>
      <c r="AF977" t="s">
        <v>74</v>
      </c>
      <c r="AG977">
        <v>8</v>
      </c>
      <c r="AH977">
        <v>7</v>
      </c>
      <c r="AI977">
        <v>7</v>
      </c>
      <c r="AJ977">
        <v>0</v>
      </c>
      <c r="AK977">
        <v>11</v>
      </c>
      <c r="AL977" t="s">
        <v>653</v>
      </c>
      <c r="AM977" t="s">
        <v>576</v>
      </c>
      <c r="AN977" t="s">
        <v>679</v>
      </c>
      <c r="AO977" t="s">
        <v>680</v>
      </c>
      <c r="AP977" t="s">
        <v>681</v>
      </c>
      <c r="AQ977" t="s">
        <v>74</v>
      </c>
      <c r="AR977" t="s">
        <v>682</v>
      </c>
      <c r="AS977" t="s">
        <v>683</v>
      </c>
      <c r="AT977" t="s">
        <v>17364</v>
      </c>
      <c r="AU977">
        <v>2014</v>
      </c>
      <c r="AV977">
        <v>7</v>
      </c>
      <c r="AW977">
        <v>4</v>
      </c>
      <c r="AX977" t="s">
        <v>74</v>
      </c>
      <c r="AY977" t="s">
        <v>74</v>
      </c>
      <c r="AZ977" t="s">
        <v>74</v>
      </c>
      <c r="BA977" t="s">
        <v>74</v>
      </c>
      <c r="BB977">
        <v>247</v>
      </c>
      <c r="BC977">
        <v>247</v>
      </c>
      <c r="BD977" t="s">
        <v>74</v>
      </c>
      <c r="BE977" t="s">
        <v>18073</v>
      </c>
      <c r="BF977" t="str">
        <f>HYPERLINK("http://dx.doi.org/10.1038/ngeo2127","http://dx.doi.org/10.1038/ngeo2127")</f>
        <v>http://dx.doi.org/10.1038/ngeo2127</v>
      </c>
      <c r="BG977" t="s">
        <v>74</v>
      </c>
      <c r="BH977" t="s">
        <v>74</v>
      </c>
      <c r="BI977">
        <v>1</v>
      </c>
      <c r="BJ977" t="s">
        <v>685</v>
      </c>
      <c r="BK977" t="s">
        <v>102</v>
      </c>
      <c r="BL977" t="s">
        <v>686</v>
      </c>
      <c r="BM977" t="s">
        <v>18074</v>
      </c>
      <c r="BN977" t="s">
        <v>74</v>
      </c>
      <c r="BO977" t="s">
        <v>179</v>
      </c>
      <c r="BP977" t="s">
        <v>74</v>
      </c>
      <c r="BQ977" t="s">
        <v>74</v>
      </c>
      <c r="BR977" t="s">
        <v>105</v>
      </c>
      <c r="BS977" t="s">
        <v>18075</v>
      </c>
      <c r="BT977" t="str">
        <f>HYPERLINK("https%3A%2F%2Fwww.webofscience.com%2Fwos%2Fwoscc%2Ffull-record%2FWOS:000333815700003","View Full Record in Web of Science")</f>
        <v>View Full Record in Web of Science</v>
      </c>
    </row>
    <row r="978" spans="1:72" x14ac:dyDescent="0.15">
      <c r="A978" t="s">
        <v>72</v>
      </c>
      <c r="B978" t="s">
        <v>18076</v>
      </c>
      <c r="C978" t="s">
        <v>74</v>
      </c>
      <c r="D978" t="s">
        <v>74</v>
      </c>
      <c r="E978" t="s">
        <v>74</v>
      </c>
      <c r="F978" t="s">
        <v>18077</v>
      </c>
      <c r="G978" t="s">
        <v>74</v>
      </c>
      <c r="H978" t="s">
        <v>74</v>
      </c>
      <c r="I978" t="s">
        <v>18078</v>
      </c>
      <c r="J978" t="s">
        <v>10413</v>
      </c>
      <c r="K978" t="s">
        <v>74</v>
      </c>
      <c r="L978" t="s">
        <v>74</v>
      </c>
      <c r="M978" t="s">
        <v>78</v>
      </c>
      <c r="N978" t="s">
        <v>79</v>
      </c>
      <c r="O978" t="s">
        <v>74</v>
      </c>
      <c r="P978" t="s">
        <v>74</v>
      </c>
      <c r="Q978" t="s">
        <v>74</v>
      </c>
      <c r="R978" t="s">
        <v>74</v>
      </c>
      <c r="S978" t="s">
        <v>74</v>
      </c>
      <c r="T978" t="s">
        <v>18079</v>
      </c>
      <c r="U978" t="s">
        <v>18080</v>
      </c>
      <c r="V978" t="s">
        <v>18081</v>
      </c>
      <c r="W978" t="s">
        <v>18082</v>
      </c>
      <c r="X978" t="s">
        <v>18083</v>
      </c>
      <c r="Y978" t="s">
        <v>18084</v>
      </c>
      <c r="Z978" t="s">
        <v>18085</v>
      </c>
      <c r="AA978" t="s">
        <v>18086</v>
      </c>
      <c r="AB978" t="s">
        <v>18087</v>
      </c>
      <c r="AC978" t="s">
        <v>18088</v>
      </c>
      <c r="AD978" t="s">
        <v>18089</v>
      </c>
      <c r="AE978" t="s">
        <v>18090</v>
      </c>
      <c r="AF978" t="s">
        <v>74</v>
      </c>
      <c r="AG978">
        <v>28</v>
      </c>
      <c r="AH978">
        <v>4</v>
      </c>
      <c r="AI978">
        <v>5</v>
      </c>
      <c r="AJ978">
        <v>0</v>
      </c>
      <c r="AK978">
        <v>8</v>
      </c>
      <c r="AL978" t="s">
        <v>5574</v>
      </c>
      <c r="AM978" t="s">
        <v>5575</v>
      </c>
      <c r="AN978" t="s">
        <v>5576</v>
      </c>
      <c r="AO978" t="s">
        <v>10425</v>
      </c>
      <c r="AP978" t="s">
        <v>10426</v>
      </c>
      <c r="AQ978" t="s">
        <v>74</v>
      </c>
      <c r="AR978" t="s">
        <v>10427</v>
      </c>
      <c r="AS978" t="s">
        <v>10428</v>
      </c>
      <c r="AT978" t="s">
        <v>17364</v>
      </c>
      <c r="AU978">
        <v>2014</v>
      </c>
      <c r="AV978">
        <v>57</v>
      </c>
      <c r="AW978">
        <v>4</v>
      </c>
      <c r="AX978" t="s">
        <v>74</v>
      </c>
      <c r="AY978" t="s">
        <v>74</v>
      </c>
      <c r="AZ978" t="s">
        <v>74</v>
      </c>
      <c r="BA978" t="s">
        <v>74</v>
      </c>
      <c r="BB978">
        <v>703</v>
      </c>
      <c r="BC978">
        <v>709</v>
      </c>
      <c r="BD978" t="s">
        <v>74</v>
      </c>
      <c r="BE978" t="s">
        <v>18091</v>
      </c>
      <c r="BF978" t="str">
        <f>HYPERLINK("http://dx.doi.org/10.1007/s11430-013-4709-z","http://dx.doi.org/10.1007/s11430-013-4709-z")</f>
        <v>http://dx.doi.org/10.1007/s11430-013-4709-z</v>
      </c>
      <c r="BG978" t="s">
        <v>74</v>
      </c>
      <c r="BH978" t="s">
        <v>74</v>
      </c>
      <c r="BI978">
        <v>7</v>
      </c>
      <c r="BJ978" t="s">
        <v>685</v>
      </c>
      <c r="BK978" t="s">
        <v>102</v>
      </c>
      <c r="BL978" t="s">
        <v>686</v>
      </c>
      <c r="BM978" t="s">
        <v>18092</v>
      </c>
      <c r="BN978" t="s">
        <v>74</v>
      </c>
      <c r="BO978" t="s">
        <v>262</v>
      </c>
      <c r="BP978" t="s">
        <v>74</v>
      </c>
      <c r="BQ978" t="s">
        <v>74</v>
      </c>
      <c r="BR978" t="s">
        <v>105</v>
      </c>
      <c r="BS978" t="s">
        <v>18093</v>
      </c>
      <c r="BT978" t="str">
        <f>HYPERLINK("https%3A%2F%2Fwww.webofscience.com%2Fwos%2Fwoscc%2Ffull-record%2FWOS:000334176800012","View Full Record in Web of Science")</f>
        <v>View Full Record in Web of Science</v>
      </c>
    </row>
    <row r="979" spans="1:72" x14ac:dyDescent="0.15">
      <c r="A979" t="s">
        <v>72</v>
      </c>
      <c r="B979" t="s">
        <v>18094</v>
      </c>
      <c r="C979" t="s">
        <v>74</v>
      </c>
      <c r="D979" t="s">
        <v>74</v>
      </c>
      <c r="E979" t="s">
        <v>74</v>
      </c>
      <c r="F979" t="s">
        <v>18095</v>
      </c>
      <c r="G979" t="s">
        <v>74</v>
      </c>
      <c r="H979" t="s">
        <v>74</v>
      </c>
      <c r="I979" t="s">
        <v>18096</v>
      </c>
      <c r="J979" t="s">
        <v>18097</v>
      </c>
      <c r="K979" t="s">
        <v>74</v>
      </c>
      <c r="L979" t="s">
        <v>74</v>
      </c>
      <c r="M979" t="s">
        <v>78</v>
      </c>
      <c r="N979" t="s">
        <v>79</v>
      </c>
      <c r="O979" t="s">
        <v>74</v>
      </c>
      <c r="P979" t="s">
        <v>74</v>
      </c>
      <c r="Q979" t="s">
        <v>74</v>
      </c>
      <c r="R979" t="s">
        <v>74</v>
      </c>
      <c r="S979" t="s">
        <v>74</v>
      </c>
      <c r="T979" t="s">
        <v>18098</v>
      </c>
      <c r="U979" t="s">
        <v>18099</v>
      </c>
      <c r="V979" t="s">
        <v>18100</v>
      </c>
      <c r="W979" t="s">
        <v>18101</v>
      </c>
      <c r="X979" t="s">
        <v>18102</v>
      </c>
      <c r="Y979" t="s">
        <v>18103</v>
      </c>
      <c r="Z979" t="s">
        <v>18104</v>
      </c>
      <c r="AA979" t="s">
        <v>18105</v>
      </c>
      <c r="AB979" t="s">
        <v>18106</v>
      </c>
      <c r="AC979" t="s">
        <v>74</v>
      </c>
      <c r="AD979" t="s">
        <v>74</v>
      </c>
      <c r="AE979" t="s">
        <v>74</v>
      </c>
      <c r="AF979" t="s">
        <v>74</v>
      </c>
      <c r="AG979">
        <v>48</v>
      </c>
      <c r="AH979">
        <v>17</v>
      </c>
      <c r="AI979">
        <v>19</v>
      </c>
      <c r="AJ979">
        <v>0</v>
      </c>
      <c r="AK979">
        <v>23</v>
      </c>
      <c r="AL979" t="s">
        <v>18107</v>
      </c>
      <c r="AM979" t="s">
        <v>18108</v>
      </c>
      <c r="AN979" t="s">
        <v>18109</v>
      </c>
      <c r="AO979" t="s">
        <v>18110</v>
      </c>
      <c r="AP979" t="s">
        <v>18111</v>
      </c>
      <c r="AQ979" t="s">
        <v>74</v>
      </c>
      <c r="AR979" t="s">
        <v>18112</v>
      </c>
      <c r="AS979" t="s">
        <v>18113</v>
      </c>
      <c r="AT979" t="s">
        <v>17364</v>
      </c>
      <c r="AU979">
        <v>2014</v>
      </c>
      <c r="AV979">
        <v>14</v>
      </c>
      <c r="AW979">
        <v>3</v>
      </c>
      <c r="AX979" t="s">
        <v>74</v>
      </c>
      <c r="AY979" t="s">
        <v>74</v>
      </c>
      <c r="AZ979" t="s">
        <v>74</v>
      </c>
      <c r="BA979" t="s">
        <v>74</v>
      </c>
      <c r="BB979">
        <v>666</v>
      </c>
      <c r="BC979">
        <v>676</v>
      </c>
      <c r="BD979" t="s">
        <v>74</v>
      </c>
      <c r="BE979" t="s">
        <v>18114</v>
      </c>
      <c r="BF979" t="str">
        <f>HYPERLINK("http://dx.doi.org/10.4209/aaqr.2013.03.0104","http://dx.doi.org/10.4209/aaqr.2013.03.0104")</f>
        <v>http://dx.doi.org/10.4209/aaqr.2013.03.0104</v>
      </c>
      <c r="BG979" t="s">
        <v>74</v>
      </c>
      <c r="BH979" t="s">
        <v>74</v>
      </c>
      <c r="BI979">
        <v>11</v>
      </c>
      <c r="BJ979" t="s">
        <v>4397</v>
      </c>
      <c r="BK979" t="s">
        <v>102</v>
      </c>
      <c r="BL979" t="s">
        <v>2553</v>
      </c>
      <c r="BM979" t="s">
        <v>18115</v>
      </c>
      <c r="BN979" t="s">
        <v>74</v>
      </c>
      <c r="BO979" t="s">
        <v>1898</v>
      </c>
      <c r="BP979" t="s">
        <v>74</v>
      </c>
      <c r="BQ979" t="s">
        <v>74</v>
      </c>
      <c r="BR979" t="s">
        <v>105</v>
      </c>
      <c r="BS979" t="s">
        <v>18116</v>
      </c>
      <c r="BT979" t="str">
        <f>HYPERLINK("https%3A%2F%2Fwww.webofscience.com%2Fwos%2Fwoscc%2Ffull-record%2FWOS:000333743900008","View Full Record in Web of Science")</f>
        <v>View Full Record in Web of Science</v>
      </c>
    </row>
    <row r="980" spans="1:72" x14ac:dyDescent="0.15">
      <c r="A980" t="s">
        <v>72</v>
      </c>
      <c r="B980" t="s">
        <v>18117</v>
      </c>
      <c r="C980" t="s">
        <v>74</v>
      </c>
      <c r="D980" t="s">
        <v>74</v>
      </c>
      <c r="E980" t="s">
        <v>74</v>
      </c>
      <c r="F980" t="s">
        <v>18118</v>
      </c>
      <c r="G980" t="s">
        <v>74</v>
      </c>
      <c r="H980" t="s">
        <v>74</v>
      </c>
      <c r="I980" t="s">
        <v>18119</v>
      </c>
      <c r="J980" t="s">
        <v>18120</v>
      </c>
      <c r="K980" t="s">
        <v>74</v>
      </c>
      <c r="L980" t="s">
        <v>74</v>
      </c>
      <c r="M980" t="s">
        <v>78</v>
      </c>
      <c r="N980" t="s">
        <v>79</v>
      </c>
      <c r="O980" t="s">
        <v>74</v>
      </c>
      <c r="P980" t="s">
        <v>74</v>
      </c>
      <c r="Q980" t="s">
        <v>74</v>
      </c>
      <c r="R980" t="s">
        <v>74</v>
      </c>
      <c r="S980" t="s">
        <v>74</v>
      </c>
      <c r="T980" t="s">
        <v>74</v>
      </c>
      <c r="U980" t="s">
        <v>74</v>
      </c>
      <c r="V980" t="s">
        <v>74</v>
      </c>
      <c r="W980" t="s">
        <v>1802</v>
      </c>
      <c r="X980" t="s">
        <v>1022</v>
      </c>
      <c r="Y980" t="s">
        <v>18121</v>
      </c>
      <c r="Z980" t="s">
        <v>16408</v>
      </c>
      <c r="AA980" t="s">
        <v>18122</v>
      </c>
      <c r="AB980" t="s">
        <v>18123</v>
      </c>
      <c r="AC980" t="s">
        <v>18124</v>
      </c>
      <c r="AD980" t="s">
        <v>18125</v>
      </c>
      <c r="AE980" t="s">
        <v>74</v>
      </c>
      <c r="AF980" t="s">
        <v>74</v>
      </c>
      <c r="AG980">
        <v>6</v>
      </c>
      <c r="AH980">
        <v>0</v>
      </c>
      <c r="AI980">
        <v>0</v>
      </c>
      <c r="AJ980">
        <v>0</v>
      </c>
      <c r="AK980">
        <v>1</v>
      </c>
      <c r="AL980" t="s">
        <v>418</v>
      </c>
      <c r="AM980" t="s">
        <v>251</v>
      </c>
      <c r="AN980" t="s">
        <v>419</v>
      </c>
      <c r="AO980" t="s">
        <v>18126</v>
      </c>
      <c r="AP980" t="s">
        <v>18127</v>
      </c>
      <c r="AQ980" t="s">
        <v>74</v>
      </c>
      <c r="AR980" t="s">
        <v>18128</v>
      </c>
      <c r="AS980" t="s">
        <v>18129</v>
      </c>
      <c r="AT980" t="s">
        <v>17364</v>
      </c>
      <c r="AU980">
        <v>2014</v>
      </c>
      <c r="AV980">
        <v>55</v>
      </c>
      <c r="AW980">
        <v>2</v>
      </c>
      <c r="AX980" t="s">
        <v>74</v>
      </c>
      <c r="AY980" t="s">
        <v>74</v>
      </c>
      <c r="AZ980" t="s">
        <v>74</v>
      </c>
      <c r="BA980" t="s">
        <v>74</v>
      </c>
      <c r="BB980">
        <v>22</v>
      </c>
      <c r="BC980">
        <v>25</v>
      </c>
      <c r="BD980" t="s">
        <v>74</v>
      </c>
      <c r="BE980" t="s">
        <v>74</v>
      </c>
      <c r="BF980" t="s">
        <v>74</v>
      </c>
      <c r="BG980" t="s">
        <v>74</v>
      </c>
      <c r="BH980" t="s">
        <v>74</v>
      </c>
      <c r="BI980">
        <v>4</v>
      </c>
      <c r="BJ980" t="s">
        <v>18130</v>
      </c>
      <c r="BK980" t="s">
        <v>102</v>
      </c>
      <c r="BL980" t="s">
        <v>18130</v>
      </c>
      <c r="BM980" t="s">
        <v>18131</v>
      </c>
      <c r="BN980" t="s">
        <v>74</v>
      </c>
      <c r="BO980" t="s">
        <v>74</v>
      </c>
      <c r="BP980" t="s">
        <v>74</v>
      </c>
      <c r="BQ980" t="s">
        <v>74</v>
      </c>
      <c r="BR980" t="s">
        <v>105</v>
      </c>
      <c r="BS980" t="s">
        <v>18132</v>
      </c>
      <c r="BT980" t="str">
        <f>HYPERLINK("https%3A%2F%2Fwww.webofscience.com%2Fwos%2Fwoscc%2Ffull-record%2FWOS:000334077800019","View Full Record in Web of Science")</f>
        <v>View Full Record in Web of Science</v>
      </c>
    </row>
    <row r="981" spans="1:72" x14ac:dyDescent="0.15">
      <c r="A981" t="s">
        <v>72</v>
      </c>
      <c r="B981" t="s">
        <v>18133</v>
      </c>
      <c r="C981" t="s">
        <v>74</v>
      </c>
      <c r="D981" t="s">
        <v>74</v>
      </c>
      <c r="E981" t="s">
        <v>74</v>
      </c>
      <c r="F981" t="s">
        <v>18134</v>
      </c>
      <c r="G981" t="s">
        <v>74</v>
      </c>
      <c r="H981" t="s">
        <v>74</v>
      </c>
      <c r="I981" t="s">
        <v>18135</v>
      </c>
      <c r="J981" t="s">
        <v>238</v>
      </c>
      <c r="K981" t="s">
        <v>74</v>
      </c>
      <c r="L981" t="s">
        <v>74</v>
      </c>
      <c r="M981" t="s">
        <v>78</v>
      </c>
      <c r="N981" t="s">
        <v>79</v>
      </c>
      <c r="O981" t="s">
        <v>74</v>
      </c>
      <c r="P981" t="s">
        <v>74</v>
      </c>
      <c r="Q981" t="s">
        <v>74</v>
      </c>
      <c r="R981" t="s">
        <v>74</v>
      </c>
      <c r="S981" t="s">
        <v>74</v>
      </c>
      <c r="T981" t="s">
        <v>18136</v>
      </c>
      <c r="U981" t="s">
        <v>18137</v>
      </c>
      <c r="V981" t="s">
        <v>18138</v>
      </c>
      <c r="W981" t="s">
        <v>18139</v>
      </c>
      <c r="X981" t="s">
        <v>18140</v>
      </c>
      <c r="Y981" t="s">
        <v>18141</v>
      </c>
      <c r="Z981" t="s">
        <v>18142</v>
      </c>
      <c r="AA981" t="s">
        <v>74</v>
      </c>
      <c r="AB981" t="s">
        <v>74</v>
      </c>
      <c r="AC981" t="s">
        <v>18143</v>
      </c>
      <c r="AD981" t="s">
        <v>18144</v>
      </c>
      <c r="AE981" t="s">
        <v>18145</v>
      </c>
      <c r="AF981" t="s">
        <v>74</v>
      </c>
      <c r="AG981">
        <v>79</v>
      </c>
      <c r="AH981">
        <v>1</v>
      </c>
      <c r="AI981">
        <v>1</v>
      </c>
      <c r="AJ981">
        <v>0</v>
      </c>
      <c r="AK981">
        <v>20</v>
      </c>
      <c r="AL981" t="s">
        <v>250</v>
      </c>
      <c r="AM981" t="s">
        <v>251</v>
      </c>
      <c r="AN981" t="s">
        <v>252</v>
      </c>
      <c r="AO981" t="s">
        <v>253</v>
      </c>
      <c r="AP981" t="s">
        <v>254</v>
      </c>
      <c r="AQ981" t="s">
        <v>74</v>
      </c>
      <c r="AR981" t="s">
        <v>255</v>
      </c>
      <c r="AS981" t="s">
        <v>256</v>
      </c>
      <c r="AT981" t="s">
        <v>17364</v>
      </c>
      <c r="AU981">
        <v>2014</v>
      </c>
      <c r="AV981">
        <v>110</v>
      </c>
      <c r="AW981" t="s">
        <v>74</v>
      </c>
      <c r="AX981" t="s">
        <v>74</v>
      </c>
      <c r="AY981" t="s">
        <v>74</v>
      </c>
      <c r="AZ981" t="s">
        <v>74</v>
      </c>
      <c r="BA981" t="s">
        <v>74</v>
      </c>
      <c r="BB981">
        <v>37</v>
      </c>
      <c r="BC981">
        <v>49</v>
      </c>
      <c r="BD981" t="s">
        <v>74</v>
      </c>
      <c r="BE981" t="s">
        <v>18146</v>
      </c>
      <c r="BF981" t="str">
        <f>HYPERLINK("http://dx.doi.org/10.1016/j.jastp.2014.01.003","http://dx.doi.org/10.1016/j.jastp.2014.01.003")</f>
        <v>http://dx.doi.org/10.1016/j.jastp.2014.01.003</v>
      </c>
      <c r="BG981" t="s">
        <v>74</v>
      </c>
      <c r="BH981" t="s">
        <v>74</v>
      </c>
      <c r="BI981">
        <v>13</v>
      </c>
      <c r="BJ981" t="s">
        <v>260</v>
      </c>
      <c r="BK981" t="s">
        <v>102</v>
      </c>
      <c r="BL981" t="s">
        <v>260</v>
      </c>
      <c r="BM981" t="s">
        <v>18147</v>
      </c>
      <c r="BN981" t="s">
        <v>74</v>
      </c>
      <c r="BO981" t="s">
        <v>74</v>
      </c>
      <c r="BP981" t="s">
        <v>74</v>
      </c>
      <c r="BQ981" t="s">
        <v>74</v>
      </c>
      <c r="BR981" t="s">
        <v>105</v>
      </c>
      <c r="BS981" t="s">
        <v>18148</v>
      </c>
      <c r="BT981" t="str">
        <f>HYPERLINK("https%3A%2F%2Fwww.webofscience.com%2Fwos%2Fwoscc%2Ffull-record%2FWOS:000333999600006","View Full Record in Web of Science")</f>
        <v>View Full Record in Web of Science</v>
      </c>
    </row>
    <row r="982" spans="1:72" x14ac:dyDescent="0.15">
      <c r="A982" t="s">
        <v>72</v>
      </c>
      <c r="B982" t="s">
        <v>18149</v>
      </c>
      <c r="C982" t="s">
        <v>74</v>
      </c>
      <c r="D982" t="s">
        <v>74</v>
      </c>
      <c r="E982" t="s">
        <v>74</v>
      </c>
      <c r="F982" t="s">
        <v>18150</v>
      </c>
      <c r="G982" t="s">
        <v>74</v>
      </c>
      <c r="H982" t="s">
        <v>74</v>
      </c>
      <c r="I982" t="s">
        <v>18151</v>
      </c>
      <c r="J982" t="s">
        <v>267</v>
      </c>
      <c r="K982" t="s">
        <v>74</v>
      </c>
      <c r="L982" t="s">
        <v>74</v>
      </c>
      <c r="M982" t="s">
        <v>78</v>
      </c>
      <c r="N982" t="s">
        <v>79</v>
      </c>
      <c r="O982" t="s">
        <v>74</v>
      </c>
      <c r="P982" t="s">
        <v>74</v>
      </c>
      <c r="Q982" t="s">
        <v>74</v>
      </c>
      <c r="R982" t="s">
        <v>74</v>
      </c>
      <c r="S982" t="s">
        <v>74</v>
      </c>
      <c r="T982" t="s">
        <v>18152</v>
      </c>
      <c r="U982" t="s">
        <v>18153</v>
      </c>
      <c r="V982" t="s">
        <v>18154</v>
      </c>
      <c r="W982" t="s">
        <v>18155</v>
      </c>
      <c r="X982" t="s">
        <v>18156</v>
      </c>
      <c r="Y982" t="s">
        <v>18157</v>
      </c>
      <c r="Z982" t="s">
        <v>18158</v>
      </c>
      <c r="AA982" t="s">
        <v>18159</v>
      </c>
      <c r="AB982" t="s">
        <v>18160</v>
      </c>
      <c r="AC982" t="s">
        <v>18161</v>
      </c>
      <c r="AD982" t="s">
        <v>18162</v>
      </c>
      <c r="AE982" t="s">
        <v>74</v>
      </c>
      <c r="AF982" t="s">
        <v>74</v>
      </c>
      <c r="AG982">
        <v>34</v>
      </c>
      <c r="AH982">
        <v>14</v>
      </c>
      <c r="AI982">
        <v>14</v>
      </c>
      <c r="AJ982">
        <v>0</v>
      </c>
      <c r="AK982">
        <v>40</v>
      </c>
      <c r="AL982" t="s">
        <v>280</v>
      </c>
      <c r="AM982" t="s">
        <v>281</v>
      </c>
      <c r="AN982" t="s">
        <v>282</v>
      </c>
      <c r="AO982" t="s">
        <v>283</v>
      </c>
      <c r="AP982" t="s">
        <v>284</v>
      </c>
      <c r="AQ982" t="s">
        <v>74</v>
      </c>
      <c r="AR982" t="s">
        <v>285</v>
      </c>
      <c r="AS982" t="s">
        <v>286</v>
      </c>
      <c r="AT982" t="s">
        <v>17364</v>
      </c>
      <c r="AU982">
        <v>2014</v>
      </c>
      <c r="AV982">
        <v>27</v>
      </c>
      <c r="AW982">
        <v>8</v>
      </c>
      <c r="AX982" t="s">
        <v>74</v>
      </c>
      <c r="AY982" t="s">
        <v>74</v>
      </c>
      <c r="AZ982" t="s">
        <v>74</v>
      </c>
      <c r="BA982" t="s">
        <v>74</v>
      </c>
      <c r="BB982">
        <v>2789</v>
      </c>
      <c r="BC982">
        <v>2799</v>
      </c>
      <c r="BD982" t="s">
        <v>74</v>
      </c>
      <c r="BE982" t="s">
        <v>18163</v>
      </c>
      <c r="BF982" t="str">
        <f>HYPERLINK("http://dx.doi.org/10.1175/JCLI-D-13-00445.1","http://dx.doi.org/10.1175/JCLI-D-13-00445.1")</f>
        <v>http://dx.doi.org/10.1175/JCLI-D-13-00445.1</v>
      </c>
      <c r="BG982" t="s">
        <v>74</v>
      </c>
      <c r="BH982" t="s">
        <v>74</v>
      </c>
      <c r="BI982">
        <v>11</v>
      </c>
      <c r="BJ982" t="s">
        <v>177</v>
      </c>
      <c r="BK982" t="s">
        <v>102</v>
      </c>
      <c r="BL982" t="s">
        <v>177</v>
      </c>
      <c r="BM982" t="s">
        <v>18164</v>
      </c>
      <c r="BN982" t="s">
        <v>74</v>
      </c>
      <c r="BO982" t="s">
        <v>1053</v>
      </c>
      <c r="BP982" t="s">
        <v>74</v>
      </c>
      <c r="BQ982" t="s">
        <v>74</v>
      </c>
      <c r="BR982" t="s">
        <v>105</v>
      </c>
      <c r="BS982" t="s">
        <v>18165</v>
      </c>
      <c r="BT982" t="str">
        <f>HYPERLINK("https%3A%2F%2Fwww.webofscience.com%2Fwos%2Fwoscc%2Ffull-record%2FWOS:000334017400001","View Full Record in Web of Science")</f>
        <v>View Full Record in Web of Science</v>
      </c>
    </row>
    <row r="983" spans="1:72" x14ac:dyDescent="0.15">
      <c r="A983" t="s">
        <v>72</v>
      </c>
      <c r="B983" t="s">
        <v>18166</v>
      </c>
      <c r="C983" t="s">
        <v>74</v>
      </c>
      <c r="D983" t="s">
        <v>74</v>
      </c>
      <c r="E983" t="s">
        <v>74</v>
      </c>
      <c r="F983" t="s">
        <v>18167</v>
      </c>
      <c r="G983" t="s">
        <v>74</v>
      </c>
      <c r="H983" t="s">
        <v>74</v>
      </c>
      <c r="I983" t="s">
        <v>18168</v>
      </c>
      <c r="J983" t="s">
        <v>18169</v>
      </c>
      <c r="K983" t="s">
        <v>74</v>
      </c>
      <c r="L983" t="s">
        <v>74</v>
      </c>
      <c r="M983" t="s">
        <v>78</v>
      </c>
      <c r="N983" t="s">
        <v>79</v>
      </c>
      <c r="O983" t="s">
        <v>74</v>
      </c>
      <c r="P983" t="s">
        <v>74</v>
      </c>
      <c r="Q983" t="s">
        <v>74</v>
      </c>
      <c r="R983" t="s">
        <v>74</v>
      </c>
      <c r="S983" t="s">
        <v>74</v>
      </c>
      <c r="T983" t="s">
        <v>18170</v>
      </c>
      <c r="U983" t="s">
        <v>18171</v>
      </c>
      <c r="V983" t="s">
        <v>18172</v>
      </c>
      <c r="W983" t="s">
        <v>18173</v>
      </c>
      <c r="X983" t="s">
        <v>18174</v>
      </c>
      <c r="Y983" t="s">
        <v>18175</v>
      </c>
      <c r="Z983" t="s">
        <v>18176</v>
      </c>
      <c r="AA983" t="s">
        <v>18177</v>
      </c>
      <c r="AB983" t="s">
        <v>18178</v>
      </c>
      <c r="AC983" t="s">
        <v>18179</v>
      </c>
      <c r="AD983" t="s">
        <v>18180</v>
      </c>
      <c r="AE983" t="s">
        <v>18181</v>
      </c>
      <c r="AF983" t="s">
        <v>74</v>
      </c>
      <c r="AG983">
        <v>63</v>
      </c>
      <c r="AH983">
        <v>13</v>
      </c>
      <c r="AI983">
        <v>13</v>
      </c>
      <c r="AJ983">
        <v>0</v>
      </c>
      <c r="AK983">
        <v>20</v>
      </c>
      <c r="AL983" t="s">
        <v>92</v>
      </c>
      <c r="AM983" t="s">
        <v>93</v>
      </c>
      <c r="AN983" t="s">
        <v>94</v>
      </c>
      <c r="AO983" t="s">
        <v>18182</v>
      </c>
      <c r="AP983" t="s">
        <v>18183</v>
      </c>
      <c r="AQ983" t="s">
        <v>74</v>
      </c>
      <c r="AR983" t="s">
        <v>18184</v>
      </c>
      <c r="AS983" t="s">
        <v>18185</v>
      </c>
      <c r="AT983" t="s">
        <v>17364</v>
      </c>
      <c r="AU983">
        <v>2014</v>
      </c>
      <c r="AV983">
        <v>50</v>
      </c>
      <c r="AW983">
        <v>2</v>
      </c>
      <c r="AX983" t="s">
        <v>74</v>
      </c>
      <c r="AY983" t="s">
        <v>74</v>
      </c>
      <c r="AZ983" t="s">
        <v>74</v>
      </c>
      <c r="BA983" t="s">
        <v>74</v>
      </c>
      <c r="BB983">
        <v>400</v>
      </c>
      <c r="BC983">
        <v>405</v>
      </c>
      <c r="BD983" t="s">
        <v>74</v>
      </c>
      <c r="BE983" t="s">
        <v>18186</v>
      </c>
      <c r="BF983" t="str">
        <f>HYPERLINK("http://dx.doi.org/10.1111/jpy.12159","http://dx.doi.org/10.1111/jpy.12159")</f>
        <v>http://dx.doi.org/10.1111/jpy.12159</v>
      </c>
      <c r="BG983" t="s">
        <v>74</v>
      </c>
      <c r="BH983" t="s">
        <v>74</v>
      </c>
      <c r="BI983">
        <v>6</v>
      </c>
      <c r="BJ983" t="s">
        <v>4982</v>
      </c>
      <c r="BK983" t="s">
        <v>102</v>
      </c>
      <c r="BL983" t="s">
        <v>4982</v>
      </c>
      <c r="BM983" t="s">
        <v>18187</v>
      </c>
      <c r="BN983">
        <v>26988196</v>
      </c>
      <c r="BO983" t="s">
        <v>74</v>
      </c>
      <c r="BP983" t="s">
        <v>74</v>
      </c>
      <c r="BQ983" t="s">
        <v>74</v>
      </c>
      <c r="BR983" t="s">
        <v>105</v>
      </c>
      <c r="BS983" t="s">
        <v>18188</v>
      </c>
      <c r="BT983" t="str">
        <f>HYPERLINK("https%3A%2F%2Fwww.webofscience.com%2Fwos%2Fwoscc%2Ffull-record%2FWOS:000333625100016","View Full Record in Web of Science")</f>
        <v>View Full Record in Web of Science</v>
      </c>
    </row>
    <row r="984" spans="1:72" x14ac:dyDescent="0.15">
      <c r="A984" t="s">
        <v>72</v>
      </c>
      <c r="B984" t="s">
        <v>18189</v>
      </c>
      <c r="C984" t="s">
        <v>74</v>
      </c>
      <c r="D984" t="s">
        <v>74</v>
      </c>
      <c r="E984" t="s">
        <v>74</v>
      </c>
      <c r="F984" t="s">
        <v>18190</v>
      </c>
      <c r="G984" t="s">
        <v>74</v>
      </c>
      <c r="H984" t="s">
        <v>74</v>
      </c>
      <c r="I984" t="s">
        <v>18191</v>
      </c>
      <c r="J984" t="s">
        <v>5914</v>
      </c>
      <c r="K984" t="s">
        <v>74</v>
      </c>
      <c r="L984" t="s">
        <v>74</v>
      </c>
      <c r="M984" t="s">
        <v>78</v>
      </c>
      <c r="N984" t="s">
        <v>79</v>
      </c>
      <c r="O984" t="s">
        <v>74</v>
      </c>
      <c r="P984" t="s">
        <v>74</v>
      </c>
      <c r="Q984" t="s">
        <v>74</v>
      </c>
      <c r="R984" t="s">
        <v>74</v>
      </c>
      <c r="S984" t="s">
        <v>74</v>
      </c>
      <c r="T984" t="s">
        <v>74</v>
      </c>
      <c r="U984" t="s">
        <v>18192</v>
      </c>
      <c r="V984" t="s">
        <v>18193</v>
      </c>
      <c r="W984" t="s">
        <v>18194</v>
      </c>
      <c r="X984" t="s">
        <v>18195</v>
      </c>
      <c r="Y984" t="s">
        <v>18196</v>
      </c>
      <c r="Z984" t="s">
        <v>18197</v>
      </c>
      <c r="AA984" t="s">
        <v>18198</v>
      </c>
      <c r="AB984" t="s">
        <v>18199</v>
      </c>
      <c r="AC984" t="s">
        <v>18200</v>
      </c>
      <c r="AD984" t="s">
        <v>18201</v>
      </c>
      <c r="AE984" t="s">
        <v>18202</v>
      </c>
      <c r="AF984" t="s">
        <v>74</v>
      </c>
      <c r="AG984">
        <v>38</v>
      </c>
      <c r="AH984">
        <v>60</v>
      </c>
      <c r="AI984">
        <v>63</v>
      </c>
      <c r="AJ984">
        <v>1</v>
      </c>
      <c r="AK984">
        <v>65</v>
      </c>
      <c r="AL984" t="s">
        <v>304</v>
      </c>
      <c r="AM984" t="s">
        <v>305</v>
      </c>
      <c r="AN984" t="s">
        <v>306</v>
      </c>
      <c r="AO984" t="s">
        <v>5926</v>
      </c>
      <c r="AP984" t="s">
        <v>5927</v>
      </c>
      <c r="AQ984" t="s">
        <v>74</v>
      </c>
      <c r="AR984" t="s">
        <v>5928</v>
      </c>
      <c r="AS984" t="s">
        <v>5929</v>
      </c>
      <c r="AT984" t="s">
        <v>17364</v>
      </c>
      <c r="AU984">
        <v>2014</v>
      </c>
      <c r="AV984">
        <v>161</v>
      </c>
      <c r="AW984">
        <v>4</v>
      </c>
      <c r="AX984" t="s">
        <v>74</v>
      </c>
      <c r="AY984" t="s">
        <v>74</v>
      </c>
      <c r="AZ984" t="s">
        <v>74</v>
      </c>
      <c r="BA984" t="s">
        <v>74</v>
      </c>
      <c r="BB984">
        <v>963</v>
      </c>
      <c r="BC984">
        <v>968</v>
      </c>
      <c r="BD984" t="s">
        <v>74</v>
      </c>
      <c r="BE984" t="s">
        <v>18203</v>
      </c>
      <c r="BF984" t="str">
        <f>HYPERLINK("http://dx.doi.org/10.1007/s00227-014-2394-x","http://dx.doi.org/10.1007/s00227-014-2394-x")</f>
        <v>http://dx.doi.org/10.1007/s00227-014-2394-x</v>
      </c>
      <c r="BG984" t="s">
        <v>74</v>
      </c>
      <c r="BH984" t="s">
        <v>74</v>
      </c>
      <c r="BI984">
        <v>6</v>
      </c>
      <c r="BJ984" t="s">
        <v>130</v>
      </c>
      <c r="BK984" t="s">
        <v>102</v>
      </c>
      <c r="BL984" t="s">
        <v>130</v>
      </c>
      <c r="BM984" t="s">
        <v>18204</v>
      </c>
      <c r="BN984" t="s">
        <v>74</v>
      </c>
      <c r="BO984" t="s">
        <v>262</v>
      </c>
      <c r="BP984" t="s">
        <v>74</v>
      </c>
      <c r="BQ984" t="s">
        <v>74</v>
      </c>
      <c r="BR984" t="s">
        <v>105</v>
      </c>
      <c r="BS984" t="s">
        <v>18205</v>
      </c>
      <c r="BT984" t="str">
        <f>HYPERLINK("https%3A%2F%2Fwww.webofscience.com%2Fwos%2Fwoscc%2Ffull-record%2FWOS:000333899500019","View Full Record in Web of Science")</f>
        <v>View Full Record in Web of Science</v>
      </c>
    </row>
    <row r="985" spans="1:72" x14ac:dyDescent="0.15">
      <c r="A985" t="s">
        <v>72</v>
      </c>
      <c r="B985" t="s">
        <v>18206</v>
      </c>
      <c r="C985" t="s">
        <v>74</v>
      </c>
      <c r="D985" t="s">
        <v>74</v>
      </c>
      <c r="E985" t="s">
        <v>74</v>
      </c>
      <c r="F985" t="s">
        <v>18207</v>
      </c>
      <c r="G985" t="s">
        <v>74</v>
      </c>
      <c r="H985" t="s">
        <v>74</v>
      </c>
      <c r="I985" t="s">
        <v>18208</v>
      </c>
      <c r="J985" t="s">
        <v>7357</v>
      </c>
      <c r="K985" t="s">
        <v>74</v>
      </c>
      <c r="L985" t="s">
        <v>74</v>
      </c>
      <c r="M985" t="s">
        <v>78</v>
      </c>
      <c r="N985" t="s">
        <v>79</v>
      </c>
      <c r="O985" t="s">
        <v>74</v>
      </c>
      <c r="P985" t="s">
        <v>74</v>
      </c>
      <c r="Q985" t="s">
        <v>74</v>
      </c>
      <c r="R985" t="s">
        <v>74</v>
      </c>
      <c r="S985" t="s">
        <v>74</v>
      </c>
      <c r="T985" t="s">
        <v>18209</v>
      </c>
      <c r="U985" t="s">
        <v>18210</v>
      </c>
      <c r="V985" t="s">
        <v>18211</v>
      </c>
      <c r="W985" t="s">
        <v>18212</v>
      </c>
      <c r="X985" t="s">
        <v>18213</v>
      </c>
      <c r="Y985" t="s">
        <v>18214</v>
      </c>
      <c r="Z985" t="s">
        <v>18215</v>
      </c>
      <c r="AA985" t="s">
        <v>18216</v>
      </c>
      <c r="AB985" t="s">
        <v>18217</v>
      </c>
      <c r="AC985" t="s">
        <v>18218</v>
      </c>
      <c r="AD985" t="s">
        <v>18219</v>
      </c>
      <c r="AE985" t="s">
        <v>18220</v>
      </c>
      <c r="AF985" t="s">
        <v>74</v>
      </c>
      <c r="AG985">
        <v>60</v>
      </c>
      <c r="AH985">
        <v>23</v>
      </c>
      <c r="AI985">
        <v>25</v>
      </c>
      <c r="AJ985">
        <v>0</v>
      </c>
      <c r="AK985">
        <v>21</v>
      </c>
      <c r="AL985" t="s">
        <v>753</v>
      </c>
      <c r="AM985" t="s">
        <v>124</v>
      </c>
      <c r="AN985" t="s">
        <v>754</v>
      </c>
      <c r="AO985" t="s">
        <v>7370</v>
      </c>
      <c r="AP985" t="s">
        <v>7371</v>
      </c>
      <c r="AQ985" t="s">
        <v>74</v>
      </c>
      <c r="AR985" t="s">
        <v>7372</v>
      </c>
      <c r="AS985" t="s">
        <v>7373</v>
      </c>
      <c r="AT985" t="s">
        <v>17364</v>
      </c>
      <c r="AU985">
        <v>2014</v>
      </c>
      <c r="AV985">
        <v>203</v>
      </c>
      <c r="AW985" t="s">
        <v>74</v>
      </c>
      <c r="AX985" t="s">
        <v>74</v>
      </c>
      <c r="AY985" t="s">
        <v>74</v>
      </c>
      <c r="AZ985" t="s">
        <v>74</v>
      </c>
      <c r="BA985" t="s">
        <v>74</v>
      </c>
      <c r="BB985">
        <v>22</v>
      </c>
      <c r="BC985">
        <v>34</v>
      </c>
      <c r="BD985" t="s">
        <v>74</v>
      </c>
      <c r="BE985" t="s">
        <v>18221</v>
      </c>
      <c r="BF985" t="str">
        <f>HYPERLINK("http://dx.doi.org/10.1016/j.revpalbo.2014.01.002","http://dx.doi.org/10.1016/j.revpalbo.2014.01.002")</f>
        <v>http://dx.doi.org/10.1016/j.revpalbo.2014.01.002</v>
      </c>
      <c r="BG985" t="s">
        <v>74</v>
      </c>
      <c r="BH985" t="s">
        <v>74</v>
      </c>
      <c r="BI985">
        <v>13</v>
      </c>
      <c r="BJ985" t="s">
        <v>7375</v>
      </c>
      <c r="BK985" t="s">
        <v>102</v>
      </c>
      <c r="BL985" t="s">
        <v>7375</v>
      </c>
      <c r="BM985" t="s">
        <v>18222</v>
      </c>
      <c r="BN985" t="s">
        <v>74</v>
      </c>
      <c r="BO985" t="s">
        <v>74</v>
      </c>
      <c r="BP985" t="s">
        <v>74</v>
      </c>
      <c r="BQ985" t="s">
        <v>74</v>
      </c>
      <c r="BR985" t="s">
        <v>105</v>
      </c>
      <c r="BS985" t="s">
        <v>18223</v>
      </c>
      <c r="BT985" t="str">
        <f>HYPERLINK("https%3A%2F%2Fwww.webofscience.com%2Fwos%2Fwoscc%2Ffull-record%2FWOS:000334008300005","View Full Record in Web of Science")</f>
        <v>View Full Record in Web of Science</v>
      </c>
    </row>
    <row r="986" spans="1:72" x14ac:dyDescent="0.15">
      <c r="A986" t="s">
        <v>72</v>
      </c>
      <c r="B986" t="s">
        <v>18224</v>
      </c>
      <c r="C986" t="s">
        <v>74</v>
      </c>
      <c r="D986" t="s">
        <v>74</v>
      </c>
      <c r="E986" t="s">
        <v>74</v>
      </c>
      <c r="F986" t="s">
        <v>18225</v>
      </c>
      <c r="G986" t="s">
        <v>74</v>
      </c>
      <c r="H986" t="s">
        <v>74</v>
      </c>
      <c r="I986" t="s">
        <v>18226</v>
      </c>
      <c r="J986" t="s">
        <v>18227</v>
      </c>
      <c r="K986" t="s">
        <v>74</v>
      </c>
      <c r="L986" t="s">
        <v>74</v>
      </c>
      <c r="M986" t="s">
        <v>78</v>
      </c>
      <c r="N986" t="s">
        <v>79</v>
      </c>
      <c r="O986" t="s">
        <v>74</v>
      </c>
      <c r="P986" t="s">
        <v>74</v>
      </c>
      <c r="Q986" t="s">
        <v>74</v>
      </c>
      <c r="R986" t="s">
        <v>74</v>
      </c>
      <c r="S986" t="s">
        <v>74</v>
      </c>
      <c r="T986" t="s">
        <v>74</v>
      </c>
      <c r="U986" t="s">
        <v>18228</v>
      </c>
      <c r="V986" t="s">
        <v>18229</v>
      </c>
      <c r="W986" t="s">
        <v>18230</v>
      </c>
      <c r="X986" t="s">
        <v>18231</v>
      </c>
      <c r="Y986" t="s">
        <v>191</v>
      </c>
      <c r="Z986" t="s">
        <v>18232</v>
      </c>
      <c r="AA986" t="s">
        <v>74</v>
      </c>
      <c r="AB986" t="s">
        <v>18233</v>
      </c>
      <c r="AC986" t="s">
        <v>18234</v>
      </c>
      <c r="AD986" t="s">
        <v>18235</v>
      </c>
      <c r="AE986" t="s">
        <v>18236</v>
      </c>
      <c r="AF986" t="s">
        <v>74</v>
      </c>
      <c r="AG986">
        <v>55</v>
      </c>
      <c r="AH986">
        <v>50</v>
      </c>
      <c r="AI986">
        <v>57</v>
      </c>
      <c r="AJ986">
        <v>0</v>
      </c>
      <c r="AK986">
        <v>48</v>
      </c>
      <c r="AL986" t="s">
        <v>3239</v>
      </c>
      <c r="AM986" t="s">
        <v>3240</v>
      </c>
      <c r="AN986" t="s">
        <v>3241</v>
      </c>
      <c r="AO986" t="s">
        <v>18237</v>
      </c>
      <c r="AP986" t="s">
        <v>74</v>
      </c>
      <c r="AQ986" t="s">
        <v>74</v>
      </c>
      <c r="AR986" t="s">
        <v>18238</v>
      </c>
      <c r="AS986" t="s">
        <v>18239</v>
      </c>
      <c r="AT986" t="s">
        <v>17364</v>
      </c>
      <c r="AU986">
        <v>2014</v>
      </c>
      <c r="AV986">
        <v>70</v>
      </c>
      <c r="AW986" t="s">
        <v>74</v>
      </c>
      <c r="AX986">
        <v>4</v>
      </c>
      <c r="AY986" t="s">
        <v>74</v>
      </c>
      <c r="AZ986" t="s">
        <v>74</v>
      </c>
      <c r="BA986" t="s">
        <v>74</v>
      </c>
      <c r="BB986">
        <v>1061</v>
      </c>
      <c r="BC986">
        <v>1073</v>
      </c>
      <c r="BD986" t="s">
        <v>74</v>
      </c>
      <c r="BE986" t="s">
        <v>18240</v>
      </c>
      <c r="BF986" t="str">
        <f>HYPERLINK("http://dx.doi.org/10.1107/S1399004714000996","http://dx.doi.org/10.1107/S1399004714000996")</f>
        <v>http://dx.doi.org/10.1107/S1399004714000996</v>
      </c>
      <c r="BG986" t="s">
        <v>74</v>
      </c>
      <c r="BH986" t="s">
        <v>74</v>
      </c>
      <c r="BI986">
        <v>13</v>
      </c>
      <c r="BJ986" t="s">
        <v>3246</v>
      </c>
      <c r="BK986" t="s">
        <v>102</v>
      </c>
      <c r="BL986" t="s">
        <v>3247</v>
      </c>
      <c r="BM986" t="s">
        <v>18241</v>
      </c>
      <c r="BN986">
        <v>24699650</v>
      </c>
      <c r="BO986" t="s">
        <v>74</v>
      </c>
      <c r="BP986" t="s">
        <v>74</v>
      </c>
      <c r="BQ986" t="s">
        <v>74</v>
      </c>
      <c r="BR986" t="s">
        <v>105</v>
      </c>
      <c r="BS986" t="s">
        <v>18242</v>
      </c>
      <c r="BT986" t="str">
        <f>HYPERLINK("https%3A%2F%2Fwww.webofscience.com%2Fwos%2Fwoscc%2Ffull-record%2FWOS:000333756700014","View Full Record in Web of Science")</f>
        <v>View Full Record in Web of Science</v>
      </c>
    </row>
    <row r="987" spans="1:72" x14ac:dyDescent="0.15">
      <c r="A987" t="s">
        <v>72</v>
      </c>
      <c r="B987" t="s">
        <v>18243</v>
      </c>
      <c r="C987" t="s">
        <v>74</v>
      </c>
      <c r="D987" t="s">
        <v>74</v>
      </c>
      <c r="E987" t="s">
        <v>74</v>
      </c>
      <c r="F987" t="s">
        <v>18244</v>
      </c>
      <c r="G987" t="s">
        <v>74</v>
      </c>
      <c r="H987" t="s">
        <v>74</v>
      </c>
      <c r="I987" t="s">
        <v>18245</v>
      </c>
      <c r="J987" t="s">
        <v>9416</v>
      </c>
      <c r="K987" t="s">
        <v>74</v>
      </c>
      <c r="L987" t="s">
        <v>74</v>
      </c>
      <c r="M987" t="s">
        <v>78</v>
      </c>
      <c r="N987" t="s">
        <v>79</v>
      </c>
      <c r="O987" t="s">
        <v>74</v>
      </c>
      <c r="P987" t="s">
        <v>74</v>
      </c>
      <c r="Q987" t="s">
        <v>74</v>
      </c>
      <c r="R987" t="s">
        <v>74</v>
      </c>
      <c r="S987" t="s">
        <v>74</v>
      </c>
      <c r="T987" t="s">
        <v>18246</v>
      </c>
      <c r="U987" t="s">
        <v>18247</v>
      </c>
      <c r="V987" t="s">
        <v>18248</v>
      </c>
      <c r="W987" t="s">
        <v>18249</v>
      </c>
      <c r="X987" t="s">
        <v>6306</v>
      </c>
      <c r="Y987" t="s">
        <v>18250</v>
      </c>
      <c r="Z987" t="s">
        <v>18251</v>
      </c>
      <c r="AA987" t="s">
        <v>18252</v>
      </c>
      <c r="AB987" t="s">
        <v>18253</v>
      </c>
      <c r="AC987" t="s">
        <v>18254</v>
      </c>
      <c r="AD987" t="s">
        <v>18255</v>
      </c>
      <c r="AE987" t="s">
        <v>18256</v>
      </c>
      <c r="AF987" t="s">
        <v>74</v>
      </c>
      <c r="AG987">
        <v>41</v>
      </c>
      <c r="AH987">
        <v>27</v>
      </c>
      <c r="AI987">
        <v>27</v>
      </c>
      <c r="AJ987">
        <v>0</v>
      </c>
      <c r="AK987">
        <v>26</v>
      </c>
      <c r="AL987" t="s">
        <v>171</v>
      </c>
      <c r="AM987" t="s">
        <v>93</v>
      </c>
      <c r="AN987" t="s">
        <v>94</v>
      </c>
      <c r="AO987" t="s">
        <v>9425</v>
      </c>
      <c r="AP987" t="s">
        <v>9426</v>
      </c>
      <c r="AQ987" t="s">
        <v>74</v>
      </c>
      <c r="AR987" t="s">
        <v>9427</v>
      </c>
      <c r="AS987" t="s">
        <v>9428</v>
      </c>
      <c r="AT987" t="s">
        <v>17364</v>
      </c>
      <c r="AU987">
        <v>2014</v>
      </c>
      <c r="AV987">
        <v>33</v>
      </c>
      <c r="AW987">
        <v>4</v>
      </c>
      <c r="AX987" t="s">
        <v>74</v>
      </c>
      <c r="AY987" t="s">
        <v>74</v>
      </c>
      <c r="AZ987" t="s">
        <v>74</v>
      </c>
      <c r="BA987" t="s">
        <v>74</v>
      </c>
      <c r="BB987">
        <v>882</v>
      </c>
      <c r="BC987">
        <v>890</v>
      </c>
      <c r="BD987" t="s">
        <v>74</v>
      </c>
      <c r="BE987" t="s">
        <v>18257</v>
      </c>
      <c r="BF987" t="str">
        <f>HYPERLINK("http://dx.doi.org/10.1002/etc.2522","http://dx.doi.org/10.1002/etc.2522")</f>
        <v>http://dx.doi.org/10.1002/etc.2522</v>
      </c>
      <c r="BG987" t="s">
        <v>74</v>
      </c>
      <c r="BH987" t="s">
        <v>74</v>
      </c>
      <c r="BI987">
        <v>9</v>
      </c>
      <c r="BJ987" t="s">
        <v>9430</v>
      </c>
      <c r="BK987" t="s">
        <v>102</v>
      </c>
      <c r="BL987" t="s">
        <v>9431</v>
      </c>
      <c r="BM987" t="s">
        <v>18258</v>
      </c>
      <c r="BN987">
        <v>24590679</v>
      </c>
      <c r="BO987" t="s">
        <v>74</v>
      </c>
      <c r="BP987" t="s">
        <v>74</v>
      </c>
      <c r="BQ987" t="s">
        <v>74</v>
      </c>
      <c r="BR987" t="s">
        <v>105</v>
      </c>
      <c r="BS987" t="s">
        <v>18259</v>
      </c>
      <c r="BT987" t="str">
        <f>HYPERLINK("https%3A%2F%2Fwww.webofscience.com%2Fwos%2Fwoscc%2Ffull-record%2FWOS:000333538700019","View Full Record in Web of Science")</f>
        <v>View Full Record in Web of Science</v>
      </c>
    </row>
    <row r="988" spans="1:72" x14ac:dyDescent="0.15">
      <c r="A988" t="s">
        <v>72</v>
      </c>
      <c r="B988" t="s">
        <v>18260</v>
      </c>
      <c r="C988" t="s">
        <v>74</v>
      </c>
      <c r="D988" t="s">
        <v>74</v>
      </c>
      <c r="E988" t="s">
        <v>74</v>
      </c>
      <c r="F988" t="s">
        <v>18261</v>
      </c>
      <c r="G988" t="s">
        <v>74</v>
      </c>
      <c r="H988" t="s">
        <v>74</v>
      </c>
      <c r="I988" t="s">
        <v>18262</v>
      </c>
      <c r="J988" t="s">
        <v>18263</v>
      </c>
      <c r="K988" t="s">
        <v>74</v>
      </c>
      <c r="L988" t="s">
        <v>74</v>
      </c>
      <c r="M988" t="s">
        <v>78</v>
      </c>
      <c r="N988" t="s">
        <v>8256</v>
      </c>
      <c r="O988" t="s">
        <v>18264</v>
      </c>
      <c r="P988" t="s">
        <v>18265</v>
      </c>
      <c r="Q988" t="s">
        <v>18266</v>
      </c>
      <c r="R988" t="s">
        <v>74</v>
      </c>
      <c r="S988" t="s">
        <v>74</v>
      </c>
      <c r="T988" t="s">
        <v>18267</v>
      </c>
      <c r="U988" t="s">
        <v>74</v>
      </c>
      <c r="V988" t="s">
        <v>18268</v>
      </c>
      <c r="W988" t="s">
        <v>18269</v>
      </c>
      <c r="X988" t="s">
        <v>18270</v>
      </c>
      <c r="Y988" t="s">
        <v>18271</v>
      </c>
      <c r="Z988" t="s">
        <v>18272</v>
      </c>
      <c r="AA988" t="s">
        <v>18273</v>
      </c>
      <c r="AB988" t="s">
        <v>18274</v>
      </c>
      <c r="AC988" t="s">
        <v>18275</v>
      </c>
      <c r="AD988" t="s">
        <v>18276</v>
      </c>
      <c r="AE988" t="s">
        <v>18277</v>
      </c>
      <c r="AF988" t="s">
        <v>74</v>
      </c>
      <c r="AG988">
        <v>0</v>
      </c>
      <c r="AH988">
        <v>1</v>
      </c>
      <c r="AI988">
        <v>2</v>
      </c>
      <c r="AJ988">
        <v>1</v>
      </c>
      <c r="AK988">
        <v>6</v>
      </c>
      <c r="AL988" t="s">
        <v>123</v>
      </c>
      <c r="AM988" t="s">
        <v>124</v>
      </c>
      <c r="AN988" t="s">
        <v>125</v>
      </c>
      <c r="AO988" t="s">
        <v>18278</v>
      </c>
      <c r="AP988" t="s">
        <v>18279</v>
      </c>
      <c r="AQ988" t="s">
        <v>74</v>
      </c>
      <c r="AR988" t="s">
        <v>18280</v>
      </c>
      <c r="AS988" t="s">
        <v>18281</v>
      </c>
      <c r="AT988" t="s">
        <v>17701</v>
      </c>
      <c r="AU988">
        <v>2014</v>
      </c>
      <c r="AV988">
        <v>742</v>
      </c>
      <c r="AW988" t="s">
        <v>74</v>
      </c>
      <c r="AX988" t="s">
        <v>74</v>
      </c>
      <c r="AY988" t="s">
        <v>74</v>
      </c>
      <c r="AZ988" t="s">
        <v>74</v>
      </c>
      <c r="BA988" t="s">
        <v>74</v>
      </c>
      <c r="BB988">
        <v>130</v>
      </c>
      <c r="BC988">
        <v>138</v>
      </c>
      <c r="BD988" t="s">
        <v>74</v>
      </c>
      <c r="BE988" t="s">
        <v>18282</v>
      </c>
      <c r="BF988" t="str">
        <f>HYPERLINK("http://dx.doi.org/10.1016/j.nima.2013.10.086","http://dx.doi.org/10.1016/j.nima.2013.10.086")</f>
        <v>http://dx.doi.org/10.1016/j.nima.2013.10.086</v>
      </c>
      <c r="BG988" t="s">
        <v>74</v>
      </c>
      <c r="BH988" t="s">
        <v>74</v>
      </c>
      <c r="BI988">
        <v>9</v>
      </c>
      <c r="BJ988" t="s">
        <v>18283</v>
      </c>
      <c r="BK988" t="s">
        <v>1795</v>
      </c>
      <c r="BL988" t="s">
        <v>18284</v>
      </c>
      <c r="BM988" t="s">
        <v>18285</v>
      </c>
      <c r="BN988" t="s">
        <v>74</v>
      </c>
      <c r="BO988" t="s">
        <v>262</v>
      </c>
      <c r="BP988" t="s">
        <v>74</v>
      </c>
      <c r="BQ988" t="s">
        <v>74</v>
      </c>
      <c r="BR988" t="s">
        <v>105</v>
      </c>
      <c r="BS988" t="s">
        <v>18286</v>
      </c>
      <c r="BT988" t="str">
        <f>HYPERLINK("https%3A%2F%2Fwww.webofscience.com%2Fwos%2Fwoscc%2Ffull-record%2FWOS:000333778100022","View Full Record in Web of Science")</f>
        <v>View Full Record in Web of Science</v>
      </c>
    </row>
    <row r="989" spans="1:72" x14ac:dyDescent="0.15">
      <c r="A989" t="s">
        <v>72</v>
      </c>
      <c r="B989" t="s">
        <v>18287</v>
      </c>
      <c r="C989" t="s">
        <v>74</v>
      </c>
      <c r="D989" t="s">
        <v>74</v>
      </c>
      <c r="E989" t="s">
        <v>74</v>
      </c>
      <c r="F989" t="s">
        <v>18288</v>
      </c>
      <c r="G989" t="s">
        <v>74</v>
      </c>
      <c r="H989" t="s">
        <v>74</v>
      </c>
      <c r="I989" t="s">
        <v>18289</v>
      </c>
      <c r="J989" t="s">
        <v>18290</v>
      </c>
      <c r="K989" t="s">
        <v>74</v>
      </c>
      <c r="L989" t="s">
        <v>74</v>
      </c>
      <c r="M989" t="s">
        <v>78</v>
      </c>
      <c r="N989" t="s">
        <v>79</v>
      </c>
      <c r="O989" t="s">
        <v>74</v>
      </c>
      <c r="P989" t="s">
        <v>74</v>
      </c>
      <c r="Q989" t="s">
        <v>74</v>
      </c>
      <c r="R989" t="s">
        <v>74</v>
      </c>
      <c r="S989" t="s">
        <v>74</v>
      </c>
      <c r="T989" t="s">
        <v>18291</v>
      </c>
      <c r="U989" t="s">
        <v>18292</v>
      </c>
      <c r="V989" t="s">
        <v>18293</v>
      </c>
      <c r="W989" t="s">
        <v>18294</v>
      </c>
      <c r="X989" t="s">
        <v>18295</v>
      </c>
      <c r="Y989" t="s">
        <v>18296</v>
      </c>
      <c r="Z989" t="s">
        <v>18297</v>
      </c>
      <c r="AA989" t="s">
        <v>18298</v>
      </c>
      <c r="AB989" t="s">
        <v>18299</v>
      </c>
      <c r="AC989" t="s">
        <v>18300</v>
      </c>
      <c r="AD989" t="s">
        <v>18300</v>
      </c>
      <c r="AE989" t="s">
        <v>18301</v>
      </c>
      <c r="AF989" t="s">
        <v>74</v>
      </c>
      <c r="AG989">
        <v>38</v>
      </c>
      <c r="AH989">
        <v>5</v>
      </c>
      <c r="AI989">
        <v>5</v>
      </c>
      <c r="AJ989">
        <v>0</v>
      </c>
      <c r="AK989">
        <v>5</v>
      </c>
      <c r="AL989" t="s">
        <v>18302</v>
      </c>
      <c r="AM989" t="s">
        <v>13897</v>
      </c>
      <c r="AN989" t="s">
        <v>18303</v>
      </c>
      <c r="AO989" t="s">
        <v>18304</v>
      </c>
      <c r="AP989" t="s">
        <v>18305</v>
      </c>
      <c r="AQ989" t="s">
        <v>74</v>
      </c>
      <c r="AR989" t="s">
        <v>18306</v>
      </c>
      <c r="AS989" t="s">
        <v>18307</v>
      </c>
      <c r="AT989" t="s">
        <v>17364</v>
      </c>
      <c r="AU989">
        <v>2014</v>
      </c>
      <c r="AV989">
        <v>25</v>
      </c>
      <c r="AW989">
        <v>2</v>
      </c>
      <c r="AX989" t="s">
        <v>74</v>
      </c>
      <c r="AY989" t="s">
        <v>74</v>
      </c>
      <c r="AZ989" t="s">
        <v>74</v>
      </c>
      <c r="BA989" t="s">
        <v>74</v>
      </c>
      <c r="BB989">
        <v>219</v>
      </c>
      <c r="BC989">
        <v>232</v>
      </c>
      <c r="BD989" t="s">
        <v>74</v>
      </c>
      <c r="BE989" t="s">
        <v>18308</v>
      </c>
      <c r="BF989" t="str">
        <f>HYPERLINK("http://dx.doi.org/10.3319/TAO.2013.10.14.01(AA)","http://dx.doi.org/10.3319/TAO.2013.10.14.01(AA)")</f>
        <v>http://dx.doi.org/10.3319/TAO.2013.10.14.01(AA)</v>
      </c>
      <c r="BG989" t="s">
        <v>74</v>
      </c>
      <c r="BH989" t="s">
        <v>74</v>
      </c>
      <c r="BI989">
        <v>14</v>
      </c>
      <c r="BJ989" t="s">
        <v>18309</v>
      </c>
      <c r="BK989" t="s">
        <v>102</v>
      </c>
      <c r="BL989" t="s">
        <v>18310</v>
      </c>
      <c r="BM989" t="s">
        <v>18311</v>
      </c>
      <c r="BN989" t="s">
        <v>74</v>
      </c>
      <c r="BO989" t="s">
        <v>12122</v>
      </c>
      <c r="BP989" t="s">
        <v>74</v>
      </c>
      <c r="BQ989" t="s">
        <v>74</v>
      </c>
      <c r="BR989" t="s">
        <v>105</v>
      </c>
      <c r="BS989" t="s">
        <v>18312</v>
      </c>
      <c r="BT989" t="str">
        <f>HYPERLINK("https%3A%2F%2Fwww.webofscience.com%2Fwos%2Fwoscc%2Ffull-record%2FWOS:000333796400005","View Full Record in Web of Science")</f>
        <v>View Full Record in Web of Science</v>
      </c>
    </row>
    <row r="990" spans="1:72" x14ac:dyDescent="0.15">
      <c r="A990" t="s">
        <v>72</v>
      </c>
      <c r="B990" t="s">
        <v>18313</v>
      </c>
      <c r="C990" t="s">
        <v>74</v>
      </c>
      <c r="D990" t="s">
        <v>74</v>
      </c>
      <c r="E990" t="s">
        <v>74</v>
      </c>
      <c r="F990" t="s">
        <v>18314</v>
      </c>
      <c r="G990" t="s">
        <v>74</v>
      </c>
      <c r="H990" t="s">
        <v>74</v>
      </c>
      <c r="I990" t="s">
        <v>18315</v>
      </c>
      <c r="J990" t="s">
        <v>18316</v>
      </c>
      <c r="K990" t="s">
        <v>74</v>
      </c>
      <c r="L990" t="s">
        <v>74</v>
      </c>
      <c r="M990" t="s">
        <v>78</v>
      </c>
      <c r="N990" t="s">
        <v>79</v>
      </c>
      <c r="O990" t="s">
        <v>74</v>
      </c>
      <c r="P990" t="s">
        <v>74</v>
      </c>
      <c r="Q990" t="s">
        <v>74</v>
      </c>
      <c r="R990" t="s">
        <v>74</v>
      </c>
      <c r="S990" t="s">
        <v>74</v>
      </c>
      <c r="T990" t="s">
        <v>18317</v>
      </c>
      <c r="U990" t="s">
        <v>18318</v>
      </c>
      <c r="V990" t="s">
        <v>18319</v>
      </c>
      <c r="W990" t="s">
        <v>18320</v>
      </c>
      <c r="X990" t="s">
        <v>3970</v>
      </c>
      <c r="Y990" t="s">
        <v>18321</v>
      </c>
      <c r="Z990" t="s">
        <v>18322</v>
      </c>
      <c r="AA990" t="s">
        <v>18323</v>
      </c>
      <c r="AB990" t="s">
        <v>18324</v>
      </c>
      <c r="AC990" t="s">
        <v>18325</v>
      </c>
      <c r="AD990" t="s">
        <v>6187</v>
      </c>
      <c r="AE990" t="s">
        <v>18326</v>
      </c>
      <c r="AF990" t="s">
        <v>74</v>
      </c>
      <c r="AG990">
        <v>21</v>
      </c>
      <c r="AH990">
        <v>12</v>
      </c>
      <c r="AI990">
        <v>15</v>
      </c>
      <c r="AJ990">
        <v>0</v>
      </c>
      <c r="AK990">
        <v>28</v>
      </c>
      <c r="AL990" t="s">
        <v>2190</v>
      </c>
      <c r="AM990" t="s">
        <v>576</v>
      </c>
      <c r="AN990" t="s">
        <v>2191</v>
      </c>
      <c r="AO990" t="s">
        <v>18327</v>
      </c>
      <c r="AP990" t="s">
        <v>18328</v>
      </c>
      <c r="AQ990" t="s">
        <v>74</v>
      </c>
      <c r="AR990" t="s">
        <v>18316</v>
      </c>
      <c r="AS990" t="s">
        <v>18329</v>
      </c>
      <c r="AT990" t="s">
        <v>17701</v>
      </c>
      <c r="AU990">
        <v>2014</v>
      </c>
      <c r="AV990">
        <v>81</v>
      </c>
      <c r="AW990">
        <v>6</v>
      </c>
      <c r="AX990" t="s">
        <v>74</v>
      </c>
      <c r="AY990" t="s">
        <v>74</v>
      </c>
      <c r="AZ990" t="s">
        <v>74</v>
      </c>
      <c r="BA990" t="s">
        <v>74</v>
      </c>
      <c r="BB990">
        <v>870</v>
      </c>
      <c r="BC990">
        <v>874</v>
      </c>
      <c r="BD990" t="s">
        <v>74</v>
      </c>
      <c r="BE990" t="s">
        <v>18330</v>
      </c>
      <c r="BF990" t="str">
        <f>HYPERLINK("http://dx.doi.org/10.1016/j.theriogenology.2013.12.021","http://dx.doi.org/10.1016/j.theriogenology.2013.12.021")</f>
        <v>http://dx.doi.org/10.1016/j.theriogenology.2013.12.021</v>
      </c>
      <c r="BG990" t="s">
        <v>74</v>
      </c>
      <c r="BH990" t="s">
        <v>74</v>
      </c>
      <c r="BI990">
        <v>5</v>
      </c>
      <c r="BJ990" t="s">
        <v>18331</v>
      </c>
      <c r="BK990" t="s">
        <v>102</v>
      </c>
      <c r="BL990" t="s">
        <v>18331</v>
      </c>
      <c r="BM990" t="s">
        <v>18332</v>
      </c>
      <c r="BN990">
        <v>24507073</v>
      </c>
      <c r="BO990" t="s">
        <v>16650</v>
      </c>
      <c r="BP990" t="s">
        <v>74</v>
      </c>
      <c r="BQ990" t="s">
        <v>74</v>
      </c>
      <c r="BR990" t="s">
        <v>105</v>
      </c>
      <c r="BS990" t="s">
        <v>18333</v>
      </c>
      <c r="BT990" t="str">
        <f>HYPERLINK("https%3A%2F%2Fwww.webofscience.com%2Fwos%2Fwoscc%2Ffull-record%2FWOS:000333438200013","View Full Record in Web of Science")</f>
        <v>View Full Record in Web of Science</v>
      </c>
    </row>
    <row r="991" spans="1:72" x14ac:dyDescent="0.15">
      <c r="A991" t="s">
        <v>72</v>
      </c>
      <c r="B991" t="s">
        <v>18334</v>
      </c>
      <c r="C991" t="s">
        <v>74</v>
      </c>
      <c r="D991" t="s">
        <v>74</v>
      </c>
      <c r="E991" t="s">
        <v>74</v>
      </c>
      <c r="F991" t="s">
        <v>18335</v>
      </c>
      <c r="G991" t="s">
        <v>74</v>
      </c>
      <c r="H991" t="s">
        <v>74</v>
      </c>
      <c r="I991" t="s">
        <v>18336</v>
      </c>
      <c r="J991" t="s">
        <v>5864</v>
      </c>
      <c r="K991" t="s">
        <v>74</v>
      </c>
      <c r="L991" t="s">
        <v>74</v>
      </c>
      <c r="M991" t="s">
        <v>78</v>
      </c>
      <c r="N991" t="s">
        <v>1084</v>
      </c>
      <c r="O991" t="s">
        <v>74</v>
      </c>
      <c r="P991" t="s">
        <v>74</v>
      </c>
      <c r="Q991" t="s">
        <v>74</v>
      </c>
      <c r="R991" t="s">
        <v>74</v>
      </c>
      <c r="S991" t="s">
        <v>74</v>
      </c>
      <c r="T991" t="s">
        <v>74</v>
      </c>
      <c r="U991" t="s">
        <v>74</v>
      </c>
      <c r="V991" t="s">
        <v>74</v>
      </c>
      <c r="W991" t="s">
        <v>18337</v>
      </c>
      <c r="X991" t="s">
        <v>18338</v>
      </c>
      <c r="Y991" t="s">
        <v>18339</v>
      </c>
      <c r="Z991" t="s">
        <v>74</v>
      </c>
      <c r="AA991" t="s">
        <v>18340</v>
      </c>
      <c r="AB991" t="s">
        <v>18341</v>
      </c>
      <c r="AC991" t="s">
        <v>74</v>
      </c>
      <c r="AD991" t="s">
        <v>74</v>
      </c>
      <c r="AE991" t="s">
        <v>74</v>
      </c>
      <c r="AF991" t="s">
        <v>74</v>
      </c>
      <c r="AG991">
        <v>1</v>
      </c>
      <c r="AH991">
        <v>1</v>
      </c>
      <c r="AI991">
        <v>1</v>
      </c>
      <c r="AJ991">
        <v>0</v>
      </c>
      <c r="AK991">
        <v>19</v>
      </c>
      <c r="AL991" t="s">
        <v>653</v>
      </c>
      <c r="AM991" t="s">
        <v>654</v>
      </c>
      <c r="AN991" t="s">
        <v>655</v>
      </c>
      <c r="AO991" t="s">
        <v>5879</v>
      </c>
      <c r="AP991" t="s">
        <v>5880</v>
      </c>
      <c r="AQ991" t="s">
        <v>74</v>
      </c>
      <c r="AR991" t="s">
        <v>5881</v>
      </c>
      <c r="AS991" t="s">
        <v>5882</v>
      </c>
      <c r="AT991" t="s">
        <v>17364</v>
      </c>
      <c r="AU991">
        <v>2014</v>
      </c>
      <c r="AV991">
        <v>8</v>
      </c>
      <c r="AW991">
        <v>4</v>
      </c>
      <c r="AX991" t="s">
        <v>74</v>
      </c>
      <c r="AY991" t="s">
        <v>74</v>
      </c>
      <c r="AZ991" t="s">
        <v>74</v>
      </c>
      <c r="BA991" t="s">
        <v>74</v>
      </c>
      <c r="BB991">
        <v>952</v>
      </c>
      <c r="BC991">
        <v>952</v>
      </c>
      <c r="BD991" t="s">
        <v>74</v>
      </c>
      <c r="BE991" t="s">
        <v>18342</v>
      </c>
      <c r="BF991" t="str">
        <f>HYPERLINK("http://dx.doi.org/10.1038/ismej.2013.230","http://dx.doi.org/10.1038/ismej.2013.230")</f>
        <v>http://dx.doi.org/10.1038/ismej.2013.230</v>
      </c>
      <c r="BG991" t="s">
        <v>74</v>
      </c>
      <c r="BH991" t="s">
        <v>74</v>
      </c>
      <c r="BI991">
        <v>1</v>
      </c>
      <c r="BJ991" t="s">
        <v>5884</v>
      </c>
      <c r="BK991" t="s">
        <v>102</v>
      </c>
      <c r="BL991" t="s">
        <v>5885</v>
      </c>
      <c r="BM991" t="s">
        <v>18343</v>
      </c>
      <c r="BN991" t="s">
        <v>74</v>
      </c>
      <c r="BO991" t="s">
        <v>1078</v>
      </c>
      <c r="BP991" t="s">
        <v>74</v>
      </c>
      <c r="BQ991" t="s">
        <v>74</v>
      </c>
      <c r="BR991" t="s">
        <v>105</v>
      </c>
      <c r="BS991" t="s">
        <v>18344</v>
      </c>
      <c r="BT991" t="str">
        <f>HYPERLINK("https%3A%2F%2Fwww.webofscience.com%2Fwos%2Fwoscc%2Ffull-record%2FWOS:000333189700018","View Full Record in Web of Science")</f>
        <v>View Full Record in Web of Science</v>
      </c>
    </row>
    <row r="992" spans="1:72" x14ac:dyDescent="0.15">
      <c r="A992" t="s">
        <v>72</v>
      </c>
      <c r="B992" t="s">
        <v>18345</v>
      </c>
      <c r="C992" t="s">
        <v>74</v>
      </c>
      <c r="D992" t="s">
        <v>74</v>
      </c>
      <c r="E992" t="s">
        <v>74</v>
      </c>
      <c r="F992" t="s">
        <v>18346</v>
      </c>
      <c r="G992" t="s">
        <v>74</v>
      </c>
      <c r="H992" t="s">
        <v>74</v>
      </c>
      <c r="I992" t="s">
        <v>18347</v>
      </c>
      <c r="J992" t="s">
        <v>18348</v>
      </c>
      <c r="K992" t="s">
        <v>74</v>
      </c>
      <c r="L992" t="s">
        <v>74</v>
      </c>
      <c r="M992" t="s">
        <v>78</v>
      </c>
      <c r="N992" t="s">
        <v>79</v>
      </c>
      <c r="O992" t="s">
        <v>74</v>
      </c>
      <c r="P992" t="s">
        <v>74</v>
      </c>
      <c r="Q992" t="s">
        <v>74</v>
      </c>
      <c r="R992" t="s">
        <v>74</v>
      </c>
      <c r="S992" t="s">
        <v>74</v>
      </c>
      <c r="T992" t="s">
        <v>18349</v>
      </c>
      <c r="U992" t="s">
        <v>18350</v>
      </c>
      <c r="V992" t="s">
        <v>18351</v>
      </c>
      <c r="W992" t="s">
        <v>18352</v>
      </c>
      <c r="X992" t="s">
        <v>18353</v>
      </c>
      <c r="Y992" t="s">
        <v>18354</v>
      </c>
      <c r="Z992" t="s">
        <v>18355</v>
      </c>
      <c r="AA992" t="s">
        <v>18356</v>
      </c>
      <c r="AB992" t="s">
        <v>18357</v>
      </c>
      <c r="AC992" t="s">
        <v>18358</v>
      </c>
      <c r="AD992" t="s">
        <v>18359</v>
      </c>
      <c r="AE992" t="s">
        <v>18360</v>
      </c>
      <c r="AF992" t="s">
        <v>74</v>
      </c>
      <c r="AG992">
        <v>39</v>
      </c>
      <c r="AH992">
        <v>9</v>
      </c>
      <c r="AI992">
        <v>9</v>
      </c>
      <c r="AJ992">
        <v>0</v>
      </c>
      <c r="AK992">
        <v>45</v>
      </c>
      <c r="AL992" t="s">
        <v>224</v>
      </c>
      <c r="AM992" t="s">
        <v>576</v>
      </c>
      <c r="AN992" t="s">
        <v>778</v>
      </c>
      <c r="AO992" t="s">
        <v>18361</v>
      </c>
      <c r="AP992" t="s">
        <v>18362</v>
      </c>
      <c r="AQ992" t="s">
        <v>74</v>
      </c>
      <c r="AR992" t="s">
        <v>18363</v>
      </c>
      <c r="AS992" t="s">
        <v>18364</v>
      </c>
      <c r="AT992" t="s">
        <v>17364</v>
      </c>
      <c r="AU992">
        <v>2014</v>
      </c>
      <c r="AV992">
        <v>68</v>
      </c>
      <c r="AW992">
        <v>4</v>
      </c>
      <c r="AX992" t="s">
        <v>74</v>
      </c>
      <c r="AY992" t="s">
        <v>74</v>
      </c>
      <c r="AZ992" t="s">
        <v>74</v>
      </c>
      <c r="BA992" t="s">
        <v>74</v>
      </c>
      <c r="BB992">
        <v>597</v>
      </c>
      <c r="BC992">
        <v>604</v>
      </c>
      <c r="BD992" t="s">
        <v>74</v>
      </c>
      <c r="BE992" t="s">
        <v>18365</v>
      </c>
      <c r="BF992" t="str">
        <f>HYPERLINK("http://dx.doi.org/10.1007/s00265-013-1674-7","http://dx.doi.org/10.1007/s00265-013-1674-7")</f>
        <v>http://dx.doi.org/10.1007/s00265-013-1674-7</v>
      </c>
      <c r="BG992" t="s">
        <v>74</v>
      </c>
      <c r="BH992" t="s">
        <v>74</v>
      </c>
      <c r="BI992">
        <v>8</v>
      </c>
      <c r="BJ992" t="s">
        <v>18366</v>
      </c>
      <c r="BK992" t="s">
        <v>102</v>
      </c>
      <c r="BL992" t="s">
        <v>18367</v>
      </c>
      <c r="BM992" t="s">
        <v>18368</v>
      </c>
      <c r="BN992" t="s">
        <v>74</v>
      </c>
      <c r="BO992" t="s">
        <v>74</v>
      </c>
      <c r="BP992" t="s">
        <v>74</v>
      </c>
      <c r="BQ992" t="s">
        <v>74</v>
      </c>
      <c r="BR992" t="s">
        <v>105</v>
      </c>
      <c r="BS992" t="s">
        <v>18369</v>
      </c>
      <c r="BT992" t="str">
        <f>HYPERLINK("https%3A%2F%2Fwww.webofscience.com%2Fwos%2Fwoscc%2Ffull-record%2FWOS:000332979400007","View Full Record in Web of Science")</f>
        <v>View Full Record in Web of Science</v>
      </c>
    </row>
    <row r="993" spans="1:72" x14ac:dyDescent="0.15">
      <c r="A993" t="s">
        <v>72</v>
      </c>
      <c r="B993" t="s">
        <v>18370</v>
      </c>
      <c r="C993" t="s">
        <v>74</v>
      </c>
      <c r="D993" t="s">
        <v>74</v>
      </c>
      <c r="E993" t="s">
        <v>74</v>
      </c>
      <c r="F993" t="s">
        <v>18371</v>
      </c>
      <c r="G993" t="s">
        <v>74</v>
      </c>
      <c r="H993" t="s">
        <v>74</v>
      </c>
      <c r="I993" t="s">
        <v>18372</v>
      </c>
      <c r="J993" t="s">
        <v>765</v>
      </c>
      <c r="K993" t="s">
        <v>74</v>
      </c>
      <c r="L993" t="s">
        <v>74</v>
      </c>
      <c r="M993" t="s">
        <v>78</v>
      </c>
      <c r="N993" t="s">
        <v>79</v>
      </c>
      <c r="O993" t="s">
        <v>74</v>
      </c>
      <c r="P993" t="s">
        <v>74</v>
      </c>
      <c r="Q993" t="s">
        <v>74</v>
      </c>
      <c r="R993" t="s">
        <v>74</v>
      </c>
      <c r="S993" t="s">
        <v>74</v>
      </c>
      <c r="T993" t="s">
        <v>18373</v>
      </c>
      <c r="U993" t="s">
        <v>18374</v>
      </c>
      <c r="V993" t="s">
        <v>18375</v>
      </c>
      <c r="W993" t="s">
        <v>18376</v>
      </c>
      <c r="X993" t="s">
        <v>18377</v>
      </c>
      <c r="Y993" t="s">
        <v>18378</v>
      </c>
      <c r="Z993" t="s">
        <v>18379</v>
      </c>
      <c r="AA993" t="s">
        <v>18380</v>
      </c>
      <c r="AB993" t="s">
        <v>18381</v>
      </c>
      <c r="AC993" t="s">
        <v>18382</v>
      </c>
      <c r="AD993" t="s">
        <v>18383</v>
      </c>
      <c r="AE993" t="s">
        <v>18384</v>
      </c>
      <c r="AF993" t="s">
        <v>74</v>
      </c>
      <c r="AG993">
        <v>70</v>
      </c>
      <c r="AH993">
        <v>15</v>
      </c>
      <c r="AI993">
        <v>18</v>
      </c>
      <c r="AJ993">
        <v>0</v>
      </c>
      <c r="AK993">
        <v>41</v>
      </c>
      <c r="AL993" t="s">
        <v>224</v>
      </c>
      <c r="AM993" t="s">
        <v>576</v>
      </c>
      <c r="AN993" t="s">
        <v>778</v>
      </c>
      <c r="AO993" t="s">
        <v>779</v>
      </c>
      <c r="AP993" t="s">
        <v>780</v>
      </c>
      <c r="AQ993" t="s">
        <v>74</v>
      </c>
      <c r="AR993" t="s">
        <v>781</v>
      </c>
      <c r="AS993" t="s">
        <v>782</v>
      </c>
      <c r="AT993" t="s">
        <v>17364</v>
      </c>
      <c r="AU993">
        <v>2014</v>
      </c>
      <c r="AV993">
        <v>37</v>
      </c>
      <c r="AW993">
        <v>4</v>
      </c>
      <c r="AX993" t="s">
        <v>74</v>
      </c>
      <c r="AY993" t="s">
        <v>74</v>
      </c>
      <c r="AZ993" t="s">
        <v>74</v>
      </c>
      <c r="BA993" t="s">
        <v>74</v>
      </c>
      <c r="BB993">
        <v>483</v>
      </c>
      <c r="BC993">
        <v>496</v>
      </c>
      <c r="BD993" t="s">
        <v>74</v>
      </c>
      <c r="BE993" t="s">
        <v>18385</v>
      </c>
      <c r="BF993" t="str">
        <f>HYPERLINK("http://dx.doi.org/10.1007/s00300-014-1445-6","http://dx.doi.org/10.1007/s00300-014-1445-6")</f>
        <v>http://dx.doi.org/10.1007/s00300-014-1445-6</v>
      </c>
      <c r="BG993" t="s">
        <v>74</v>
      </c>
      <c r="BH993" t="s">
        <v>74</v>
      </c>
      <c r="BI993">
        <v>14</v>
      </c>
      <c r="BJ993" t="s">
        <v>784</v>
      </c>
      <c r="BK993" t="s">
        <v>102</v>
      </c>
      <c r="BL993" t="s">
        <v>785</v>
      </c>
      <c r="BM993" t="s">
        <v>18386</v>
      </c>
      <c r="BN993" t="s">
        <v>74</v>
      </c>
      <c r="BO993" t="s">
        <v>74</v>
      </c>
      <c r="BP993" t="s">
        <v>74</v>
      </c>
      <c r="BQ993" t="s">
        <v>74</v>
      </c>
      <c r="BR993" t="s">
        <v>105</v>
      </c>
      <c r="BS993" t="s">
        <v>18387</v>
      </c>
      <c r="BT993" t="str">
        <f>HYPERLINK("https%3A%2F%2Fwww.webofscience.com%2Fwos%2Fwoscc%2Ffull-record%2FWOS:000332770800004","View Full Record in Web of Science")</f>
        <v>View Full Record in Web of Science</v>
      </c>
    </row>
    <row r="994" spans="1:72" x14ac:dyDescent="0.15">
      <c r="A994" t="s">
        <v>72</v>
      </c>
      <c r="B994" t="s">
        <v>18388</v>
      </c>
      <c r="C994" t="s">
        <v>74</v>
      </c>
      <c r="D994" t="s">
        <v>74</v>
      </c>
      <c r="E994" t="s">
        <v>74</v>
      </c>
      <c r="F994" t="s">
        <v>18389</v>
      </c>
      <c r="G994" t="s">
        <v>74</v>
      </c>
      <c r="H994" t="s">
        <v>74</v>
      </c>
      <c r="I994" t="s">
        <v>18390</v>
      </c>
      <c r="J994" t="s">
        <v>765</v>
      </c>
      <c r="K994" t="s">
        <v>74</v>
      </c>
      <c r="L994" t="s">
        <v>74</v>
      </c>
      <c r="M994" t="s">
        <v>78</v>
      </c>
      <c r="N994" t="s">
        <v>79</v>
      </c>
      <c r="O994" t="s">
        <v>74</v>
      </c>
      <c r="P994" t="s">
        <v>74</v>
      </c>
      <c r="Q994" t="s">
        <v>74</v>
      </c>
      <c r="R994" t="s">
        <v>74</v>
      </c>
      <c r="S994" t="s">
        <v>74</v>
      </c>
      <c r="T994" t="s">
        <v>18391</v>
      </c>
      <c r="U994" t="s">
        <v>18392</v>
      </c>
      <c r="V994" t="s">
        <v>18393</v>
      </c>
      <c r="W994" t="s">
        <v>18394</v>
      </c>
      <c r="X994" t="s">
        <v>18395</v>
      </c>
      <c r="Y994" t="s">
        <v>18396</v>
      </c>
      <c r="Z994" t="s">
        <v>18397</v>
      </c>
      <c r="AA994" t="s">
        <v>74</v>
      </c>
      <c r="AB994" t="s">
        <v>74</v>
      </c>
      <c r="AC994" t="s">
        <v>18398</v>
      </c>
      <c r="AD994" t="s">
        <v>18399</v>
      </c>
      <c r="AE994" t="s">
        <v>18400</v>
      </c>
      <c r="AF994" t="s">
        <v>74</v>
      </c>
      <c r="AG994">
        <v>61</v>
      </c>
      <c r="AH994">
        <v>54</v>
      </c>
      <c r="AI994">
        <v>66</v>
      </c>
      <c r="AJ994">
        <v>2</v>
      </c>
      <c r="AK994">
        <v>101</v>
      </c>
      <c r="AL994" t="s">
        <v>224</v>
      </c>
      <c r="AM994" t="s">
        <v>576</v>
      </c>
      <c r="AN994" t="s">
        <v>577</v>
      </c>
      <c r="AO994" t="s">
        <v>779</v>
      </c>
      <c r="AP994" t="s">
        <v>780</v>
      </c>
      <c r="AQ994" t="s">
        <v>74</v>
      </c>
      <c r="AR994" t="s">
        <v>781</v>
      </c>
      <c r="AS994" t="s">
        <v>782</v>
      </c>
      <c r="AT994" t="s">
        <v>17364</v>
      </c>
      <c r="AU994">
        <v>2014</v>
      </c>
      <c r="AV994">
        <v>37</v>
      </c>
      <c r="AW994">
        <v>4</v>
      </c>
      <c r="AX994" t="s">
        <v>74</v>
      </c>
      <c r="AY994" t="s">
        <v>74</v>
      </c>
      <c r="AZ994" t="s">
        <v>74</v>
      </c>
      <c r="BA994" t="s">
        <v>74</v>
      </c>
      <c r="BB994">
        <v>507</v>
      </c>
      <c r="BC994">
        <v>517</v>
      </c>
      <c r="BD994" t="s">
        <v>74</v>
      </c>
      <c r="BE994" t="s">
        <v>18401</v>
      </c>
      <c r="BF994" t="str">
        <f>HYPERLINK("http://dx.doi.org/10.1007/s00300-014-1451-8","http://dx.doi.org/10.1007/s00300-014-1451-8")</f>
        <v>http://dx.doi.org/10.1007/s00300-014-1451-8</v>
      </c>
      <c r="BG994" t="s">
        <v>74</v>
      </c>
      <c r="BH994" t="s">
        <v>74</v>
      </c>
      <c r="BI994">
        <v>11</v>
      </c>
      <c r="BJ994" t="s">
        <v>784</v>
      </c>
      <c r="BK994" t="s">
        <v>102</v>
      </c>
      <c r="BL994" t="s">
        <v>785</v>
      </c>
      <c r="BM994" t="s">
        <v>18386</v>
      </c>
      <c r="BN994" t="s">
        <v>74</v>
      </c>
      <c r="BO994" t="s">
        <v>74</v>
      </c>
      <c r="BP994" t="s">
        <v>74</v>
      </c>
      <c r="BQ994" t="s">
        <v>74</v>
      </c>
      <c r="BR994" t="s">
        <v>105</v>
      </c>
      <c r="BS994" t="s">
        <v>18402</v>
      </c>
      <c r="BT994" t="str">
        <f>HYPERLINK("https%3A%2F%2Fwww.webofscience.com%2Fwos%2Fwoscc%2Ffull-record%2FWOS:000332770800006","View Full Record in Web of Science")</f>
        <v>View Full Record in Web of Science</v>
      </c>
    </row>
    <row r="995" spans="1:72" x14ac:dyDescent="0.15">
      <c r="A995" t="s">
        <v>72</v>
      </c>
      <c r="B995" t="s">
        <v>18403</v>
      </c>
      <c r="C995" t="s">
        <v>74</v>
      </c>
      <c r="D995" t="s">
        <v>74</v>
      </c>
      <c r="E995" t="s">
        <v>74</v>
      </c>
      <c r="F995" t="s">
        <v>18404</v>
      </c>
      <c r="G995" t="s">
        <v>74</v>
      </c>
      <c r="H995" t="s">
        <v>74</v>
      </c>
      <c r="I995" t="s">
        <v>18405</v>
      </c>
      <c r="J995" t="s">
        <v>765</v>
      </c>
      <c r="K995" t="s">
        <v>74</v>
      </c>
      <c r="L995" t="s">
        <v>74</v>
      </c>
      <c r="M995" t="s">
        <v>78</v>
      </c>
      <c r="N995" t="s">
        <v>79</v>
      </c>
      <c r="O995" t="s">
        <v>74</v>
      </c>
      <c r="P995" t="s">
        <v>74</v>
      </c>
      <c r="Q995" t="s">
        <v>74</v>
      </c>
      <c r="R995" t="s">
        <v>74</v>
      </c>
      <c r="S995" t="s">
        <v>74</v>
      </c>
      <c r="T995" t="s">
        <v>18406</v>
      </c>
      <c r="U995" t="s">
        <v>18407</v>
      </c>
      <c r="V995" t="s">
        <v>18408</v>
      </c>
      <c r="W995" t="s">
        <v>18409</v>
      </c>
      <c r="X995" t="s">
        <v>18410</v>
      </c>
      <c r="Y995" t="s">
        <v>18411</v>
      </c>
      <c r="Z995" t="s">
        <v>18412</v>
      </c>
      <c r="AA995" t="s">
        <v>18413</v>
      </c>
      <c r="AB995" t="s">
        <v>18414</v>
      </c>
      <c r="AC995" t="s">
        <v>18415</v>
      </c>
      <c r="AD995" t="s">
        <v>18416</v>
      </c>
      <c r="AE995" t="s">
        <v>18417</v>
      </c>
      <c r="AF995" t="s">
        <v>74</v>
      </c>
      <c r="AG995">
        <v>49</v>
      </c>
      <c r="AH995">
        <v>12</v>
      </c>
      <c r="AI995">
        <v>12</v>
      </c>
      <c r="AJ995">
        <v>2</v>
      </c>
      <c r="AK995">
        <v>10</v>
      </c>
      <c r="AL995" t="s">
        <v>224</v>
      </c>
      <c r="AM995" t="s">
        <v>576</v>
      </c>
      <c r="AN995" t="s">
        <v>778</v>
      </c>
      <c r="AO995" t="s">
        <v>779</v>
      </c>
      <c r="AP995" t="s">
        <v>780</v>
      </c>
      <c r="AQ995" t="s">
        <v>74</v>
      </c>
      <c r="AR995" t="s">
        <v>781</v>
      </c>
      <c r="AS995" t="s">
        <v>782</v>
      </c>
      <c r="AT995" t="s">
        <v>17364</v>
      </c>
      <c r="AU995">
        <v>2014</v>
      </c>
      <c r="AV995">
        <v>37</v>
      </c>
      <c r="AW995">
        <v>4</v>
      </c>
      <c r="AX995" t="s">
        <v>74</v>
      </c>
      <c r="AY995" t="s">
        <v>74</v>
      </c>
      <c r="AZ995" t="s">
        <v>74</v>
      </c>
      <c r="BA995" t="s">
        <v>74</v>
      </c>
      <c r="BB995">
        <v>519</v>
      </c>
      <c r="BC995">
        <v>529</v>
      </c>
      <c r="BD995" t="s">
        <v>74</v>
      </c>
      <c r="BE995" t="s">
        <v>18418</v>
      </c>
      <c r="BF995" t="str">
        <f>HYPERLINK("http://dx.doi.org/10.1007/s00300-014-1452-7","http://dx.doi.org/10.1007/s00300-014-1452-7")</f>
        <v>http://dx.doi.org/10.1007/s00300-014-1452-7</v>
      </c>
      <c r="BG995" t="s">
        <v>74</v>
      </c>
      <c r="BH995" t="s">
        <v>74</v>
      </c>
      <c r="BI995">
        <v>11</v>
      </c>
      <c r="BJ995" t="s">
        <v>784</v>
      </c>
      <c r="BK995" t="s">
        <v>102</v>
      </c>
      <c r="BL995" t="s">
        <v>785</v>
      </c>
      <c r="BM995" t="s">
        <v>18386</v>
      </c>
      <c r="BN995" t="s">
        <v>74</v>
      </c>
      <c r="BO995" t="s">
        <v>74</v>
      </c>
      <c r="BP995" t="s">
        <v>74</v>
      </c>
      <c r="BQ995" t="s">
        <v>74</v>
      </c>
      <c r="BR995" t="s">
        <v>105</v>
      </c>
      <c r="BS995" t="s">
        <v>18419</v>
      </c>
      <c r="BT995" t="str">
        <f>HYPERLINK("https%3A%2F%2Fwww.webofscience.com%2Fwos%2Fwoscc%2Ffull-record%2FWOS:000332770800007","View Full Record in Web of Science")</f>
        <v>View Full Record in Web of Science</v>
      </c>
    </row>
    <row r="996" spans="1:72" x14ac:dyDescent="0.15">
      <c r="A996" t="s">
        <v>72</v>
      </c>
      <c r="B996" t="s">
        <v>18420</v>
      </c>
      <c r="C996" t="s">
        <v>74</v>
      </c>
      <c r="D996" t="s">
        <v>74</v>
      </c>
      <c r="E996" t="s">
        <v>74</v>
      </c>
      <c r="F996" t="s">
        <v>18421</v>
      </c>
      <c r="G996" t="s">
        <v>74</v>
      </c>
      <c r="H996" t="s">
        <v>74</v>
      </c>
      <c r="I996" t="s">
        <v>18422</v>
      </c>
      <c r="J996" t="s">
        <v>765</v>
      </c>
      <c r="K996" t="s">
        <v>74</v>
      </c>
      <c r="L996" t="s">
        <v>74</v>
      </c>
      <c r="M996" t="s">
        <v>78</v>
      </c>
      <c r="N996" t="s">
        <v>79</v>
      </c>
      <c r="O996" t="s">
        <v>74</v>
      </c>
      <c r="P996" t="s">
        <v>74</v>
      </c>
      <c r="Q996" t="s">
        <v>74</v>
      </c>
      <c r="R996" t="s">
        <v>74</v>
      </c>
      <c r="S996" t="s">
        <v>74</v>
      </c>
      <c r="T996" t="s">
        <v>18423</v>
      </c>
      <c r="U996" t="s">
        <v>18424</v>
      </c>
      <c r="V996" t="s">
        <v>18425</v>
      </c>
      <c r="W996" t="s">
        <v>18426</v>
      </c>
      <c r="X996" t="s">
        <v>18427</v>
      </c>
      <c r="Y996" t="s">
        <v>18428</v>
      </c>
      <c r="Z996" t="s">
        <v>18429</v>
      </c>
      <c r="AA996" t="s">
        <v>18430</v>
      </c>
      <c r="AB996" t="s">
        <v>18431</v>
      </c>
      <c r="AC996" t="s">
        <v>18432</v>
      </c>
      <c r="AD996" t="s">
        <v>18432</v>
      </c>
      <c r="AE996" t="s">
        <v>18433</v>
      </c>
      <c r="AF996" t="s">
        <v>74</v>
      </c>
      <c r="AG996">
        <v>90</v>
      </c>
      <c r="AH996">
        <v>7</v>
      </c>
      <c r="AI996">
        <v>9</v>
      </c>
      <c r="AJ996">
        <v>0</v>
      </c>
      <c r="AK996">
        <v>39</v>
      </c>
      <c r="AL996" t="s">
        <v>224</v>
      </c>
      <c r="AM996" t="s">
        <v>576</v>
      </c>
      <c r="AN996" t="s">
        <v>778</v>
      </c>
      <c r="AO996" t="s">
        <v>779</v>
      </c>
      <c r="AP996" t="s">
        <v>780</v>
      </c>
      <c r="AQ996" t="s">
        <v>74</v>
      </c>
      <c r="AR996" t="s">
        <v>781</v>
      </c>
      <c r="AS996" t="s">
        <v>782</v>
      </c>
      <c r="AT996" t="s">
        <v>17364</v>
      </c>
      <c r="AU996">
        <v>2014</v>
      </c>
      <c r="AV996">
        <v>37</v>
      </c>
      <c r="AW996">
        <v>4</v>
      </c>
      <c r="AX996" t="s">
        <v>74</v>
      </c>
      <c r="AY996" t="s">
        <v>74</v>
      </c>
      <c r="AZ996" t="s">
        <v>74</v>
      </c>
      <c r="BA996" t="s">
        <v>74</v>
      </c>
      <c r="BB996">
        <v>541</v>
      </c>
      <c r="BC996">
        <v>553</v>
      </c>
      <c r="BD996" t="s">
        <v>74</v>
      </c>
      <c r="BE996" t="s">
        <v>18434</v>
      </c>
      <c r="BF996" t="str">
        <f>HYPERLINK("http://dx.doi.org/10.1007/s00300-014-1456-3","http://dx.doi.org/10.1007/s00300-014-1456-3")</f>
        <v>http://dx.doi.org/10.1007/s00300-014-1456-3</v>
      </c>
      <c r="BG996" t="s">
        <v>74</v>
      </c>
      <c r="BH996" t="s">
        <v>74</v>
      </c>
      <c r="BI996">
        <v>13</v>
      </c>
      <c r="BJ996" t="s">
        <v>784</v>
      </c>
      <c r="BK996" t="s">
        <v>102</v>
      </c>
      <c r="BL996" t="s">
        <v>785</v>
      </c>
      <c r="BM996" t="s">
        <v>18386</v>
      </c>
      <c r="BN996" t="s">
        <v>74</v>
      </c>
      <c r="BO996" t="s">
        <v>74</v>
      </c>
      <c r="BP996" t="s">
        <v>74</v>
      </c>
      <c r="BQ996" t="s">
        <v>74</v>
      </c>
      <c r="BR996" t="s">
        <v>105</v>
      </c>
      <c r="BS996" t="s">
        <v>18435</v>
      </c>
      <c r="BT996" t="str">
        <f>HYPERLINK("https%3A%2F%2Fwww.webofscience.com%2Fwos%2Fwoscc%2Ffull-record%2FWOS:000332770800009","View Full Record in Web of Science")</f>
        <v>View Full Record in Web of Science</v>
      </c>
    </row>
    <row r="997" spans="1:72" x14ac:dyDescent="0.15">
      <c r="A997" t="s">
        <v>72</v>
      </c>
      <c r="B997" t="s">
        <v>18436</v>
      </c>
      <c r="C997" t="s">
        <v>74</v>
      </c>
      <c r="D997" t="s">
        <v>74</v>
      </c>
      <c r="E997" t="s">
        <v>74</v>
      </c>
      <c r="F997" t="s">
        <v>18437</v>
      </c>
      <c r="G997" t="s">
        <v>74</v>
      </c>
      <c r="H997" t="s">
        <v>74</v>
      </c>
      <c r="I997" t="s">
        <v>18438</v>
      </c>
      <c r="J997" t="s">
        <v>765</v>
      </c>
      <c r="K997" t="s">
        <v>74</v>
      </c>
      <c r="L997" t="s">
        <v>74</v>
      </c>
      <c r="M997" t="s">
        <v>78</v>
      </c>
      <c r="N997" t="s">
        <v>79</v>
      </c>
      <c r="O997" t="s">
        <v>74</v>
      </c>
      <c r="P997" t="s">
        <v>74</v>
      </c>
      <c r="Q997" t="s">
        <v>74</v>
      </c>
      <c r="R997" t="s">
        <v>74</v>
      </c>
      <c r="S997" t="s">
        <v>74</v>
      </c>
      <c r="T997" t="s">
        <v>18439</v>
      </c>
      <c r="U997" t="s">
        <v>18440</v>
      </c>
      <c r="V997" t="s">
        <v>18441</v>
      </c>
      <c r="W997" t="s">
        <v>18442</v>
      </c>
      <c r="X997" t="s">
        <v>18443</v>
      </c>
      <c r="Y997" t="s">
        <v>18444</v>
      </c>
      <c r="Z997" t="s">
        <v>8729</v>
      </c>
      <c r="AA997" t="s">
        <v>18445</v>
      </c>
      <c r="AB997" t="s">
        <v>18446</v>
      </c>
      <c r="AC997" t="s">
        <v>11988</v>
      </c>
      <c r="AD997" t="s">
        <v>11989</v>
      </c>
      <c r="AE997" t="s">
        <v>18447</v>
      </c>
      <c r="AF997" t="s">
        <v>74</v>
      </c>
      <c r="AG997">
        <v>54</v>
      </c>
      <c r="AH997">
        <v>5</v>
      </c>
      <c r="AI997">
        <v>5</v>
      </c>
      <c r="AJ997">
        <v>0</v>
      </c>
      <c r="AK997">
        <v>10</v>
      </c>
      <c r="AL997" t="s">
        <v>224</v>
      </c>
      <c r="AM997" t="s">
        <v>576</v>
      </c>
      <c r="AN997" t="s">
        <v>577</v>
      </c>
      <c r="AO997" t="s">
        <v>779</v>
      </c>
      <c r="AP997" t="s">
        <v>780</v>
      </c>
      <c r="AQ997" t="s">
        <v>74</v>
      </c>
      <c r="AR997" t="s">
        <v>781</v>
      </c>
      <c r="AS997" t="s">
        <v>782</v>
      </c>
      <c r="AT997" t="s">
        <v>17364</v>
      </c>
      <c r="AU997">
        <v>2014</v>
      </c>
      <c r="AV997">
        <v>37</v>
      </c>
      <c r="AW997">
        <v>4</v>
      </c>
      <c r="AX997" t="s">
        <v>74</v>
      </c>
      <c r="AY997" t="s">
        <v>74</v>
      </c>
      <c r="AZ997" t="s">
        <v>74</v>
      </c>
      <c r="BA997" t="s">
        <v>74</v>
      </c>
      <c r="BB997">
        <v>555</v>
      </c>
      <c r="BC997">
        <v>563</v>
      </c>
      <c r="BD997" t="s">
        <v>74</v>
      </c>
      <c r="BE997" t="s">
        <v>18448</v>
      </c>
      <c r="BF997" t="str">
        <f>HYPERLINK("http://dx.doi.org/10.1007/s00300-014-1457-2","http://dx.doi.org/10.1007/s00300-014-1457-2")</f>
        <v>http://dx.doi.org/10.1007/s00300-014-1457-2</v>
      </c>
      <c r="BG997" t="s">
        <v>74</v>
      </c>
      <c r="BH997" t="s">
        <v>74</v>
      </c>
      <c r="BI997">
        <v>9</v>
      </c>
      <c r="BJ997" t="s">
        <v>784</v>
      </c>
      <c r="BK997" t="s">
        <v>102</v>
      </c>
      <c r="BL997" t="s">
        <v>785</v>
      </c>
      <c r="BM997" t="s">
        <v>18386</v>
      </c>
      <c r="BN997" t="s">
        <v>74</v>
      </c>
      <c r="BO997" t="s">
        <v>74</v>
      </c>
      <c r="BP997" t="s">
        <v>74</v>
      </c>
      <c r="BQ997" t="s">
        <v>74</v>
      </c>
      <c r="BR997" t="s">
        <v>105</v>
      </c>
      <c r="BS997" t="s">
        <v>18449</v>
      </c>
      <c r="BT997" t="str">
        <f>HYPERLINK("https%3A%2F%2Fwww.webofscience.com%2Fwos%2Fwoscc%2Ffull-record%2FWOS:000332770800010","View Full Record in Web of Science")</f>
        <v>View Full Record in Web of Science</v>
      </c>
    </row>
    <row r="998" spans="1:72" x14ac:dyDescent="0.15">
      <c r="A998" t="s">
        <v>72</v>
      </c>
      <c r="B998" t="s">
        <v>18450</v>
      </c>
      <c r="C998" t="s">
        <v>74</v>
      </c>
      <c r="D998" t="s">
        <v>74</v>
      </c>
      <c r="E998" t="s">
        <v>74</v>
      </c>
      <c r="F998" t="s">
        <v>18451</v>
      </c>
      <c r="G998" t="s">
        <v>74</v>
      </c>
      <c r="H998" t="s">
        <v>74</v>
      </c>
      <c r="I998" t="s">
        <v>18452</v>
      </c>
      <c r="J998" t="s">
        <v>765</v>
      </c>
      <c r="K998" t="s">
        <v>74</v>
      </c>
      <c r="L998" t="s">
        <v>74</v>
      </c>
      <c r="M998" t="s">
        <v>78</v>
      </c>
      <c r="N998" t="s">
        <v>79</v>
      </c>
      <c r="O998" t="s">
        <v>74</v>
      </c>
      <c r="P998" t="s">
        <v>74</v>
      </c>
      <c r="Q998" t="s">
        <v>74</v>
      </c>
      <c r="R998" t="s">
        <v>74</v>
      </c>
      <c r="S998" t="s">
        <v>74</v>
      </c>
      <c r="T998" t="s">
        <v>18453</v>
      </c>
      <c r="U998" t="s">
        <v>18454</v>
      </c>
      <c r="V998" t="s">
        <v>18455</v>
      </c>
      <c r="W998" t="s">
        <v>18456</v>
      </c>
      <c r="X998" t="s">
        <v>3970</v>
      </c>
      <c r="Y998" t="s">
        <v>18457</v>
      </c>
      <c r="Z998" t="s">
        <v>18458</v>
      </c>
      <c r="AA998" t="s">
        <v>18459</v>
      </c>
      <c r="AB998" t="s">
        <v>18460</v>
      </c>
      <c r="AC998" t="s">
        <v>74</v>
      </c>
      <c r="AD998" t="s">
        <v>74</v>
      </c>
      <c r="AE998" t="s">
        <v>74</v>
      </c>
      <c r="AF998" t="s">
        <v>74</v>
      </c>
      <c r="AG998">
        <v>32</v>
      </c>
      <c r="AH998">
        <v>6</v>
      </c>
      <c r="AI998">
        <v>8</v>
      </c>
      <c r="AJ998">
        <v>0</v>
      </c>
      <c r="AK998">
        <v>9</v>
      </c>
      <c r="AL998" t="s">
        <v>224</v>
      </c>
      <c r="AM998" t="s">
        <v>576</v>
      </c>
      <c r="AN998" t="s">
        <v>778</v>
      </c>
      <c r="AO998" t="s">
        <v>779</v>
      </c>
      <c r="AP998" t="s">
        <v>780</v>
      </c>
      <c r="AQ998" t="s">
        <v>74</v>
      </c>
      <c r="AR998" t="s">
        <v>781</v>
      </c>
      <c r="AS998" t="s">
        <v>782</v>
      </c>
      <c r="AT998" t="s">
        <v>17364</v>
      </c>
      <c r="AU998">
        <v>2014</v>
      </c>
      <c r="AV998">
        <v>37</v>
      </c>
      <c r="AW998">
        <v>4</v>
      </c>
      <c r="AX998" t="s">
        <v>74</v>
      </c>
      <c r="AY998" t="s">
        <v>74</v>
      </c>
      <c r="AZ998" t="s">
        <v>74</v>
      </c>
      <c r="BA998" t="s">
        <v>74</v>
      </c>
      <c r="BB998">
        <v>565</v>
      </c>
      <c r="BC998">
        <v>571</v>
      </c>
      <c r="BD998" t="s">
        <v>74</v>
      </c>
      <c r="BE998" t="s">
        <v>18461</v>
      </c>
      <c r="BF998" t="str">
        <f>HYPERLINK("http://dx.doi.org/10.1007/s00300-014-1458-1","http://dx.doi.org/10.1007/s00300-014-1458-1")</f>
        <v>http://dx.doi.org/10.1007/s00300-014-1458-1</v>
      </c>
      <c r="BG998" t="s">
        <v>74</v>
      </c>
      <c r="BH998" t="s">
        <v>74</v>
      </c>
      <c r="BI998">
        <v>7</v>
      </c>
      <c r="BJ998" t="s">
        <v>784</v>
      </c>
      <c r="BK998" t="s">
        <v>102</v>
      </c>
      <c r="BL998" t="s">
        <v>785</v>
      </c>
      <c r="BM998" t="s">
        <v>18386</v>
      </c>
      <c r="BN998" t="s">
        <v>74</v>
      </c>
      <c r="BO998" t="s">
        <v>74</v>
      </c>
      <c r="BP998" t="s">
        <v>74</v>
      </c>
      <c r="BQ998" t="s">
        <v>74</v>
      </c>
      <c r="BR998" t="s">
        <v>105</v>
      </c>
      <c r="BS998" t="s">
        <v>18462</v>
      </c>
      <c r="BT998" t="str">
        <f>HYPERLINK("https%3A%2F%2Fwww.webofscience.com%2Fwos%2Fwoscc%2Ffull-record%2FWOS:000332770800011","View Full Record in Web of Science")</f>
        <v>View Full Record in Web of Science</v>
      </c>
    </row>
    <row r="999" spans="1:72" x14ac:dyDescent="0.15">
      <c r="A999" t="s">
        <v>72</v>
      </c>
      <c r="B999" t="s">
        <v>18463</v>
      </c>
      <c r="C999" t="s">
        <v>74</v>
      </c>
      <c r="D999" t="s">
        <v>74</v>
      </c>
      <c r="E999" t="s">
        <v>74</v>
      </c>
      <c r="F999" t="s">
        <v>18464</v>
      </c>
      <c r="G999" t="s">
        <v>74</v>
      </c>
      <c r="H999" t="s">
        <v>74</v>
      </c>
      <c r="I999" t="s">
        <v>18465</v>
      </c>
      <c r="J999" t="s">
        <v>765</v>
      </c>
      <c r="K999" t="s">
        <v>74</v>
      </c>
      <c r="L999" t="s">
        <v>74</v>
      </c>
      <c r="M999" t="s">
        <v>78</v>
      </c>
      <c r="N999" t="s">
        <v>1084</v>
      </c>
      <c r="O999" t="s">
        <v>74</v>
      </c>
      <c r="P999" t="s">
        <v>74</v>
      </c>
      <c r="Q999" t="s">
        <v>74</v>
      </c>
      <c r="R999" t="s">
        <v>74</v>
      </c>
      <c r="S999" t="s">
        <v>74</v>
      </c>
      <c r="T999" t="s">
        <v>74</v>
      </c>
      <c r="U999" t="s">
        <v>74</v>
      </c>
      <c r="V999" t="s">
        <v>74</v>
      </c>
      <c r="W999" t="s">
        <v>18466</v>
      </c>
      <c r="X999" t="s">
        <v>18467</v>
      </c>
      <c r="Y999" t="s">
        <v>18468</v>
      </c>
      <c r="Z999" t="s">
        <v>18469</v>
      </c>
      <c r="AA999" t="s">
        <v>18470</v>
      </c>
      <c r="AB999" t="s">
        <v>18471</v>
      </c>
      <c r="AC999" t="s">
        <v>74</v>
      </c>
      <c r="AD999" t="s">
        <v>74</v>
      </c>
      <c r="AE999" t="s">
        <v>74</v>
      </c>
      <c r="AF999" t="s">
        <v>74</v>
      </c>
      <c r="AG999">
        <v>1</v>
      </c>
      <c r="AH999">
        <v>0</v>
      </c>
      <c r="AI999">
        <v>0</v>
      </c>
      <c r="AJ999">
        <v>0</v>
      </c>
      <c r="AK999">
        <v>13</v>
      </c>
      <c r="AL999" t="s">
        <v>224</v>
      </c>
      <c r="AM999" t="s">
        <v>576</v>
      </c>
      <c r="AN999" t="s">
        <v>778</v>
      </c>
      <c r="AO999" t="s">
        <v>779</v>
      </c>
      <c r="AP999" t="s">
        <v>780</v>
      </c>
      <c r="AQ999" t="s">
        <v>74</v>
      </c>
      <c r="AR999" t="s">
        <v>781</v>
      </c>
      <c r="AS999" t="s">
        <v>782</v>
      </c>
      <c r="AT999" t="s">
        <v>17364</v>
      </c>
      <c r="AU999">
        <v>2014</v>
      </c>
      <c r="AV999">
        <v>37</v>
      </c>
      <c r="AW999">
        <v>4</v>
      </c>
      <c r="AX999" t="s">
        <v>74</v>
      </c>
      <c r="AY999" t="s">
        <v>74</v>
      </c>
      <c r="AZ999" t="s">
        <v>74</v>
      </c>
      <c r="BA999" t="s">
        <v>74</v>
      </c>
      <c r="BB999">
        <v>595</v>
      </c>
      <c r="BC999">
        <v>596</v>
      </c>
      <c r="BD999" t="s">
        <v>74</v>
      </c>
      <c r="BE999" t="s">
        <v>18472</v>
      </c>
      <c r="BF999" t="str">
        <f>HYPERLINK("http://dx.doi.org/10.1007/s00300-014-1455-4","http://dx.doi.org/10.1007/s00300-014-1455-4")</f>
        <v>http://dx.doi.org/10.1007/s00300-014-1455-4</v>
      </c>
      <c r="BG999" t="s">
        <v>74</v>
      </c>
      <c r="BH999" t="s">
        <v>74</v>
      </c>
      <c r="BI999">
        <v>2</v>
      </c>
      <c r="BJ999" t="s">
        <v>784</v>
      </c>
      <c r="BK999" t="s">
        <v>102</v>
      </c>
      <c r="BL999" t="s">
        <v>785</v>
      </c>
      <c r="BM999" t="s">
        <v>18386</v>
      </c>
      <c r="BN999" t="s">
        <v>74</v>
      </c>
      <c r="BO999" t="s">
        <v>179</v>
      </c>
      <c r="BP999" t="s">
        <v>74</v>
      </c>
      <c r="BQ999" t="s">
        <v>74</v>
      </c>
      <c r="BR999" t="s">
        <v>105</v>
      </c>
      <c r="BS999" t="s">
        <v>18473</v>
      </c>
      <c r="BT999" t="str">
        <f>HYPERLINK("https%3A%2F%2Fwww.webofscience.com%2Fwos%2Fwoscc%2Ffull-record%2FWOS:000332770800014","View Full Record in Web of Science")</f>
        <v>View Full Record in Web of Science</v>
      </c>
    </row>
    <row r="1000" spans="1:72" x14ac:dyDescent="0.15">
      <c r="A1000" t="s">
        <v>72</v>
      </c>
      <c r="B1000" t="s">
        <v>18474</v>
      </c>
      <c r="C1000" t="s">
        <v>74</v>
      </c>
      <c r="D1000" t="s">
        <v>74</v>
      </c>
      <c r="E1000" t="s">
        <v>74</v>
      </c>
      <c r="F1000" t="s">
        <v>18475</v>
      </c>
      <c r="G1000" t="s">
        <v>74</v>
      </c>
      <c r="H1000" t="s">
        <v>74</v>
      </c>
      <c r="I1000" t="s">
        <v>18476</v>
      </c>
      <c r="J1000" t="s">
        <v>12079</v>
      </c>
      <c r="K1000" t="s">
        <v>74</v>
      </c>
      <c r="L1000" t="s">
        <v>74</v>
      </c>
      <c r="M1000" t="s">
        <v>78</v>
      </c>
      <c r="N1000" t="s">
        <v>79</v>
      </c>
      <c r="O1000" t="s">
        <v>74</v>
      </c>
      <c r="P1000" t="s">
        <v>74</v>
      </c>
      <c r="Q1000" t="s">
        <v>74</v>
      </c>
      <c r="R1000" t="s">
        <v>74</v>
      </c>
      <c r="S1000" t="s">
        <v>74</v>
      </c>
      <c r="T1000" t="s">
        <v>74</v>
      </c>
      <c r="U1000" t="s">
        <v>18477</v>
      </c>
      <c r="V1000" t="s">
        <v>18478</v>
      </c>
      <c r="W1000" t="s">
        <v>18479</v>
      </c>
      <c r="X1000" t="s">
        <v>18480</v>
      </c>
      <c r="Y1000" t="s">
        <v>12096</v>
      </c>
      <c r="Z1000" t="s">
        <v>18481</v>
      </c>
      <c r="AA1000" t="s">
        <v>74</v>
      </c>
      <c r="AB1000" t="s">
        <v>74</v>
      </c>
      <c r="AC1000" t="s">
        <v>74</v>
      </c>
      <c r="AD1000" t="s">
        <v>74</v>
      </c>
      <c r="AE1000" t="s">
        <v>74</v>
      </c>
      <c r="AF1000" t="s">
        <v>74</v>
      </c>
      <c r="AG1000">
        <v>34</v>
      </c>
      <c r="AH1000">
        <v>5</v>
      </c>
      <c r="AI1000">
        <v>5</v>
      </c>
      <c r="AJ1000">
        <v>0</v>
      </c>
      <c r="AK1000">
        <v>9</v>
      </c>
      <c r="AL1000" t="s">
        <v>2353</v>
      </c>
      <c r="AM1000" t="s">
        <v>576</v>
      </c>
      <c r="AN1000" t="s">
        <v>2354</v>
      </c>
      <c r="AO1000" t="s">
        <v>12083</v>
      </c>
      <c r="AP1000" t="s">
        <v>12084</v>
      </c>
      <c r="AQ1000" t="s">
        <v>74</v>
      </c>
      <c r="AR1000" t="s">
        <v>12085</v>
      </c>
      <c r="AS1000" t="s">
        <v>12086</v>
      </c>
      <c r="AT1000" t="s">
        <v>17364</v>
      </c>
      <c r="AU1000">
        <v>2014</v>
      </c>
      <c r="AV1000">
        <v>50</v>
      </c>
      <c r="AW1000">
        <v>2</v>
      </c>
      <c r="AX1000" t="s">
        <v>74</v>
      </c>
      <c r="AY1000" t="s">
        <v>74</v>
      </c>
      <c r="AZ1000" t="s">
        <v>74</v>
      </c>
      <c r="BA1000" t="s">
        <v>74</v>
      </c>
      <c r="BB1000">
        <v>119</v>
      </c>
      <c r="BC1000">
        <v>127</v>
      </c>
      <c r="BD1000" t="s">
        <v>74</v>
      </c>
      <c r="BE1000" t="s">
        <v>18482</v>
      </c>
      <c r="BF1000" t="str">
        <f>HYPERLINK("http://dx.doi.org/10.1017/S0032247412000794","http://dx.doi.org/10.1017/S0032247412000794")</f>
        <v>http://dx.doi.org/10.1017/S0032247412000794</v>
      </c>
      <c r="BG1000" t="s">
        <v>74</v>
      </c>
      <c r="BH1000" t="s">
        <v>74</v>
      </c>
      <c r="BI1000">
        <v>9</v>
      </c>
      <c r="BJ1000" t="s">
        <v>2552</v>
      </c>
      <c r="BK1000" t="s">
        <v>1690</v>
      </c>
      <c r="BL1000" t="s">
        <v>2553</v>
      </c>
      <c r="BM1000" t="s">
        <v>18483</v>
      </c>
      <c r="BN1000" t="s">
        <v>74</v>
      </c>
      <c r="BO1000" t="s">
        <v>74</v>
      </c>
      <c r="BP1000" t="s">
        <v>74</v>
      </c>
      <c r="BQ1000" t="s">
        <v>74</v>
      </c>
      <c r="BR1000" t="s">
        <v>105</v>
      </c>
      <c r="BS1000" t="s">
        <v>18484</v>
      </c>
      <c r="BT1000" t="str">
        <f>HYPERLINK("https%3A%2F%2Fwww.webofscience.com%2Fwos%2Fwoscc%2Ffull-record%2FWOS:000332698600002","View Full Record in Web of Science")</f>
        <v>View Full Record in Web of Science</v>
      </c>
    </row>
    <row r="1001" spans="1:72" x14ac:dyDescent="0.15">
      <c r="A1001" t="s">
        <v>72</v>
      </c>
      <c r="B1001" t="s">
        <v>18485</v>
      </c>
      <c r="C1001" t="s">
        <v>74</v>
      </c>
      <c r="D1001" t="s">
        <v>74</v>
      </c>
      <c r="E1001" t="s">
        <v>74</v>
      </c>
      <c r="F1001" t="s">
        <v>18486</v>
      </c>
      <c r="G1001" t="s">
        <v>74</v>
      </c>
      <c r="H1001" t="s">
        <v>74</v>
      </c>
      <c r="I1001" t="s">
        <v>18487</v>
      </c>
      <c r="J1001" t="s">
        <v>12079</v>
      </c>
      <c r="K1001" t="s">
        <v>74</v>
      </c>
      <c r="L1001" t="s">
        <v>74</v>
      </c>
      <c r="M1001" t="s">
        <v>78</v>
      </c>
      <c r="N1001" t="s">
        <v>79</v>
      </c>
      <c r="O1001" t="s">
        <v>74</v>
      </c>
      <c r="P1001" t="s">
        <v>74</v>
      </c>
      <c r="Q1001" t="s">
        <v>74</v>
      </c>
      <c r="R1001" t="s">
        <v>74</v>
      </c>
      <c r="S1001" t="s">
        <v>74</v>
      </c>
      <c r="T1001" t="s">
        <v>74</v>
      </c>
      <c r="U1001" t="s">
        <v>18488</v>
      </c>
      <c r="V1001" t="s">
        <v>18489</v>
      </c>
      <c r="W1001" t="s">
        <v>18490</v>
      </c>
      <c r="X1001" t="s">
        <v>18491</v>
      </c>
      <c r="Y1001" t="s">
        <v>18492</v>
      </c>
      <c r="Z1001" t="s">
        <v>18493</v>
      </c>
      <c r="AA1001" t="s">
        <v>18494</v>
      </c>
      <c r="AB1001" t="s">
        <v>18495</v>
      </c>
      <c r="AC1001" t="s">
        <v>74</v>
      </c>
      <c r="AD1001" t="s">
        <v>74</v>
      </c>
      <c r="AE1001" t="s">
        <v>74</v>
      </c>
      <c r="AF1001" t="s">
        <v>74</v>
      </c>
      <c r="AG1001">
        <v>30</v>
      </c>
      <c r="AH1001">
        <v>6</v>
      </c>
      <c r="AI1001">
        <v>7</v>
      </c>
      <c r="AJ1001">
        <v>2</v>
      </c>
      <c r="AK1001">
        <v>26</v>
      </c>
      <c r="AL1001" t="s">
        <v>2353</v>
      </c>
      <c r="AM1001" t="s">
        <v>576</v>
      </c>
      <c r="AN1001" t="s">
        <v>2354</v>
      </c>
      <c r="AO1001" t="s">
        <v>12083</v>
      </c>
      <c r="AP1001" t="s">
        <v>12084</v>
      </c>
      <c r="AQ1001" t="s">
        <v>74</v>
      </c>
      <c r="AR1001" t="s">
        <v>12085</v>
      </c>
      <c r="AS1001" t="s">
        <v>12086</v>
      </c>
      <c r="AT1001" t="s">
        <v>17364</v>
      </c>
      <c r="AU1001">
        <v>2014</v>
      </c>
      <c r="AV1001">
        <v>50</v>
      </c>
      <c r="AW1001">
        <v>2</v>
      </c>
      <c r="AX1001" t="s">
        <v>74</v>
      </c>
      <c r="AY1001" t="s">
        <v>74</v>
      </c>
      <c r="AZ1001" t="s">
        <v>74</v>
      </c>
      <c r="BA1001" t="s">
        <v>74</v>
      </c>
      <c r="BB1001">
        <v>147</v>
      </c>
      <c r="BC1001">
        <v>155</v>
      </c>
      <c r="BD1001" t="s">
        <v>74</v>
      </c>
      <c r="BE1001" t="s">
        <v>18496</v>
      </c>
      <c r="BF1001" t="str">
        <f>HYPERLINK("http://dx.doi.org/10.1017/S003224741300003X","http://dx.doi.org/10.1017/S003224741300003X")</f>
        <v>http://dx.doi.org/10.1017/S003224741300003X</v>
      </c>
      <c r="BG1001" t="s">
        <v>74</v>
      </c>
      <c r="BH1001" t="s">
        <v>74</v>
      </c>
      <c r="BI1001">
        <v>9</v>
      </c>
      <c r="BJ1001" t="s">
        <v>2552</v>
      </c>
      <c r="BK1001" t="s">
        <v>1690</v>
      </c>
      <c r="BL1001" t="s">
        <v>2553</v>
      </c>
      <c r="BM1001" t="s">
        <v>18483</v>
      </c>
      <c r="BN1001" t="s">
        <v>74</v>
      </c>
      <c r="BO1001" t="s">
        <v>74</v>
      </c>
      <c r="BP1001" t="s">
        <v>74</v>
      </c>
      <c r="BQ1001" t="s">
        <v>74</v>
      </c>
      <c r="BR1001" t="s">
        <v>105</v>
      </c>
      <c r="BS1001" t="s">
        <v>18497</v>
      </c>
      <c r="BT1001" t="str">
        <f>HYPERLINK("https%3A%2F%2Fwww.webofscience.com%2Fwos%2Fwoscc%2Ffull-record%2FWOS:000332698600005","View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2024-07-28T15:24:05Z</dcterms:created>
  <dcterms:modified xsi:type="dcterms:W3CDTF">2024-07-28T15:24:05Z</dcterms:modified>
</cp:coreProperties>
</file>